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19/agosto/"/>
    </mc:Choice>
  </mc:AlternateContent>
  <xr:revisionPtr revIDLastSave="1" documentId="8_{654EA280-4FF6-4C0C-9AE2-DDBEDFC990EC}" xr6:coauthVersionLast="44" xr6:coauthVersionMax="44" xr10:uidLastSave="{84B7DC9A-FF9A-4315-87EB-E54FB25A6F4D}"/>
  <bookViews>
    <workbookView xWindow="-120" yWindow="-120" windowWidth="29040" windowHeight="15840" xr2:uid="{8D513B2A-05D9-449A-8E0E-2D382B00AE2D}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(vinculo)'!$C$1:$M$320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(vinculo)'!$C$1:$M$322</definedName>
    <definedName name="Z_B161D6A3_44F3_469D_B50D_76D907B3525C_.wvu.Cols" localSheetId="0" hidden="1">'Ind turísticos (vinculo)'!#REF!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G152" i="1"/>
  <c r="E117" i="1"/>
  <c r="M64" i="1"/>
  <c r="L64" i="1"/>
  <c r="K64" i="1"/>
  <c r="J64" i="1"/>
  <c r="I64" i="1"/>
  <c r="G64" i="1"/>
  <c r="F64" i="1"/>
  <c r="E64" i="1"/>
  <c r="D64" i="1"/>
  <c r="C64" i="1"/>
  <c r="C215" i="1"/>
  <c r="G120" i="1"/>
  <c r="H310" i="1" l="1"/>
  <c r="H280" i="1"/>
  <c r="H302" i="1"/>
  <c r="H305" i="1"/>
  <c r="H309" i="1"/>
  <c r="H282" i="1"/>
  <c r="H308" i="1"/>
  <c r="H300" i="1"/>
  <c r="H311" i="1"/>
  <c r="E184" i="1"/>
  <c r="E242" i="1"/>
  <c r="E295" i="1" s="1"/>
  <c r="I62" i="1"/>
</calcChain>
</file>

<file path=xl/sharedStrings.xml><?xml version="1.0" encoding="utf-8"?>
<sst xmlns="http://schemas.openxmlformats.org/spreadsheetml/2006/main" count="597" uniqueCount="117">
  <si>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</si>
  <si>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</si>
  <si>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</si>
  <si>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</si>
  <si>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</si>
  <si>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</si>
  <si>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</si>
  <si>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</si>
  <si>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</si>
  <si>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</si>
  <si>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</si>
  <si>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</si>
  <si>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</si>
  <si>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</si>
  <si>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</si>
  <si>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</si>
  <si>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</si>
  <si>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</si>
  <si>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</si>
  <si>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</si>
  <si>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</si>
  <si>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</si>
  <si>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</si>
  <si>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</si>
  <si>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</si>
  <si>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</si>
  <si>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</si>
  <si>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</si>
  <si>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</si>
  <si>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</si>
  <si>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</si>
  <si>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</si>
  <si>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</si>
  <si>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</si>
  <si>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</si>
  <si>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</si>
  <si>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</si>
  <si>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</si>
  <si>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</si>
  <si>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</si>
  <si>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</si>
  <si>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</si>
  <si>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</si>
  <si>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</si>
  <si>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</si>
  <si>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</si>
  <si>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</si>
  <si>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</si>
  <si>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</si>
  <si>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</si>
  <si>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</si>
  <si>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</si>
  <si>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</si>
  <si>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</si>
  <si>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</si>
  <si>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</si>
  <si>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</si>
  <si>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</si>
  <si>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</si>
  <si>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</si>
  <si>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</si>
  <si>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</si>
  <si>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</si>
  <si>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</si>
  <si>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</si>
  <si>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</si>
  <si>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</si>
  <si>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</si>
  <si>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</si>
  <si>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</si>
  <si>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</si>
  <si>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</si>
  <si>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</si>
  <si>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</si>
  <si>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</si>
  <si>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</si>
  <si>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</si>
  <si>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</si>
  <si>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</si>
  <si>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</si>
  <si>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</si>
  <si>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</si>
  <si>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</si>
  <si>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</si>
  <si>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</si>
  <si>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</si>
  <si>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</si>
  <si>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</si>
  <si>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</si>
  <si>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</si>
  <si>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</si>
  <si>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</si>
  <si>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</si>
  <si>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agosto 2019</t>
  </si>
  <si>
    <t>acumulado agosto 2019</t>
  </si>
  <si>
    <t>Muestra hotelera= 93,1%;   Muestra extrahotelera= 56,0%;   Muestra total= 77,2%</t>
  </si>
  <si>
    <t>El gasto medio total por turista en el primer semestre de 2019 ha ascendido a 1.080€. Se reduce un -3,0% respecto al mismo periodo del año anterior.</t>
  </si>
  <si>
    <t>El gasto medio por turista en origen se situó en 698€, un -5,8% menos que en el primer semestre de 2018.</t>
  </si>
  <si>
    <t>El gasto total diario por turista se situó en 124€, un 2,9% más que en el primer semestre de 2018.</t>
  </si>
  <si>
    <t>El gasto medio en Tenerife, por turista y día fue de 44€, experimentando un incremento del 7,8% respecto a los primeros seis meses de 2018.</t>
  </si>
  <si>
    <t>I semestre 2019 
Encuesta sobre el turista que visita Tenerife, Cabildo de Tenerife</t>
  </si>
  <si>
    <t>El número de plazas autorizadas por Policía Turística a fecha de agosto 2019 asciendían a 168.107 plazas, registrando un incremento del 11,2% respecto al cierre del año 2018.</t>
  </si>
  <si>
    <t>Las plazas hoteleras autorizadas ascienden a 89.513 y representan el 53% del total. Con respecto al año 2018, las plazas hoteleras se incrementan un 2,2%.</t>
  </si>
  <si>
    <t>Las plazas extrahoteleras autorizadas, el 29% del total, ascienden a  48.930 (no incluye oferta rural). Aumentan un +0,5% respecto al cierre de 2018.</t>
  </si>
  <si>
    <t>Las plazas de vivienda vacacional autorizadas, el 17% del total, ascienden a  28.157 plazas. Aumentan un +109,6% respecto al cierre de 2018.</t>
  </si>
  <si>
    <t>Las plazas de hoteles rurales autorizadas por Policía Turística ascienden a 527, con un descenso del -5,4% respecto a 2018.</t>
  </si>
  <si>
    <t>Las plazas de casas rurales autorizadas por Policía Turística ascienden a 980, registrando un incremento del 0,8% respecto a 2018.</t>
  </si>
  <si>
    <t>agosto 2019 Policía Turística Cabildo de Tenerife</t>
  </si>
  <si>
    <t>Las plazas estimadas por el STDE del Cabildo de Tenerife en el II semestre de 2019 ascienden a 177.274. Se incremantan un 3,7% respecto al mismo período del año anterior.</t>
  </si>
  <si>
    <t>La oferta extrahotelera estimada por el STDE del Cabildo de Tenerife en el II semestre de 2019, asciende a 76.711 plazas, incluyendo oferta rural. Supone el 43,3% del total de las plazas turísticas, registrando un incremento del 1,9%.</t>
  </si>
  <si>
    <t>Las plazas estimadas para la zona de La Laguna, Bajamar, La Punta ascienden a 2.346 en el II semestre de 2019, registrando un incremento respecto al mismo periodo del año anterior del 14,0%.</t>
  </si>
  <si>
    <t>Las plazas extrahoteleras se estiman en 1.500, registrándose un incremento del 22,7% respecto al II semestre del año anterior.</t>
  </si>
  <si>
    <t>Las plazas totales estimadas para la zona Norte se sitúan en las 31.621 plazas,  registrándose un incremento del 2,3% con respecto al incremento del 22,7% respecto al II semestre del año anterior.</t>
  </si>
  <si>
    <t>Las plazas extrahoteleras estimadas se sitúan en las 62.107 en el II semestre del  2019, con un descenso del 0,0%  respecto al II semestre del año anterior.</t>
  </si>
  <si>
    <t>Por el Puerto de Santa Cruz de Tenerife han pasado en los primeros siete meses del año 2019, 403.964 cruceristas, un 8,2% más en comparación al mismo período del año 2018</t>
  </si>
  <si>
    <t>El número de buques de crucero en el Puerto de Santa Cruz de Tenerife hasta julio 2019 ascienden a un total de 150 cruceros, cifra que se reduce un -11,2% respecto al mismo período del año anterior.</t>
  </si>
  <si>
    <t>Acumulado julio 2019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</si>
</sst>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0" fontId="19" fillId="0" borderId="0" xfId="1" applyNumberFormat="1" applyFont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Border="1" applyAlignment="1" applyProtection="1">
      <alignment horizontal="center" vertical="center" wrapText="1"/>
      <protection hidden="1"/>
    </xf>
    <xf numFmtId="0" fontId="12" fillId="0" borderId="105" xfId="0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6" xfId="0" applyNumberFormat="1" applyFont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0" xfId="0" applyFont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6" xfId="0" applyFont="1" applyFill="1" applyBorder="1" applyAlignment="1" applyProtection="1">
      <alignment horizontal="justify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0" xfId="0" applyFont="1" applyFill="1" applyBorder="1" applyAlignment="1" applyProtection="1">
      <alignment horizontal="justify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4" xfId="0" applyFont="1" applyFill="1" applyBorder="1" applyAlignment="1" applyProtection="1">
      <alignment horizontal="justify" vertical="center" wrapText="1"/>
      <protection hidden="1"/>
    </xf>
    <xf numFmtId="0" fontId="20" fillId="5" borderId="125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6" xfId="0" applyFont="1" applyBorder="1" applyAlignment="1" applyProtection="1">
      <alignment horizontal="center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164" fontId="10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justify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3" fontId="10" fillId="0" borderId="124" xfId="0" applyNumberFormat="1" applyFont="1" applyBorder="1" applyAlignment="1" applyProtection="1">
      <alignment horizontal="center" vertical="center" wrapText="1"/>
      <protection hidden="1"/>
    </xf>
    <xf numFmtId="0" fontId="2" fillId="0" borderId="124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3" fontId="10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3" fontId="10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0" fontId="12" fillId="0" borderId="136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12" fillId="0" borderId="121" xfId="0" applyFont="1" applyBorder="1" applyAlignment="1" applyProtection="1">
      <alignment horizontal="center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6" borderId="126" xfId="0" applyFont="1" applyFill="1" applyBorder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3" fontId="10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0" fontId="12" fillId="6" borderId="119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Border="1" applyAlignment="1" applyProtection="1">
      <alignment horizontal="center"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12" fillId="0" borderId="139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BB8584DE-54E6-4301-B021-0AB37CA768BB}"/>
    <cellStyle name="Porcentaje" xfId="1" builtinId="5"/>
  </cellStyles>
  <dxfs count="283">
    <dxf>
      <font>
        <b/>
        <i val="0"/>
        <color theme="9"/>
      </font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1FCF9A6B-CB8D-4AEA-84A5-5FDFE2B3E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1CC38674-9836-4A7B-AA28-81D28307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296BEEE5-76B2-4941-937E-EF334804B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7C27AE84-5353-401E-90C9-089E9886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1200149</xdr:colOff>
      <xdr:row>295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1F90E450-6AF8-46D0-A384-122BDB3D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6281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317</xdr:row>
      <xdr:rowOff>47625</xdr:rowOff>
    </xdr:from>
    <xdr:to>
      <xdr:col>9</xdr:col>
      <xdr:colOff>390525</xdr:colOff>
      <xdr:row>318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1AE9862-02D1-42BC-A88A-13EC2CE1694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1172050"/>
          <a:ext cx="50768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C18F-B7E4-49A0-8782-934FE842972F}">
  <sheetPr published="0" codeName="Hoja2">
    <tabColor theme="5" tint="0.39997558519241921"/>
  </sheetPr>
  <dimension ref="C1:T333"/>
  <sheetViews>
    <sheetView showGridLines="0" tabSelected="1" showRuler="0" topLeftCell="A307" zoomScaleNormal="100" workbookViewId="0">
      <selection activeCell="E130" sqref="E130"/>
    </sheetView>
  </sheetViews>
  <sheetFormatPr baseColWidth="10" defaultRowHeight="12.75" x14ac:dyDescent="0.2"/>
  <cols>
    <col min="1" max="2" width="2.85546875" style="3" customWidth="1"/>
    <col min="3" max="3" width="20.7109375" style="3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3:13" ht="50.25" customHeight="1" thickBot="1" x14ac:dyDescent="0.25">
      <c r="C1" s="1"/>
      <c r="D1" s="1"/>
      <c r="E1" s="2" t="s">
        <v>92</v>
      </c>
      <c r="F1" s="2"/>
      <c r="G1" s="2"/>
      <c r="H1" s="2"/>
      <c r="I1" s="2"/>
      <c r="J1" s="2"/>
      <c r="K1" s="2"/>
      <c r="L1" s="1"/>
      <c r="M1" s="1"/>
    </row>
    <row r="2" spans="3:13" ht="15" customHeight="1" x14ac:dyDescent="0.2">
      <c r="C2" s="4" t="s">
        <v>93</v>
      </c>
      <c r="D2" s="4"/>
      <c r="E2" s="4"/>
      <c r="F2" s="4"/>
      <c r="G2" s="4"/>
      <c r="H2" s="5"/>
      <c r="I2" s="6" t="s">
        <v>94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2"/>
      <c r="H4" s="13"/>
      <c r="I4" s="14"/>
      <c r="J4" s="11"/>
      <c r="K4" s="15"/>
      <c r="L4" s="16"/>
      <c r="M4" s="17"/>
    </row>
    <row r="5" spans="3:13" ht="81.75" customHeight="1" x14ac:dyDescent="0.2">
      <c r="C5" s="18" t="s">
        <v>0</v>
      </c>
      <c r="D5" s="19"/>
      <c r="E5" s="20" t="s">
        <v>1</v>
      </c>
      <c r="F5" s="20" t="s">
        <v>2</v>
      </c>
      <c r="G5" s="21" t="s">
        <v>3</v>
      </c>
      <c r="H5" s="22"/>
      <c r="I5" s="23" t="s">
        <v>0</v>
      </c>
      <c r="J5" s="20" t="s">
        <v>1</v>
      </c>
      <c r="K5" s="20" t="s">
        <v>4</v>
      </c>
      <c r="L5" s="20" t="s">
        <v>3</v>
      </c>
      <c r="M5" s="21" t="s">
        <v>5</v>
      </c>
    </row>
    <row r="6" spans="3:13" ht="5.25" customHeight="1" thickBot="1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3:13" ht="18.75" thickBot="1" x14ac:dyDescent="0.25">
      <c r="C7" s="25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3:13" ht="5.25" customHeight="1" thickBo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3:13" ht="24.75" customHeight="1" x14ac:dyDescent="0.2">
      <c r="C9" s="30" t="s">
        <v>7</v>
      </c>
      <c r="D9" s="31"/>
      <c r="E9" s="32" t="s">
        <v>8</v>
      </c>
      <c r="F9" s="33">
        <v>575731</v>
      </c>
      <c r="G9" s="34">
        <v>2.3845768083055718E-2</v>
      </c>
      <c r="H9" s="35"/>
      <c r="I9" s="36" t="s">
        <v>7</v>
      </c>
      <c r="J9" s="37" t="s">
        <v>8</v>
      </c>
      <c r="K9" s="38">
        <v>4126295</v>
      </c>
      <c r="L9" s="39">
        <v>7.0855403332753752E-2</v>
      </c>
      <c r="M9" s="40" t="s">
        <v>9</v>
      </c>
    </row>
    <row r="10" spans="3:13" ht="24.75" customHeight="1" x14ac:dyDescent="0.2">
      <c r="C10" s="41"/>
      <c r="D10" s="42"/>
      <c r="E10" s="43" t="s">
        <v>10</v>
      </c>
      <c r="F10" s="44">
        <v>379973</v>
      </c>
      <c r="G10" s="45">
        <v>5.3931861237237477E-2</v>
      </c>
      <c r="H10" s="46"/>
      <c r="I10" s="41"/>
      <c r="J10" s="43" t="s">
        <v>10</v>
      </c>
      <c r="K10" s="44">
        <v>2718308</v>
      </c>
      <c r="L10" s="47">
        <v>5.9183655974981431E-2</v>
      </c>
      <c r="M10" s="40"/>
    </row>
    <row r="11" spans="3:13" ht="24.75" customHeight="1" thickBot="1" x14ac:dyDescent="0.25">
      <c r="C11" s="48"/>
      <c r="D11" s="49"/>
      <c r="E11" s="50" t="s">
        <v>11</v>
      </c>
      <c r="F11" s="33">
        <v>195758</v>
      </c>
      <c r="G11" s="34">
        <v>-2.9906884777965548E-2</v>
      </c>
      <c r="H11" s="46"/>
      <c r="I11" s="51"/>
      <c r="J11" s="52" t="s">
        <v>11</v>
      </c>
      <c r="K11" s="53">
        <v>1407987</v>
      </c>
      <c r="L11" s="54">
        <v>9.4132814029896261E-2</v>
      </c>
      <c r="M11" s="40"/>
    </row>
    <row r="12" spans="3:13" ht="24.75" hidden="1" customHeight="1" x14ac:dyDescent="0.2">
      <c r="C12" s="55" t="s">
        <v>12</v>
      </c>
      <c r="D12" s="56"/>
      <c r="E12" s="57" t="s">
        <v>8</v>
      </c>
      <c r="F12" s="58">
        <v>15773</v>
      </c>
      <c r="G12" s="59">
        <v>5.8874865735768056E-2</v>
      </c>
      <c r="H12" s="60"/>
      <c r="I12" s="55" t="s">
        <v>12</v>
      </c>
      <c r="J12" s="57" t="s">
        <v>8</v>
      </c>
      <c r="K12" s="58">
        <v>149894</v>
      </c>
      <c r="L12" s="39">
        <v>1.9317536178604655E-3</v>
      </c>
      <c r="M12" s="40"/>
    </row>
    <row r="13" spans="3:13" ht="46.5" customHeight="1" thickBot="1" x14ac:dyDescent="0.25">
      <c r="C13" s="61"/>
      <c r="D13" s="62"/>
      <c r="E13" s="63" t="s">
        <v>10</v>
      </c>
      <c r="F13" s="64">
        <v>15773</v>
      </c>
      <c r="G13" s="45">
        <v>5.8874865735768056E-2</v>
      </c>
      <c r="H13" s="60"/>
      <c r="I13" s="61"/>
      <c r="J13" s="63" t="s">
        <v>10</v>
      </c>
      <c r="K13" s="64">
        <v>149894</v>
      </c>
      <c r="L13" s="47">
        <v>1.9317536178604655E-3</v>
      </c>
      <c r="M13" s="40"/>
    </row>
    <row r="14" spans="3:13" ht="24.75" hidden="1" customHeight="1" x14ac:dyDescent="0.2">
      <c r="C14" s="65"/>
      <c r="D14" s="66"/>
      <c r="E14" s="67" t="s">
        <v>11</v>
      </c>
      <c r="F14" s="68">
        <v>0</v>
      </c>
      <c r="G14" s="69" t="s">
        <v>38</v>
      </c>
      <c r="H14" s="60"/>
      <c r="I14" s="65"/>
      <c r="J14" s="67" t="s">
        <v>11</v>
      </c>
      <c r="K14" s="68">
        <v>0</v>
      </c>
      <c r="L14" s="54" t="s">
        <v>38</v>
      </c>
      <c r="M14" s="40"/>
    </row>
    <row r="15" spans="3:13" ht="24.75" customHeight="1" x14ac:dyDescent="0.2">
      <c r="C15" s="70" t="s">
        <v>13</v>
      </c>
      <c r="D15" s="71"/>
      <c r="E15" s="72" t="s">
        <v>8</v>
      </c>
      <c r="F15" s="73">
        <v>7170</v>
      </c>
      <c r="G15" s="59">
        <v>0.20140750670241281</v>
      </c>
      <c r="H15" s="60"/>
      <c r="I15" s="70" t="s">
        <v>13</v>
      </c>
      <c r="J15" s="72" t="s">
        <v>8</v>
      </c>
      <c r="K15" s="73">
        <v>57653</v>
      </c>
      <c r="L15" s="39">
        <v>0.24574330164217795</v>
      </c>
      <c r="M15" s="40"/>
    </row>
    <row r="16" spans="3:13" ht="24.75" customHeight="1" x14ac:dyDescent="0.2">
      <c r="C16" s="74"/>
      <c r="D16" s="75"/>
      <c r="E16" s="76" t="s">
        <v>10</v>
      </c>
      <c r="F16" s="77">
        <v>5430</v>
      </c>
      <c r="G16" s="45">
        <v>0.19393139841688645</v>
      </c>
      <c r="H16" s="60"/>
      <c r="I16" s="74"/>
      <c r="J16" s="76" t="s">
        <v>10</v>
      </c>
      <c r="K16" s="77">
        <v>41914</v>
      </c>
      <c r="L16" s="47">
        <v>0.14581738655002741</v>
      </c>
      <c r="M16" s="40"/>
    </row>
    <row r="17" spans="3:13" ht="24.75" customHeight="1" thickBot="1" x14ac:dyDescent="0.25">
      <c r="C17" s="78"/>
      <c r="D17" s="79"/>
      <c r="E17" s="80" t="s">
        <v>11</v>
      </c>
      <c r="F17" s="81">
        <v>1740</v>
      </c>
      <c r="G17" s="69">
        <v>0.22535211267605626</v>
      </c>
      <c r="H17" s="60"/>
      <c r="I17" s="78"/>
      <c r="J17" s="80" t="s">
        <v>11</v>
      </c>
      <c r="K17" s="81">
        <v>15739</v>
      </c>
      <c r="L17" s="54">
        <v>0.62257731958762896</v>
      </c>
      <c r="M17" s="40"/>
    </row>
    <row r="18" spans="3:13" ht="24.75" customHeight="1" x14ac:dyDescent="0.2">
      <c r="C18" s="55" t="s">
        <v>14</v>
      </c>
      <c r="D18" s="56"/>
      <c r="E18" s="57" t="s">
        <v>8</v>
      </c>
      <c r="F18" s="58">
        <v>117581</v>
      </c>
      <c r="G18" s="59">
        <v>5.6620395316415717E-3</v>
      </c>
      <c r="H18" s="60"/>
      <c r="I18" s="55" t="s">
        <v>14</v>
      </c>
      <c r="J18" s="57" t="s">
        <v>8</v>
      </c>
      <c r="K18" s="58">
        <v>777459</v>
      </c>
      <c r="L18" s="39">
        <v>3.9996843058541121E-2</v>
      </c>
      <c r="M18" s="40"/>
    </row>
    <row r="19" spans="3:13" ht="24.75" customHeight="1" x14ac:dyDescent="0.2">
      <c r="C19" s="61"/>
      <c r="D19" s="62"/>
      <c r="E19" s="63" t="s">
        <v>10</v>
      </c>
      <c r="F19" s="64">
        <v>82540</v>
      </c>
      <c r="G19" s="45">
        <v>9.3179094622024561E-3</v>
      </c>
      <c r="H19" s="60"/>
      <c r="I19" s="61"/>
      <c r="J19" s="63" t="s">
        <v>10</v>
      </c>
      <c r="K19" s="64">
        <v>550663</v>
      </c>
      <c r="L19" s="47">
        <v>2.0006964742841582E-2</v>
      </c>
      <c r="M19" s="40"/>
    </row>
    <row r="20" spans="3:13" ht="24.75" customHeight="1" thickBot="1" x14ac:dyDescent="0.25">
      <c r="C20" s="65"/>
      <c r="D20" s="66"/>
      <c r="E20" s="67" t="s">
        <v>11</v>
      </c>
      <c r="F20" s="68">
        <v>35041</v>
      </c>
      <c r="G20" s="69">
        <v>-2.845678836686516E-3</v>
      </c>
      <c r="H20" s="60"/>
      <c r="I20" s="65"/>
      <c r="J20" s="67" t="s">
        <v>11</v>
      </c>
      <c r="K20" s="68">
        <v>226796</v>
      </c>
      <c r="L20" s="54">
        <v>9.1956070622108088E-2</v>
      </c>
      <c r="M20" s="40"/>
    </row>
    <row r="21" spans="3:13" ht="24.75" customHeight="1" x14ac:dyDescent="0.2">
      <c r="C21" s="82" t="s">
        <v>15</v>
      </c>
      <c r="D21" s="83"/>
      <c r="E21" s="84" t="s">
        <v>8</v>
      </c>
      <c r="F21" s="85">
        <v>435207</v>
      </c>
      <c r="G21" s="59">
        <v>2.5128433430144259E-2</v>
      </c>
      <c r="H21" s="60"/>
      <c r="I21" s="82" t="s">
        <v>15</v>
      </c>
      <c r="J21" s="84" t="s">
        <v>8</v>
      </c>
      <c r="K21" s="85">
        <v>3141289</v>
      </c>
      <c r="L21" s="39">
        <v>7.9545306145453409E-2</v>
      </c>
      <c r="M21" s="40"/>
    </row>
    <row r="22" spans="3:13" ht="24.75" customHeight="1" x14ac:dyDescent="0.2">
      <c r="C22" s="86"/>
      <c r="D22" s="87"/>
      <c r="E22" s="88" t="s">
        <v>10</v>
      </c>
      <c r="F22" s="89">
        <v>276230</v>
      </c>
      <c r="G22" s="45">
        <v>6.5262410964609607E-2</v>
      </c>
      <c r="H22" s="60"/>
      <c r="I22" s="86"/>
      <c r="J22" s="88" t="s">
        <v>10</v>
      </c>
      <c r="K22" s="89">
        <v>1975837</v>
      </c>
      <c r="L22" s="47">
        <v>7.3607984477042976E-2</v>
      </c>
      <c r="M22" s="40"/>
    </row>
    <row r="23" spans="3:13" ht="24.75" customHeight="1" thickBot="1" x14ac:dyDescent="0.25">
      <c r="C23" s="90"/>
      <c r="D23" s="91"/>
      <c r="E23" s="92" t="s">
        <v>11</v>
      </c>
      <c r="F23" s="93">
        <v>158977</v>
      </c>
      <c r="G23" s="69">
        <v>-3.7855863271037071E-2</v>
      </c>
      <c r="H23" s="60"/>
      <c r="I23" s="90"/>
      <c r="J23" s="92" t="s">
        <v>11</v>
      </c>
      <c r="K23" s="93">
        <v>1165452</v>
      </c>
      <c r="L23" s="54">
        <v>8.9762542603475604E-2</v>
      </c>
      <c r="M23" s="40"/>
    </row>
    <row r="24" spans="3:13" ht="5.25" customHeight="1" thickBot="1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ht="20.100000000000001" customHeight="1" thickBot="1" x14ac:dyDescent="0.25">
      <c r="C25" s="25" t="s">
        <v>16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3:13" ht="5.25" customHeight="1" thickBot="1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5"/>
    </row>
    <row r="27" spans="3:13" ht="24.95" customHeight="1" x14ac:dyDescent="0.2">
      <c r="C27" s="36" t="s">
        <v>7</v>
      </c>
      <c r="D27" s="96"/>
      <c r="E27" s="37" t="s">
        <v>8</v>
      </c>
      <c r="F27" s="33">
        <v>4263597</v>
      </c>
      <c r="G27" s="34">
        <v>2.6397322640844489E-2</v>
      </c>
      <c r="H27" s="35"/>
      <c r="I27" s="36" t="s">
        <v>7</v>
      </c>
      <c r="J27" s="37" t="s">
        <v>8</v>
      </c>
      <c r="K27" s="38">
        <v>29256398</v>
      </c>
      <c r="L27" s="39">
        <v>4.5432941316797981E-2</v>
      </c>
      <c r="M27" s="40" t="s">
        <v>9</v>
      </c>
    </row>
    <row r="28" spans="3:13" ht="24.95" customHeight="1" x14ac:dyDescent="0.2">
      <c r="C28" s="41"/>
      <c r="D28" s="42"/>
      <c r="E28" s="43" t="s">
        <v>10</v>
      </c>
      <c r="F28" s="44">
        <v>2620335</v>
      </c>
      <c r="G28" s="45">
        <v>3.6775912523126619E-2</v>
      </c>
      <c r="H28" s="46"/>
      <c r="I28" s="41"/>
      <c r="J28" s="43" t="s">
        <v>10</v>
      </c>
      <c r="K28" s="44">
        <v>18164817</v>
      </c>
      <c r="L28" s="47">
        <v>3.2323737257578422E-2</v>
      </c>
      <c r="M28" s="40"/>
    </row>
    <row r="29" spans="3:13" ht="24.95" customHeight="1" thickBot="1" x14ac:dyDescent="0.25">
      <c r="C29" s="51"/>
      <c r="D29" s="97"/>
      <c r="E29" s="52" t="s">
        <v>11</v>
      </c>
      <c r="F29" s="33">
        <v>1643262</v>
      </c>
      <c r="G29" s="34">
        <v>1.0270780717048789E-2</v>
      </c>
      <c r="H29" s="46"/>
      <c r="I29" s="51"/>
      <c r="J29" s="52" t="s">
        <v>11</v>
      </c>
      <c r="K29" s="53">
        <v>11091581</v>
      </c>
      <c r="L29" s="54">
        <v>6.763643777134698E-2</v>
      </c>
      <c r="M29" s="40"/>
    </row>
    <row r="30" spans="3:13" ht="24.95" hidden="1" customHeight="1" x14ac:dyDescent="0.2">
      <c r="C30" s="55" t="s">
        <v>12</v>
      </c>
      <c r="D30" s="56"/>
      <c r="E30" s="57" t="s">
        <v>8</v>
      </c>
      <c r="F30" s="58">
        <v>46133</v>
      </c>
      <c r="G30" s="59">
        <v>0.1266240109407053</v>
      </c>
      <c r="H30" s="60"/>
      <c r="I30" s="55" t="s">
        <v>12</v>
      </c>
      <c r="J30" s="57" t="s">
        <v>8</v>
      </c>
      <c r="K30" s="58">
        <v>371375</v>
      </c>
      <c r="L30" s="39">
        <v>8.1105864680915518E-2</v>
      </c>
      <c r="M30" s="40"/>
    </row>
    <row r="31" spans="3:13" ht="48" customHeight="1" thickBot="1" x14ac:dyDescent="0.25">
      <c r="C31" s="61"/>
      <c r="D31" s="62"/>
      <c r="E31" s="63" t="s">
        <v>10</v>
      </c>
      <c r="F31" s="64">
        <v>46133</v>
      </c>
      <c r="G31" s="45">
        <v>0.1266240109407053</v>
      </c>
      <c r="H31" s="60"/>
      <c r="I31" s="61"/>
      <c r="J31" s="63" t="s">
        <v>10</v>
      </c>
      <c r="K31" s="64">
        <v>371375</v>
      </c>
      <c r="L31" s="47">
        <v>8.1105864680915518E-2</v>
      </c>
      <c r="M31" s="40"/>
    </row>
    <row r="32" spans="3:13" ht="24.95" hidden="1" customHeight="1" x14ac:dyDescent="0.2">
      <c r="C32" s="65"/>
      <c r="D32" s="66"/>
      <c r="E32" s="67" t="s">
        <v>11</v>
      </c>
      <c r="F32" s="68">
        <v>0</v>
      </c>
      <c r="G32" s="69" t="s">
        <v>38</v>
      </c>
      <c r="H32" s="60"/>
      <c r="I32" s="65"/>
      <c r="J32" s="67" t="s">
        <v>11</v>
      </c>
      <c r="K32" s="68">
        <v>0</v>
      </c>
      <c r="L32" s="54" t="s">
        <v>38</v>
      </c>
      <c r="M32" s="40"/>
    </row>
    <row r="33" spans="3:13" ht="24.95" customHeight="1" x14ac:dyDescent="0.2">
      <c r="C33" s="70" t="s">
        <v>13</v>
      </c>
      <c r="D33" s="71"/>
      <c r="E33" s="72" t="s">
        <v>8</v>
      </c>
      <c r="F33" s="73">
        <v>21861</v>
      </c>
      <c r="G33" s="59">
        <v>0.10219824543712819</v>
      </c>
      <c r="H33" s="60"/>
      <c r="I33" s="70" t="s">
        <v>13</v>
      </c>
      <c r="J33" s="72" t="s">
        <v>8</v>
      </c>
      <c r="K33" s="73">
        <v>204233</v>
      </c>
      <c r="L33" s="39">
        <v>0.31906195101787738</v>
      </c>
      <c r="M33" s="40"/>
    </row>
    <row r="34" spans="3:13" ht="24.95" customHeight="1" x14ac:dyDescent="0.2">
      <c r="C34" s="74"/>
      <c r="D34" s="75"/>
      <c r="E34" s="76" t="s">
        <v>10</v>
      </c>
      <c r="F34" s="77">
        <v>11431</v>
      </c>
      <c r="G34" s="45">
        <v>2.0442778075343782E-2</v>
      </c>
      <c r="H34" s="60"/>
      <c r="I34" s="74"/>
      <c r="J34" s="76" t="s">
        <v>10</v>
      </c>
      <c r="K34" s="77">
        <v>101772</v>
      </c>
      <c r="L34" s="47">
        <v>6.4404794276988753E-2</v>
      </c>
      <c r="M34" s="40"/>
    </row>
    <row r="35" spans="3:13" ht="24.95" customHeight="1" thickBot="1" x14ac:dyDescent="0.25">
      <c r="C35" s="78"/>
      <c r="D35" s="79"/>
      <c r="E35" s="80" t="s">
        <v>11</v>
      </c>
      <c r="F35" s="81">
        <v>10430</v>
      </c>
      <c r="G35" s="69">
        <v>0.2082947173308618</v>
      </c>
      <c r="H35" s="60"/>
      <c r="I35" s="78"/>
      <c r="J35" s="80" t="s">
        <v>11</v>
      </c>
      <c r="K35" s="81">
        <v>102461</v>
      </c>
      <c r="L35" s="54">
        <v>0.73023405045763123</v>
      </c>
      <c r="M35" s="40"/>
    </row>
    <row r="36" spans="3:13" ht="24.95" customHeight="1" x14ac:dyDescent="0.2">
      <c r="C36" s="55" t="s">
        <v>14</v>
      </c>
      <c r="D36" s="56"/>
      <c r="E36" s="57" t="s">
        <v>8</v>
      </c>
      <c r="F36" s="58">
        <v>746084</v>
      </c>
      <c r="G36" s="59">
        <v>-4.0436050848591143E-2</v>
      </c>
      <c r="H36" s="60"/>
      <c r="I36" s="55" t="s">
        <v>14</v>
      </c>
      <c r="J36" s="57" t="s">
        <v>8</v>
      </c>
      <c r="K36" s="58">
        <v>5230354</v>
      </c>
      <c r="L36" s="39">
        <v>-8.0078504321227095E-3</v>
      </c>
      <c r="M36" s="40"/>
    </row>
    <row r="37" spans="3:13" ht="24.95" customHeight="1" x14ac:dyDescent="0.2">
      <c r="C37" s="61"/>
      <c r="D37" s="62"/>
      <c r="E37" s="63" t="s">
        <v>10</v>
      </c>
      <c r="F37" s="64">
        <v>501181</v>
      </c>
      <c r="G37" s="45">
        <v>-3.139766575768177E-2</v>
      </c>
      <c r="H37" s="60"/>
      <c r="I37" s="61"/>
      <c r="J37" s="63" t="s">
        <v>10</v>
      </c>
      <c r="K37" s="64">
        <v>3606659</v>
      </c>
      <c r="L37" s="47">
        <v>-7.6812239773706992E-3</v>
      </c>
      <c r="M37" s="40"/>
    </row>
    <row r="38" spans="3:13" ht="24.95" customHeight="1" thickBot="1" x14ac:dyDescent="0.25">
      <c r="C38" s="65"/>
      <c r="D38" s="66"/>
      <c r="E38" s="67" t="s">
        <v>11</v>
      </c>
      <c r="F38" s="68">
        <v>244903</v>
      </c>
      <c r="G38" s="69">
        <v>-5.8416667627846586E-2</v>
      </c>
      <c r="H38" s="60"/>
      <c r="I38" s="65"/>
      <c r="J38" s="67" t="s">
        <v>11</v>
      </c>
      <c r="K38" s="68">
        <v>1623695</v>
      </c>
      <c r="L38" s="54">
        <v>-8.7326060638620584E-3</v>
      </c>
      <c r="M38" s="40"/>
    </row>
    <row r="39" spans="3:13" ht="24.95" customHeight="1" x14ac:dyDescent="0.2">
      <c r="C39" s="82" t="s">
        <v>15</v>
      </c>
      <c r="D39" s="83"/>
      <c r="E39" s="84" t="s">
        <v>8</v>
      </c>
      <c r="F39" s="85">
        <v>3449519</v>
      </c>
      <c r="G39" s="59">
        <v>4.0378654123278901E-2</v>
      </c>
      <c r="H39" s="60"/>
      <c r="I39" s="82" t="s">
        <v>15</v>
      </c>
      <c r="J39" s="84" t="s">
        <v>8</v>
      </c>
      <c r="K39" s="85">
        <v>23450436</v>
      </c>
      <c r="L39" s="39">
        <v>5.5658455957374953E-2</v>
      </c>
      <c r="M39" s="40"/>
    </row>
    <row r="40" spans="3:13" ht="24.95" customHeight="1" x14ac:dyDescent="0.2">
      <c r="C40" s="86"/>
      <c r="D40" s="87"/>
      <c r="E40" s="88" t="s">
        <v>10</v>
      </c>
      <c r="F40" s="89">
        <v>2061590</v>
      </c>
      <c r="G40" s="45">
        <v>5.3007670301167931E-2</v>
      </c>
      <c r="H40" s="60"/>
      <c r="I40" s="86"/>
      <c r="J40" s="88" t="s">
        <v>10</v>
      </c>
      <c r="K40" s="89">
        <v>14085011</v>
      </c>
      <c r="L40" s="47">
        <v>4.1610321643987369E-2</v>
      </c>
      <c r="M40" s="40"/>
    </row>
    <row r="41" spans="3:13" ht="24.95" customHeight="1" thickBot="1" x14ac:dyDescent="0.25">
      <c r="C41" s="90"/>
      <c r="D41" s="91"/>
      <c r="E41" s="92" t="s">
        <v>11</v>
      </c>
      <c r="F41" s="93">
        <v>1387929</v>
      </c>
      <c r="G41" s="69">
        <v>2.2169245419335404E-2</v>
      </c>
      <c r="H41" s="60"/>
      <c r="I41" s="90"/>
      <c r="J41" s="92" t="s">
        <v>11</v>
      </c>
      <c r="K41" s="93">
        <v>9365425</v>
      </c>
      <c r="L41" s="54">
        <v>7.7514224785844466E-2</v>
      </c>
      <c r="M41" s="40"/>
    </row>
    <row r="42" spans="3:13" ht="5.25" customHeight="1" thickBot="1" x14ac:dyDescent="0.25">
      <c r="C42" s="94"/>
      <c r="D42" s="94"/>
      <c r="F42" s="94"/>
      <c r="G42" s="94"/>
      <c r="H42" s="94"/>
      <c r="I42" s="94"/>
      <c r="J42" s="94"/>
      <c r="K42" s="94"/>
      <c r="L42" s="94"/>
      <c r="M42" s="94"/>
    </row>
    <row r="43" spans="3:13" ht="20.100000000000001" customHeight="1" thickBot="1" x14ac:dyDescent="0.25">
      <c r="C43" s="25" t="s">
        <v>17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3:13" ht="5.25" customHeight="1" thickBo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5"/>
    </row>
    <row r="45" spans="3:13" ht="24.75" customHeight="1" x14ac:dyDescent="0.2">
      <c r="C45" s="36" t="s">
        <v>7</v>
      </c>
      <c r="D45" s="96"/>
      <c r="E45" s="37" t="s">
        <v>8</v>
      </c>
      <c r="F45" s="98">
        <v>7.4055366134531582</v>
      </c>
      <c r="G45" s="99">
        <v>1.840966483652906E-2</v>
      </c>
      <c r="H45" s="35"/>
      <c r="I45" s="36" t="s">
        <v>7</v>
      </c>
      <c r="J45" s="37" t="s">
        <v>8</v>
      </c>
      <c r="K45" s="98">
        <v>7.0902342173790291</v>
      </c>
      <c r="L45" s="100">
        <v>-0.17241776392516162</v>
      </c>
      <c r="M45" s="40" t="s">
        <v>9</v>
      </c>
    </row>
    <row r="46" spans="3:13" ht="24.75" customHeight="1" x14ac:dyDescent="0.2">
      <c r="C46" s="41"/>
      <c r="D46" s="42"/>
      <c r="E46" s="43" t="s">
        <v>10</v>
      </c>
      <c r="F46" s="101">
        <v>6.8961084077026529</v>
      </c>
      <c r="G46" s="102">
        <v>-0.11411268408191955</v>
      </c>
      <c r="H46" s="46"/>
      <c r="I46" s="41"/>
      <c r="J46" s="43" t="s">
        <v>10</v>
      </c>
      <c r="K46" s="101">
        <v>6.6823983889978615</v>
      </c>
      <c r="L46" s="103">
        <v>-0.17386859479043792</v>
      </c>
      <c r="M46" s="40"/>
    </row>
    <row r="47" spans="3:13" ht="24.75" customHeight="1" thickBot="1" x14ac:dyDescent="0.25">
      <c r="C47" s="51"/>
      <c r="D47" s="97"/>
      <c r="E47" s="52" t="s">
        <v>11</v>
      </c>
      <c r="F47" s="104">
        <v>8.3943542537214313</v>
      </c>
      <c r="G47" s="105">
        <v>0.3338367927589605</v>
      </c>
      <c r="H47" s="46"/>
      <c r="I47" s="51"/>
      <c r="J47" s="52" t="s">
        <v>11</v>
      </c>
      <c r="K47" s="104">
        <v>7.8776160575346221</v>
      </c>
      <c r="L47" s="106">
        <v>-0.19550501621744942</v>
      </c>
      <c r="M47" s="40"/>
    </row>
    <row r="48" spans="3:13" ht="24.75" hidden="1" customHeight="1" x14ac:dyDescent="0.2">
      <c r="C48" s="55" t="s">
        <v>12</v>
      </c>
      <c r="D48" s="56"/>
      <c r="E48" s="57" t="s">
        <v>8</v>
      </c>
      <c r="F48" s="107">
        <v>2.9248082165726239</v>
      </c>
      <c r="G48" s="99">
        <v>0.1758823304286925</v>
      </c>
      <c r="H48" s="60"/>
      <c r="I48" s="55" t="s">
        <v>12</v>
      </c>
      <c r="J48" s="57" t="s">
        <v>8</v>
      </c>
      <c r="K48" s="107">
        <v>2.4775841594726939</v>
      </c>
      <c r="L48" s="100">
        <v>0.18144432457412751</v>
      </c>
      <c r="M48" s="40"/>
    </row>
    <row r="49" spans="3:13" ht="50.25" customHeight="1" thickBot="1" x14ac:dyDescent="0.25">
      <c r="C49" s="61"/>
      <c r="D49" s="62"/>
      <c r="E49" s="63" t="s">
        <v>10</v>
      </c>
      <c r="F49" s="108">
        <v>2.9248082165726239</v>
      </c>
      <c r="G49" s="102">
        <v>0.1758823304286925</v>
      </c>
      <c r="H49" s="60"/>
      <c r="I49" s="61"/>
      <c r="J49" s="63" t="s">
        <v>10</v>
      </c>
      <c r="K49" s="108">
        <v>2.4775841594726939</v>
      </c>
      <c r="L49" s="103">
        <v>0.18144432457412751</v>
      </c>
      <c r="M49" s="40"/>
    </row>
    <row r="50" spans="3:13" ht="24.75" hidden="1" customHeight="1" x14ac:dyDescent="0.2">
      <c r="C50" s="65"/>
      <c r="D50" s="66"/>
      <c r="E50" s="67" t="s">
        <v>11</v>
      </c>
      <c r="F50" s="109" t="s">
        <v>38</v>
      </c>
      <c r="G50" s="105" t="s">
        <v>38</v>
      </c>
      <c r="H50" s="60"/>
      <c r="I50" s="65"/>
      <c r="J50" s="67" t="s">
        <v>11</v>
      </c>
      <c r="K50" s="109" t="e">
        <v>#DIV/0!</v>
      </c>
      <c r="L50" s="106" t="s">
        <v>38</v>
      </c>
      <c r="M50" s="40"/>
    </row>
    <row r="51" spans="3:13" ht="24.75" customHeight="1" x14ac:dyDescent="0.2">
      <c r="C51" s="70" t="s">
        <v>13</v>
      </c>
      <c r="D51" s="71"/>
      <c r="E51" s="72" t="s">
        <v>8</v>
      </c>
      <c r="F51" s="110">
        <v>3.0489539748953973</v>
      </c>
      <c r="G51" s="99">
        <v>-0.27443744601613096</v>
      </c>
      <c r="H51" s="60"/>
      <c r="I51" s="70" t="s">
        <v>13</v>
      </c>
      <c r="J51" s="72" t="s">
        <v>8</v>
      </c>
      <c r="K51" s="110">
        <v>3.5424522574714237</v>
      </c>
      <c r="L51" s="100">
        <v>0.19690342428214125</v>
      </c>
      <c r="M51" s="40"/>
    </row>
    <row r="52" spans="3:13" ht="24.75" customHeight="1" x14ac:dyDescent="0.2">
      <c r="C52" s="74"/>
      <c r="D52" s="75"/>
      <c r="E52" s="76" t="s">
        <v>10</v>
      </c>
      <c r="F52" s="111">
        <v>2.1051565377532229</v>
      </c>
      <c r="G52" s="102">
        <v>-0.35790414826260841</v>
      </c>
      <c r="H52" s="60"/>
      <c r="I52" s="74"/>
      <c r="J52" s="76" t="s">
        <v>10</v>
      </c>
      <c r="K52" s="111">
        <v>2.4281147110750583</v>
      </c>
      <c r="L52" s="103">
        <v>-0.18571798438694298</v>
      </c>
      <c r="M52" s="40"/>
    </row>
    <row r="53" spans="3:13" ht="24.75" customHeight="1" thickBot="1" x14ac:dyDescent="0.25">
      <c r="C53" s="78"/>
      <c r="D53" s="79"/>
      <c r="E53" s="80" t="s">
        <v>11</v>
      </c>
      <c r="F53" s="112">
        <v>5.9942528735632186</v>
      </c>
      <c r="G53" s="105">
        <v>-8.4620365873401049E-2</v>
      </c>
      <c r="H53" s="60"/>
      <c r="I53" s="78"/>
      <c r="J53" s="80" t="s">
        <v>11</v>
      </c>
      <c r="K53" s="112">
        <v>6.510006989008196</v>
      </c>
      <c r="L53" s="106">
        <v>0.40505853539994874</v>
      </c>
      <c r="M53" s="40"/>
    </row>
    <row r="54" spans="3:13" ht="24.75" customHeight="1" x14ac:dyDescent="0.2">
      <c r="C54" s="55" t="s">
        <v>14</v>
      </c>
      <c r="D54" s="56"/>
      <c r="E54" s="57" t="s">
        <v>8</v>
      </c>
      <c r="F54" s="107">
        <v>6.3452768729641695</v>
      </c>
      <c r="G54" s="99">
        <v>-0.30483132159787729</v>
      </c>
      <c r="H54" s="60"/>
      <c r="I54" s="55" t="s">
        <v>14</v>
      </c>
      <c r="J54" s="57" t="s">
        <v>8</v>
      </c>
      <c r="K54" s="107">
        <v>6.727498170321522</v>
      </c>
      <c r="L54" s="100">
        <v>-0.32555851149222104</v>
      </c>
      <c r="M54" s="40"/>
    </row>
    <row r="55" spans="3:13" ht="24.75" customHeight="1" x14ac:dyDescent="0.2">
      <c r="C55" s="61"/>
      <c r="D55" s="62"/>
      <c r="E55" s="63" t="s">
        <v>10</v>
      </c>
      <c r="F55" s="108">
        <v>6.0719772231645264</v>
      </c>
      <c r="G55" s="102">
        <v>-0.25523792027258363</v>
      </c>
      <c r="H55" s="60"/>
      <c r="I55" s="61"/>
      <c r="J55" s="63" t="s">
        <v>10</v>
      </c>
      <c r="K55" s="108">
        <v>6.5496664929366961</v>
      </c>
      <c r="L55" s="103">
        <v>-0.18275216220109858</v>
      </c>
      <c r="M55" s="40"/>
    </row>
    <row r="56" spans="3:13" ht="24.75" customHeight="1" thickBot="1" x14ac:dyDescent="0.25">
      <c r="C56" s="65"/>
      <c r="D56" s="66"/>
      <c r="E56" s="67" t="s">
        <v>11</v>
      </c>
      <c r="F56" s="109">
        <v>6.9890414086355985</v>
      </c>
      <c r="G56" s="105">
        <v>-0.41248387522086549</v>
      </c>
      <c r="H56" s="60"/>
      <c r="I56" s="65"/>
      <c r="J56" s="67" t="s">
        <v>11</v>
      </c>
      <c r="K56" s="109">
        <v>7.1592752958605974</v>
      </c>
      <c r="L56" s="106">
        <v>-0.72720837987858022</v>
      </c>
      <c r="M56" s="40"/>
    </row>
    <row r="57" spans="3:13" ht="24.75" customHeight="1" x14ac:dyDescent="0.2">
      <c r="C57" s="82" t="s">
        <v>15</v>
      </c>
      <c r="D57" s="83"/>
      <c r="E57" s="84" t="s">
        <v>8</v>
      </c>
      <c r="F57" s="113">
        <v>7.926156978173605</v>
      </c>
      <c r="G57" s="99">
        <v>0.11618427837452838</v>
      </c>
      <c r="H57" s="60"/>
      <c r="I57" s="82" t="s">
        <v>15</v>
      </c>
      <c r="J57" s="84" t="s">
        <v>8</v>
      </c>
      <c r="K57" s="113">
        <v>7.4652271726670163</v>
      </c>
      <c r="L57" s="100">
        <v>-0.16891899277380418</v>
      </c>
      <c r="M57" s="40"/>
    </row>
    <row r="58" spans="3:13" ht="24.75" customHeight="1" x14ac:dyDescent="0.2">
      <c r="C58" s="86"/>
      <c r="D58" s="87"/>
      <c r="E58" s="88" t="s">
        <v>10</v>
      </c>
      <c r="F58" s="114">
        <v>7.463309560873185</v>
      </c>
      <c r="G58" s="102">
        <v>-8.6856844198795358E-2</v>
      </c>
      <c r="H58" s="60"/>
      <c r="I58" s="86"/>
      <c r="J58" s="88" t="s">
        <v>10</v>
      </c>
      <c r="K58" s="114">
        <v>7.1286300438750771</v>
      </c>
      <c r="L58" s="103">
        <v>-0.21898736587545642</v>
      </c>
      <c r="M58" s="40"/>
    </row>
    <row r="59" spans="3:13" ht="24.75" customHeight="1" thickBot="1" x14ac:dyDescent="0.25">
      <c r="C59" s="115"/>
      <c r="D59" s="116"/>
      <c r="E59" s="117" t="s">
        <v>11</v>
      </c>
      <c r="F59" s="118">
        <v>8.7303760921391138</v>
      </c>
      <c r="G59" s="119">
        <v>0.51267613087253139</v>
      </c>
      <c r="H59" s="120"/>
      <c r="I59" s="115"/>
      <c r="J59" s="117" t="s">
        <v>11</v>
      </c>
      <c r="K59" s="118">
        <v>8.0358736352934308</v>
      </c>
      <c r="L59" s="121">
        <v>-9.1345368778736002E-2</v>
      </c>
      <c r="M59" s="122"/>
    </row>
    <row r="60" spans="3:13" ht="13.5" thickBot="1" x14ac:dyDescent="0.25">
      <c r="C60" s="123" t="s">
        <v>95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3:13" ht="50.25" customHeight="1" thickBot="1" x14ac:dyDescent="0.25">
      <c r="C61" s="126"/>
      <c r="D61" s="126"/>
      <c r="E61" s="127" t="s">
        <v>92</v>
      </c>
      <c r="F61" s="127"/>
      <c r="G61" s="127"/>
      <c r="H61" s="127"/>
      <c r="I61" s="127"/>
      <c r="J61" s="127"/>
      <c r="K61" s="127"/>
      <c r="L61" s="126"/>
      <c r="M61" s="126"/>
    </row>
    <row r="62" spans="3:13" ht="15" customHeight="1" x14ac:dyDescent="0.2">
      <c r="C62" s="4" t="s">
        <v>93</v>
      </c>
      <c r="D62" s="4"/>
      <c r="E62" s="4"/>
      <c r="F62" s="4"/>
      <c r="G62" s="4"/>
      <c r="H62" s="5"/>
      <c r="I62" s="6" t="str">
        <f>I2</f>
        <v>acumulado agosto 2019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8" t="str">
        <f t="shared" ref="C64:G64" si="0">C5</f>
        <v>Ámbito</v>
      </c>
      <c r="D64" s="19">
        <f t="shared" si="0"/>
        <v>0</v>
      </c>
      <c r="E64" s="20" t="str">
        <f t="shared" si="0"/>
        <v>Variable</v>
      </c>
      <c r="F64" s="20" t="str">
        <f t="shared" si="0"/>
        <v>Valor absoluto
mensual</v>
      </c>
      <c r="G64" s="20" t="str">
        <f t="shared" si="0"/>
        <v>Variación respecto al período anterior</v>
      </c>
      <c r="H64" s="22"/>
      <c r="I64" s="20" t="str">
        <f>I5</f>
        <v>Ámbito</v>
      </c>
      <c r="J64" s="20" t="str">
        <f t="shared" ref="J64:M64" si="1">J5</f>
        <v>Variable</v>
      </c>
      <c r="K64" s="20" t="str">
        <f t="shared" si="1"/>
        <v>Valor absoluto
acumulado</v>
      </c>
      <c r="L64" s="20" t="str">
        <f t="shared" si="1"/>
        <v>Variación respecto al período anterior</v>
      </c>
      <c r="M64" s="21" t="str">
        <f t="shared" si="1"/>
        <v>Fuente</v>
      </c>
    </row>
    <row r="65" spans="3:13" ht="5.25" customHeight="1" thickBot="1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ht="20.100000000000001" customHeight="1" thickBot="1" x14ac:dyDescent="0.25">
      <c r="C66" s="25" t="s">
        <v>18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3:13" ht="5.25" customHeight="1" thickBot="1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95"/>
    </row>
    <row r="68" spans="3:13" ht="24.75" customHeight="1" x14ac:dyDescent="0.2">
      <c r="C68" s="36" t="s">
        <v>7</v>
      </c>
      <c r="D68" s="96"/>
      <c r="E68" s="37" t="s">
        <v>8</v>
      </c>
      <c r="F68" s="128">
        <v>0.7758350750633155</v>
      </c>
      <c r="G68" s="59">
        <v>-9.7605531891817865E-3</v>
      </c>
      <c r="H68" s="35"/>
      <c r="I68" s="36" t="s">
        <v>7</v>
      </c>
      <c r="J68" s="37" t="s">
        <v>8</v>
      </c>
      <c r="K68" s="128">
        <v>0.6826380549952018</v>
      </c>
      <c r="L68" s="39">
        <v>-1.5642434661033766E-2</v>
      </c>
      <c r="M68" s="40" t="s">
        <v>9</v>
      </c>
    </row>
    <row r="69" spans="3:13" ht="24.75" customHeight="1" x14ac:dyDescent="0.2">
      <c r="C69" s="41"/>
      <c r="D69" s="42"/>
      <c r="E69" s="43" t="s">
        <v>10</v>
      </c>
      <c r="F69" s="129">
        <v>0.84053713079234871</v>
      </c>
      <c r="G69" s="45">
        <v>-1.3123110145369044E-2</v>
      </c>
      <c r="H69" s="46"/>
      <c r="I69" s="41"/>
      <c r="J69" s="43" t="s">
        <v>10</v>
      </c>
      <c r="K69" s="129">
        <v>0.76027718650325093</v>
      </c>
      <c r="L69" s="47">
        <v>-4.2520393155091041E-3</v>
      </c>
      <c r="M69" s="40"/>
    </row>
    <row r="70" spans="3:13" ht="24.75" customHeight="1" thickBot="1" x14ac:dyDescent="0.25">
      <c r="C70" s="51"/>
      <c r="D70" s="97"/>
      <c r="E70" s="52" t="s">
        <v>11</v>
      </c>
      <c r="F70" s="130">
        <v>0.69101499932086963</v>
      </c>
      <c r="G70" s="69">
        <v>-8.232829546243936E-3</v>
      </c>
      <c r="H70" s="46"/>
      <c r="I70" s="51"/>
      <c r="J70" s="52" t="s">
        <v>11</v>
      </c>
      <c r="K70" s="130">
        <v>0.58482974890125417</v>
      </c>
      <c r="L70" s="54">
        <v>-2.5658179644587831E-2</v>
      </c>
      <c r="M70" s="40"/>
    </row>
    <row r="71" spans="3:13" ht="24.75" hidden="1" customHeight="1" x14ac:dyDescent="0.2">
      <c r="C71" s="55" t="s">
        <v>12</v>
      </c>
      <c r="D71" s="56"/>
      <c r="E71" s="57" t="s">
        <v>8</v>
      </c>
      <c r="F71" s="131">
        <v>0.34745769094620144</v>
      </c>
      <c r="G71" s="59">
        <v>2.0616661790786139E-2</v>
      </c>
      <c r="H71" s="60"/>
      <c r="I71" s="55" t="s">
        <v>12</v>
      </c>
      <c r="J71" s="57" t="s">
        <v>8</v>
      </c>
      <c r="K71" s="131">
        <v>0.36443291735726152</v>
      </c>
      <c r="L71" s="39">
        <v>-0.12494258062857611</v>
      </c>
      <c r="M71" s="40"/>
    </row>
    <row r="72" spans="3:13" ht="43.5" customHeight="1" thickBot="1" x14ac:dyDescent="0.25">
      <c r="C72" s="61"/>
      <c r="D72" s="62"/>
      <c r="E72" s="63" t="s">
        <v>10</v>
      </c>
      <c r="F72" s="132">
        <v>0.5552840635532017</v>
      </c>
      <c r="G72" s="45">
        <v>7.2394720861842954E-2</v>
      </c>
      <c r="H72" s="60"/>
      <c r="I72" s="61"/>
      <c r="J72" s="63" t="s">
        <v>10</v>
      </c>
      <c r="K72" s="132">
        <v>0.58993360020332952</v>
      </c>
      <c r="L72" s="47">
        <v>6.0221177267672843E-2</v>
      </c>
      <c r="M72" s="40"/>
    </row>
    <row r="73" spans="3:13" ht="24.75" hidden="1" customHeight="1" x14ac:dyDescent="0.2">
      <c r="C73" s="65"/>
      <c r="D73" s="66"/>
      <c r="E73" s="67" t="s">
        <v>11</v>
      </c>
      <c r="F73" s="133">
        <v>0</v>
      </c>
      <c r="G73" s="69" t="s">
        <v>38</v>
      </c>
      <c r="H73" s="60"/>
      <c r="I73" s="65"/>
      <c r="J73" s="67" t="s">
        <v>11</v>
      </c>
      <c r="K73" s="133">
        <v>0</v>
      </c>
      <c r="L73" s="54" t="s">
        <v>38</v>
      </c>
      <c r="M73" s="40"/>
    </row>
    <row r="74" spans="3:13" ht="24.75" customHeight="1" x14ac:dyDescent="0.2">
      <c r="C74" s="70" t="s">
        <v>13</v>
      </c>
      <c r="D74" s="71"/>
      <c r="E74" s="72" t="s">
        <v>8</v>
      </c>
      <c r="F74" s="134">
        <v>0.30059401039518191</v>
      </c>
      <c r="G74" s="59">
        <v>-3.3109979066662576E-2</v>
      </c>
      <c r="H74" s="60"/>
      <c r="I74" s="70" t="s">
        <v>13</v>
      </c>
      <c r="J74" s="72" t="s">
        <v>8</v>
      </c>
      <c r="K74" s="134">
        <v>0.35825448447405445</v>
      </c>
      <c r="L74" s="39">
        <v>-4.6825849206667103E-2</v>
      </c>
      <c r="M74" s="40"/>
    </row>
    <row r="75" spans="3:13" ht="24.75" customHeight="1" x14ac:dyDescent="0.2">
      <c r="C75" s="74"/>
      <c r="D75" s="75"/>
      <c r="E75" s="76" t="s">
        <v>10</v>
      </c>
      <c r="F75" s="135">
        <v>0.43586517196675056</v>
      </c>
      <c r="G75" s="45">
        <v>8.3808067032948852E-3</v>
      </c>
      <c r="H75" s="60"/>
      <c r="I75" s="74"/>
      <c r="J75" s="76" t="s">
        <v>10</v>
      </c>
      <c r="K75" s="135">
        <v>0.49505297259434378</v>
      </c>
      <c r="L75" s="47">
        <v>4.0577386367277146E-2</v>
      </c>
      <c r="M75" s="40"/>
    </row>
    <row r="76" spans="3:13" ht="24.75" customHeight="1" thickBot="1" x14ac:dyDescent="0.25">
      <c r="C76" s="78"/>
      <c r="D76" s="79"/>
      <c r="E76" s="80" t="s">
        <v>11</v>
      </c>
      <c r="F76" s="136">
        <v>0.22430107526881721</v>
      </c>
      <c r="G76" s="69">
        <v>-1.5642570281124479E-2</v>
      </c>
      <c r="H76" s="60"/>
      <c r="I76" s="78"/>
      <c r="J76" s="80" t="s">
        <v>11</v>
      </c>
      <c r="K76" s="136">
        <v>0.28110013717421123</v>
      </c>
      <c r="L76" s="54">
        <v>1.4518734131601096E-3</v>
      </c>
      <c r="M76" s="40"/>
    </row>
    <row r="77" spans="3:13" ht="24.75" customHeight="1" x14ac:dyDescent="0.2">
      <c r="C77" s="55" t="s">
        <v>14</v>
      </c>
      <c r="D77" s="56"/>
      <c r="E77" s="57" t="s">
        <v>8</v>
      </c>
      <c r="F77" s="131">
        <v>0.76111526537590879</v>
      </c>
      <c r="G77" s="59">
        <v>-6.1860172416564829E-2</v>
      </c>
      <c r="H77" s="60"/>
      <c r="I77" s="55" t="s">
        <v>14</v>
      </c>
      <c r="J77" s="57" t="s">
        <v>8</v>
      </c>
      <c r="K77" s="131">
        <v>0.68139598295400727</v>
      </c>
      <c r="L77" s="39">
        <v>-6.2037992919099061E-2</v>
      </c>
      <c r="M77" s="40"/>
    </row>
    <row r="78" spans="3:13" ht="24.75" customHeight="1" x14ac:dyDescent="0.2">
      <c r="C78" s="61"/>
      <c r="D78" s="62"/>
      <c r="E78" s="63" t="s">
        <v>10</v>
      </c>
      <c r="F78" s="132">
        <v>0.80353524017187195</v>
      </c>
      <c r="G78" s="45">
        <v>-2.3309932549296586E-2</v>
      </c>
      <c r="H78" s="60"/>
      <c r="I78" s="61"/>
      <c r="J78" s="63" t="s">
        <v>10</v>
      </c>
      <c r="K78" s="132">
        <v>0.73866925378954518</v>
      </c>
      <c r="L78" s="47">
        <v>-1.9064557876750432E-2</v>
      </c>
      <c r="M78" s="40"/>
    </row>
    <row r="79" spans="3:13" ht="24.75" customHeight="1" thickBot="1" x14ac:dyDescent="0.25">
      <c r="C79" s="65"/>
      <c r="D79" s="66"/>
      <c r="E79" s="67" t="s">
        <v>11</v>
      </c>
      <c r="F79" s="133">
        <v>0.68690520599891736</v>
      </c>
      <c r="G79" s="69">
        <v>-0.12997077879150731</v>
      </c>
      <c r="H79" s="60"/>
      <c r="I79" s="65"/>
      <c r="J79" s="67" t="s">
        <v>11</v>
      </c>
      <c r="K79" s="133">
        <v>0.58128303670038428</v>
      </c>
      <c r="L79" s="54">
        <v>-0.13722143164621681</v>
      </c>
      <c r="M79" s="40"/>
    </row>
    <row r="80" spans="3:13" ht="24.75" customHeight="1" x14ac:dyDescent="0.2">
      <c r="C80" s="82" t="s">
        <v>15</v>
      </c>
      <c r="D80" s="83"/>
      <c r="E80" s="84" t="s">
        <v>8</v>
      </c>
      <c r="F80" s="137">
        <v>0.80039997735364332</v>
      </c>
      <c r="G80" s="59">
        <v>4.0989059129723504E-3</v>
      </c>
      <c r="H80" s="60"/>
      <c r="I80" s="82" t="s">
        <v>15</v>
      </c>
      <c r="J80" s="84" t="s">
        <v>8</v>
      </c>
      <c r="K80" s="137">
        <v>0.69807960531521329</v>
      </c>
      <c r="L80" s="39">
        <v>1.1869683288794342E-3</v>
      </c>
      <c r="M80" s="40"/>
    </row>
    <row r="81" spans="3:13" ht="24.75" customHeight="1" x14ac:dyDescent="0.2">
      <c r="C81" s="86"/>
      <c r="D81" s="87"/>
      <c r="E81" s="88" t="s">
        <v>10</v>
      </c>
      <c r="F81" s="138">
        <v>0.86460604581310307</v>
      </c>
      <c r="G81" s="45">
        <v>-1.3649822147788537E-2</v>
      </c>
      <c r="H81" s="60"/>
      <c r="I81" s="86"/>
      <c r="J81" s="88" t="s">
        <v>10</v>
      </c>
      <c r="K81" s="138">
        <v>0.77498246318120889</v>
      </c>
      <c r="L81" s="47">
        <v>-2.7339795113999754E-3</v>
      </c>
      <c r="M81" s="40"/>
    </row>
    <row r="82" spans="3:13" ht="24.75" customHeight="1" thickBot="1" x14ac:dyDescent="0.25">
      <c r="C82" s="90"/>
      <c r="D82" s="91"/>
      <c r="E82" s="92" t="s">
        <v>11</v>
      </c>
      <c r="F82" s="139">
        <v>0.72088336621969262</v>
      </c>
      <c r="G82" s="69">
        <v>2.2514867557802853E-2</v>
      </c>
      <c r="H82" s="60"/>
      <c r="I82" s="90"/>
      <c r="J82" s="92" t="s">
        <v>11</v>
      </c>
      <c r="K82" s="139">
        <v>0.60742807038685476</v>
      </c>
      <c r="L82" s="54">
        <v>1.0449702054532883E-2</v>
      </c>
      <c r="M82" s="40"/>
    </row>
    <row r="83" spans="3:13" ht="5.25" customHeight="1" thickBot="1" x14ac:dyDescent="0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3:13" ht="20.100000000000001" customHeight="1" thickBot="1" x14ac:dyDescent="0.25">
      <c r="C84" s="25" t="s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3:13" ht="5.25" customHeight="1" thickBot="1" x14ac:dyDescent="0.25">
      <c r="C85" s="140"/>
      <c r="D85" s="28"/>
      <c r="E85" s="28"/>
      <c r="F85" s="28"/>
      <c r="G85" s="28"/>
      <c r="H85" s="28"/>
      <c r="I85" s="28"/>
      <c r="J85" s="28"/>
      <c r="K85" s="28"/>
      <c r="L85" s="28"/>
      <c r="M85" s="95"/>
    </row>
    <row r="86" spans="3:13" ht="33.75" customHeight="1" x14ac:dyDescent="0.2">
      <c r="C86" s="55" t="s">
        <v>7</v>
      </c>
      <c r="D86" s="56"/>
      <c r="E86" s="57" t="s">
        <v>20</v>
      </c>
      <c r="F86" s="58">
        <v>75171</v>
      </c>
      <c r="G86" s="59">
        <v>0.16490004649000456</v>
      </c>
      <c r="H86" s="141"/>
      <c r="I86" s="55" t="s">
        <v>7</v>
      </c>
      <c r="J86" s="57" t="s">
        <v>20</v>
      </c>
      <c r="K86" s="58">
        <v>561300</v>
      </c>
      <c r="L86" s="39">
        <v>0.29557478003157578</v>
      </c>
      <c r="M86" s="40" t="s">
        <v>9</v>
      </c>
    </row>
    <row r="87" spans="3:13" ht="33.75" customHeight="1" x14ac:dyDescent="0.2">
      <c r="C87" s="61"/>
      <c r="D87" s="62"/>
      <c r="E87" s="88" t="s">
        <v>21</v>
      </c>
      <c r="F87" s="89">
        <v>221560</v>
      </c>
      <c r="G87" s="45">
        <v>2.8512009210001077E-2</v>
      </c>
      <c r="H87" s="60"/>
      <c r="I87" s="61"/>
      <c r="J87" s="88" t="s">
        <v>21</v>
      </c>
      <c r="K87" s="89">
        <v>1557123</v>
      </c>
      <c r="L87" s="47">
        <v>1.7043439412316896E-2</v>
      </c>
      <c r="M87" s="40"/>
    </row>
    <row r="88" spans="3:13" ht="33.75" customHeight="1" x14ac:dyDescent="0.2">
      <c r="C88" s="61"/>
      <c r="D88" s="62"/>
      <c r="E88" s="63" t="s">
        <v>22</v>
      </c>
      <c r="F88" s="64">
        <v>64665</v>
      </c>
      <c r="G88" s="45">
        <v>3.4805568891022487E-2</v>
      </c>
      <c r="H88" s="60"/>
      <c r="I88" s="61"/>
      <c r="J88" s="63" t="s">
        <v>22</v>
      </c>
      <c r="K88" s="64">
        <v>448336</v>
      </c>
      <c r="L88" s="47">
        <v>-1.3169160875948438E-2</v>
      </c>
      <c r="M88" s="40"/>
    </row>
    <row r="89" spans="3:13" ht="33.75" customHeight="1" x14ac:dyDescent="0.2">
      <c r="C89" s="61"/>
      <c r="D89" s="62"/>
      <c r="E89" s="88" t="s">
        <v>23</v>
      </c>
      <c r="F89" s="89">
        <v>13542</v>
      </c>
      <c r="G89" s="45">
        <v>-1.5342107176615993E-2</v>
      </c>
      <c r="H89" s="60"/>
      <c r="I89" s="61"/>
      <c r="J89" s="88" t="s">
        <v>23</v>
      </c>
      <c r="K89" s="89">
        <v>112130</v>
      </c>
      <c r="L89" s="47">
        <v>7.937292691038822E-3</v>
      </c>
      <c r="M89" s="40"/>
    </row>
    <row r="90" spans="3:13" ht="33.75" customHeight="1" thickBot="1" x14ac:dyDescent="0.25">
      <c r="C90" s="65"/>
      <c r="D90" s="66"/>
      <c r="E90" s="67" t="s">
        <v>24</v>
      </c>
      <c r="F90" s="68">
        <v>5035</v>
      </c>
      <c r="G90" s="69">
        <v>0.16067312125403421</v>
      </c>
      <c r="H90" s="142"/>
      <c r="I90" s="65"/>
      <c r="J90" s="67" t="s">
        <v>24</v>
      </c>
      <c r="K90" s="68">
        <v>39419</v>
      </c>
      <c r="L90" s="54">
        <v>7.7640176057300669E-2</v>
      </c>
      <c r="M90" s="40"/>
    </row>
    <row r="91" spans="3:13" ht="5.25" customHeight="1" thickBot="1" x14ac:dyDescent="0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3:13" ht="20.100000000000001" customHeight="1" thickBot="1" x14ac:dyDescent="0.25">
      <c r="C92" s="25" t="s">
        <v>25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3:13" ht="5.25" customHeight="1" thickBot="1" x14ac:dyDescent="0.25">
      <c r="C93" s="140"/>
      <c r="D93" s="28"/>
      <c r="E93" s="28"/>
      <c r="F93" s="28"/>
      <c r="G93" s="28"/>
      <c r="H93" s="28"/>
      <c r="I93" s="28"/>
      <c r="J93" s="28"/>
      <c r="K93" s="28"/>
      <c r="L93" s="28"/>
      <c r="M93" s="95"/>
    </row>
    <row r="94" spans="3:13" s="143" customFormat="1" ht="33.75" customHeight="1" x14ac:dyDescent="0.2">
      <c r="C94" s="55" t="s">
        <v>7</v>
      </c>
      <c r="D94" s="56"/>
      <c r="E94" s="57" t="s">
        <v>20</v>
      </c>
      <c r="F94" s="58">
        <v>530628</v>
      </c>
      <c r="G94" s="59">
        <v>0.23035044356128931</v>
      </c>
      <c r="H94" s="141"/>
      <c r="I94" s="55" t="s">
        <v>7</v>
      </c>
      <c r="J94" s="57" t="s">
        <v>20</v>
      </c>
      <c r="K94" s="58">
        <v>3503919</v>
      </c>
      <c r="L94" s="39">
        <v>0.23759296731428692</v>
      </c>
      <c r="M94" s="40" t="s">
        <v>9</v>
      </c>
    </row>
    <row r="95" spans="3:13" s="143" customFormat="1" ht="33.75" customHeight="1" x14ac:dyDescent="0.2">
      <c r="C95" s="61"/>
      <c r="D95" s="62"/>
      <c r="E95" s="88" t="s">
        <v>21</v>
      </c>
      <c r="F95" s="89">
        <v>1567879</v>
      </c>
      <c r="G95" s="45">
        <v>-1.7450990959600787E-2</v>
      </c>
      <c r="H95" s="60"/>
      <c r="I95" s="61"/>
      <c r="J95" s="88" t="s">
        <v>21</v>
      </c>
      <c r="K95" s="89">
        <v>11109213</v>
      </c>
      <c r="L95" s="47">
        <v>-4.5182481326674351E-3</v>
      </c>
      <c r="M95" s="40" t="s">
        <v>26</v>
      </c>
    </row>
    <row r="96" spans="3:13" s="143" customFormat="1" ht="33.75" customHeight="1" x14ac:dyDescent="0.2">
      <c r="C96" s="61"/>
      <c r="D96" s="62"/>
      <c r="E96" s="63" t="s">
        <v>22</v>
      </c>
      <c r="F96" s="64">
        <v>441337</v>
      </c>
      <c r="G96" s="45">
        <v>4.9171169586333718E-2</v>
      </c>
      <c r="H96" s="60"/>
      <c r="I96" s="61"/>
      <c r="J96" s="63" t="s">
        <v>22</v>
      </c>
      <c r="K96" s="64">
        <v>2904469</v>
      </c>
      <c r="L96" s="47">
        <v>-3.9884315485910649E-2</v>
      </c>
      <c r="M96" s="40" t="s">
        <v>26</v>
      </c>
    </row>
    <row r="97" spans="3:15" s="143" customFormat="1" ht="33.75" customHeight="1" x14ac:dyDescent="0.2">
      <c r="C97" s="61"/>
      <c r="D97" s="62"/>
      <c r="E97" s="88" t="s">
        <v>23</v>
      </c>
      <c r="F97" s="89">
        <v>60109</v>
      </c>
      <c r="G97" s="45">
        <v>-8.5767536987250148E-3</v>
      </c>
      <c r="H97" s="60"/>
      <c r="I97" s="61"/>
      <c r="J97" s="88" t="s">
        <v>23</v>
      </c>
      <c r="K97" s="89">
        <v>479948</v>
      </c>
      <c r="L97" s="47">
        <v>0.12351849207482513</v>
      </c>
      <c r="M97" s="40" t="s">
        <v>26</v>
      </c>
    </row>
    <row r="98" spans="3:15" s="143" customFormat="1" ht="33.75" customHeight="1" thickBot="1" x14ac:dyDescent="0.25">
      <c r="C98" s="65"/>
      <c r="D98" s="66"/>
      <c r="E98" s="67" t="s">
        <v>24</v>
      </c>
      <c r="F98" s="68">
        <v>20382</v>
      </c>
      <c r="G98" s="69">
        <v>6.7232170907948419E-2</v>
      </c>
      <c r="H98" s="142"/>
      <c r="I98" s="65"/>
      <c r="J98" s="67" t="s">
        <v>24</v>
      </c>
      <c r="K98" s="68">
        <v>167268</v>
      </c>
      <c r="L98" s="54">
        <v>9.4198916712457725E-2</v>
      </c>
      <c r="M98" s="40" t="s">
        <v>26</v>
      </c>
    </row>
    <row r="99" spans="3:15" ht="5.25" customHeight="1" thickBot="1" x14ac:dyDescent="0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3:15" ht="20.100000000000001" customHeight="1" thickBot="1" x14ac:dyDescent="0.25">
      <c r="C100" s="25" t="s">
        <v>27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3:15" ht="5.25" customHeight="1" thickBot="1" x14ac:dyDescent="0.25">
      <c r="C101" s="140"/>
      <c r="D101" s="28"/>
      <c r="E101" s="28"/>
      <c r="F101" s="28"/>
      <c r="G101" s="28"/>
      <c r="H101" s="28"/>
      <c r="I101" s="28"/>
      <c r="J101" s="28"/>
      <c r="K101" s="28"/>
      <c r="L101" s="28"/>
      <c r="M101" s="95"/>
    </row>
    <row r="102" spans="3:15" ht="33.75" customHeight="1" x14ac:dyDescent="0.2">
      <c r="C102" s="55" t="s">
        <v>7</v>
      </c>
      <c r="D102" s="56"/>
      <c r="E102" s="57" t="s">
        <v>20</v>
      </c>
      <c r="F102" s="144">
        <v>7.0589456040228278</v>
      </c>
      <c r="G102" s="99">
        <v>0.37551154234608841</v>
      </c>
      <c r="H102" s="141"/>
      <c r="I102" s="55" t="s">
        <v>7</v>
      </c>
      <c r="J102" s="57" t="s">
        <v>20</v>
      </c>
      <c r="K102" s="144">
        <v>6.2425066809192948</v>
      </c>
      <c r="L102" s="100">
        <v>-0.29246437465216157</v>
      </c>
      <c r="M102" s="40" t="s">
        <v>9</v>
      </c>
    </row>
    <row r="103" spans="3:15" ht="33.75" customHeight="1" x14ac:dyDescent="0.2">
      <c r="C103" s="61"/>
      <c r="D103" s="62"/>
      <c r="E103" s="76" t="s">
        <v>21</v>
      </c>
      <c r="F103" s="145">
        <v>7.0765435999277848</v>
      </c>
      <c r="G103" s="102">
        <v>-0.33103608236431725</v>
      </c>
      <c r="H103" s="60"/>
      <c r="I103" s="61"/>
      <c r="J103" s="76" t="s">
        <v>21</v>
      </c>
      <c r="K103" s="145">
        <v>7.1344479530518781</v>
      </c>
      <c r="L103" s="103">
        <v>-0.15452893765365427</v>
      </c>
      <c r="M103" s="40" t="s">
        <v>26</v>
      </c>
    </row>
    <row r="104" spans="3:15" ht="33.75" customHeight="1" x14ac:dyDescent="0.2">
      <c r="C104" s="61"/>
      <c r="D104" s="62"/>
      <c r="E104" s="63" t="s">
        <v>22</v>
      </c>
      <c r="F104" s="146">
        <v>6.8249748704863524</v>
      </c>
      <c r="G104" s="102">
        <v>9.3449826479311326E-2</v>
      </c>
      <c r="H104" s="60"/>
      <c r="I104" s="61"/>
      <c r="J104" s="63" t="s">
        <v>22</v>
      </c>
      <c r="K104" s="146">
        <v>6.4783309839049288</v>
      </c>
      <c r="L104" s="103">
        <v>-0.18025912568767044</v>
      </c>
      <c r="M104" s="40" t="s">
        <v>26</v>
      </c>
      <c r="O104" s="147"/>
    </row>
    <row r="105" spans="3:15" ht="33.75" customHeight="1" x14ac:dyDescent="0.2">
      <c r="C105" s="61"/>
      <c r="D105" s="62"/>
      <c r="E105" s="76" t="s">
        <v>23</v>
      </c>
      <c r="F105" s="145">
        <v>4.4387092010042828</v>
      </c>
      <c r="G105" s="102">
        <v>3.0289219909248821E-2</v>
      </c>
      <c r="H105" s="60"/>
      <c r="I105" s="61"/>
      <c r="J105" s="76" t="s">
        <v>23</v>
      </c>
      <c r="K105" s="145">
        <v>4.2802818157495768</v>
      </c>
      <c r="L105" s="103">
        <v>0.44033107550489614</v>
      </c>
      <c r="M105" s="40" t="s">
        <v>26</v>
      </c>
    </row>
    <row r="106" spans="3:15" ht="33.75" customHeight="1" thickBot="1" x14ac:dyDescent="0.25">
      <c r="C106" s="65"/>
      <c r="D106" s="66"/>
      <c r="E106" s="67" t="s">
        <v>24</v>
      </c>
      <c r="F106" s="148">
        <v>4.0480635551142008</v>
      </c>
      <c r="G106" s="105">
        <v>-0.35442607144181615</v>
      </c>
      <c r="H106" s="142"/>
      <c r="I106" s="65"/>
      <c r="J106" s="67" t="s">
        <v>24</v>
      </c>
      <c r="K106" s="148">
        <v>4.2433344326340086</v>
      </c>
      <c r="L106" s="106">
        <v>6.4215265898996954E-2</v>
      </c>
      <c r="M106" s="40" t="s">
        <v>26</v>
      </c>
    </row>
    <row r="107" spans="3:15" ht="5.25" customHeight="1" thickBot="1" x14ac:dyDescent="0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3:15" ht="20.100000000000001" customHeight="1" thickBot="1" x14ac:dyDescent="0.25">
      <c r="C108" s="25" t="s">
        <v>28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3:15" ht="5.25" customHeight="1" thickBot="1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49"/>
    </row>
    <row r="110" spans="3:15" ht="33.75" customHeight="1" x14ac:dyDescent="0.2">
      <c r="C110" s="55" t="s">
        <v>7</v>
      </c>
      <c r="D110" s="56"/>
      <c r="E110" s="57" t="s">
        <v>20</v>
      </c>
      <c r="F110" s="131">
        <v>0.87631353392026401</v>
      </c>
      <c r="G110" s="59">
        <v>6.3683404516433395E-2</v>
      </c>
      <c r="H110" s="141"/>
      <c r="I110" s="55" t="s">
        <v>7</v>
      </c>
      <c r="J110" s="57" t="s">
        <v>20</v>
      </c>
      <c r="K110" s="131">
        <v>0.78394657763834663</v>
      </c>
      <c r="L110" s="39">
        <v>7.0884110411147283E-2</v>
      </c>
      <c r="M110" s="40" t="s">
        <v>9</v>
      </c>
    </row>
    <row r="111" spans="3:15" ht="33.75" customHeight="1" x14ac:dyDescent="0.2">
      <c r="C111" s="61"/>
      <c r="D111" s="62"/>
      <c r="E111" s="76" t="s">
        <v>21</v>
      </c>
      <c r="F111" s="135">
        <v>0.87211804761753786</v>
      </c>
      <c r="G111" s="45">
        <v>-3.5206778062774169E-2</v>
      </c>
      <c r="H111" s="60"/>
      <c r="I111" s="61"/>
      <c r="J111" s="76" t="s">
        <v>21</v>
      </c>
      <c r="K111" s="135">
        <v>0.78980920384151732</v>
      </c>
      <c r="L111" s="47">
        <v>-1.6995023076868176E-2</v>
      </c>
      <c r="M111" s="40" t="s">
        <v>26</v>
      </c>
    </row>
    <row r="112" spans="3:15" ht="33.75" customHeight="1" x14ac:dyDescent="0.2">
      <c r="C112" s="61"/>
      <c r="D112" s="62"/>
      <c r="E112" s="63" t="s">
        <v>22</v>
      </c>
      <c r="F112" s="132">
        <v>0.76062816794116783</v>
      </c>
      <c r="G112" s="45">
        <v>-1.4002197305999498E-2</v>
      </c>
      <c r="H112" s="60"/>
      <c r="I112" s="61"/>
      <c r="J112" s="63" t="s">
        <v>22</v>
      </c>
      <c r="K112" s="132">
        <v>0.67405508860745389</v>
      </c>
      <c r="L112" s="47">
        <v>-5.2791774212512466E-2</v>
      </c>
      <c r="M112" s="40" t="s">
        <v>26</v>
      </c>
    </row>
    <row r="113" spans="3:13" ht="33.75" customHeight="1" x14ac:dyDescent="0.2">
      <c r="C113" s="61"/>
      <c r="D113" s="62"/>
      <c r="E113" s="76" t="s">
        <v>23</v>
      </c>
      <c r="F113" s="135">
        <v>0.61070866141732283</v>
      </c>
      <c r="G113" s="45">
        <v>-8.5767536987250148E-3</v>
      </c>
      <c r="H113" s="60"/>
      <c r="I113" s="61"/>
      <c r="J113" s="76" t="s">
        <v>23</v>
      </c>
      <c r="K113" s="135">
        <v>0.622077055182917</v>
      </c>
      <c r="L113" s="47">
        <v>0.11613831422208531</v>
      </c>
      <c r="M113" s="40" t="s">
        <v>26</v>
      </c>
    </row>
    <row r="114" spans="3:13" ht="33.75" customHeight="1" thickBot="1" x14ac:dyDescent="0.25">
      <c r="C114" s="65"/>
      <c r="D114" s="66"/>
      <c r="E114" s="67" t="s">
        <v>24</v>
      </c>
      <c r="F114" s="133">
        <v>0.57422172136920691</v>
      </c>
      <c r="G114" s="69">
        <v>4.9522641434366799E-2</v>
      </c>
      <c r="H114" s="142"/>
      <c r="I114" s="65"/>
      <c r="J114" s="67" t="s">
        <v>24</v>
      </c>
      <c r="K114" s="133">
        <v>0.60471573284744362</v>
      </c>
      <c r="L114" s="54">
        <v>7.3786971887557673E-2</v>
      </c>
      <c r="M114" s="40" t="s">
        <v>26</v>
      </c>
    </row>
    <row r="115" spans="3:13" ht="5.25" customHeight="1" thickBot="1" x14ac:dyDescent="0.25">
      <c r="C115" s="150"/>
      <c r="D115" s="150"/>
      <c r="E115" s="151"/>
      <c r="F115" s="94"/>
      <c r="G115" s="152"/>
      <c r="H115" s="153"/>
      <c r="I115" s="94"/>
      <c r="J115" s="152"/>
      <c r="K115" s="151"/>
      <c r="L115" s="150"/>
      <c r="M115" s="154"/>
    </row>
    <row r="116" spans="3:13" ht="17.25" customHeight="1" thickBot="1" x14ac:dyDescent="0.25"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7"/>
    </row>
    <row r="117" spans="3:13" ht="50.25" customHeight="1" thickBot="1" x14ac:dyDescent="0.25">
      <c r="C117" s="1"/>
      <c r="D117" s="1"/>
      <c r="E117" s="2" t="str">
        <f>$E$1</f>
        <v>INDICADORES TURÍSTICOS DE TENERIFE definitivo</v>
      </c>
      <c r="F117" s="2"/>
      <c r="G117" s="2"/>
      <c r="H117" s="2"/>
      <c r="I117" s="2"/>
      <c r="J117" s="2"/>
      <c r="K117" s="2"/>
      <c r="L117" s="1"/>
      <c r="M117" s="1"/>
    </row>
    <row r="118" spans="3:13" ht="9" customHeight="1" thickBot="1" x14ac:dyDescent="0.25">
      <c r="C118" s="158"/>
      <c r="D118" s="159"/>
      <c r="E118" s="160"/>
      <c r="F118" s="160"/>
      <c r="G118" s="160"/>
      <c r="H118" s="160"/>
      <c r="I118" s="160"/>
      <c r="J118" s="160"/>
      <c r="K118" s="160"/>
      <c r="L118" s="159"/>
      <c r="M118" s="161"/>
    </row>
    <row r="119" spans="3:13" ht="33" customHeight="1" thickBot="1" x14ac:dyDescent="0.25">
      <c r="C119" s="162" t="s">
        <v>29</v>
      </c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3:13" ht="20.100000000000001" customHeight="1" x14ac:dyDescent="0.2">
      <c r="C120" s="165"/>
      <c r="D120" s="166"/>
      <c r="E120" s="166"/>
      <c r="F120" s="166"/>
      <c r="G120" s="167" t="str">
        <f>C2</f>
        <v>agosto 2019</v>
      </c>
      <c r="H120" s="168"/>
      <c r="I120" s="168"/>
      <c r="J120" s="166"/>
      <c r="K120" s="166"/>
      <c r="L120" s="166"/>
      <c r="M120" s="169"/>
    </row>
    <row r="121" spans="3:13" ht="5.25" customHeight="1" thickBot="1" x14ac:dyDescent="0.25">
      <c r="C121" s="170"/>
      <c r="D121" s="166"/>
      <c r="E121" s="166"/>
      <c r="F121" s="166"/>
      <c r="G121" s="171"/>
      <c r="H121" s="171"/>
      <c r="I121" s="171"/>
      <c r="J121" s="166"/>
      <c r="K121" s="166"/>
      <c r="L121" s="166"/>
      <c r="M121" s="172"/>
    </row>
    <row r="122" spans="3:13" ht="33" customHeight="1" thickTop="1" thickBot="1" x14ac:dyDescent="0.25">
      <c r="C122" s="173"/>
      <c r="D122" s="174" t="s">
        <v>7</v>
      </c>
      <c r="E122" s="175"/>
      <c r="F122" s="174" t="s">
        <v>30</v>
      </c>
      <c r="G122" s="175"/>
      <c r="H122" s="174" t="s">
        <v>31</v>
      </c>
      <c r="I122" s="175"/>
      <c r="J122" s="174" t="s">
        <v>32</v>
      </c>
      <c r="K122" s="175"/>
      <c r="L122" s="174" t="s">
        <v>33</v>
      </c>
      <c r="M122" s="175"/>
    </row>
    <row r="123" spans="3:13" ht="31.5" customHeight="1" thickBot="1" x14ac:dyDescent="0.25">
      <c r="C123" s="176"/>
      <c r="D123" s="177" t="s">
        <v>34</v>
      </c>
      <c r="E123" s="178" t="s">
        <v>35</v>
      </c>
      <c r="F123" s="177" t="s">
        <v>34</v>
      </c>
      <c r="G123" s="178" t="s">
        <v>35</v>
      </c>
      <c r="H123" s="177" t="s">
        <v>34</v>
      </c>
      <c r="I123" s="178" t="s">
        <v>35</v>
      </c>
      <c r="J123" s="177" t="s">
        <v>34</v>
      </c>
      <c r="K123" s="178" t="s">
        <v>35</v>
      </c>
      <c r="L123" s="177" t="s">
        <v>34</v>
      </c>
      <c r="M123" s="178" t="s">
        <v>35</v>
      </c>
    </row>
    <row r="124" spans="3:13" ht="24" customHeight="1" thickBot="1" x14ac:dyDescent="0.25">
      <c r="C124" s="179" t="s">
        <v>36</v>
      </c>
      <c r="D124" s="180">
        <v>199992</v>
      </c>
      <c r="E124" s="181">
        <v>0.10463523485484516</v>
      </c>
      <c r="F124" s="180">
        <v>11643</v>
      </c>
      <c r="G124" s="181">
        <v>0.11726321850110355</v>
      </c>
      <c r="H124" s="180">
        <v>5128</v>
      </c>
      <c r="I124" s="181">
        <v>0.31050345003833368</v>
      </c>
      <c r="J124" s="180">
        <v>71311</v>
      </c>
      <c r="K124" s="181">
        <v>6.6029838251562278E-2</v>
      </c>
      <c r="L124" s="180">
        <v>111910</v>
      </c>
      <c r="M124" s="181">
        <v>0.12111801242236031</v>
      </c>
    </row>
    <row r="125" spans="3:13" ht="27" customHeight="1" thickBot="1" x14ac:dyDescent="0.25">
      <c r="C125" s="182" t="s">
        <v>37</v>
      </c>
      <c r="D125" s="183">
        <v>67545.920913685666</v>
      </c>
      <c r="E125" s="184">
        <v>0.33591091685441632</v>
      </c>
      <c r="F125" s="183" t="s">
        <v>38</v>
      </c>
      <c r="G125" s="184" t="s">
        <v>38</v>
      </c>
      <c r="H125" s="183" t="s">
        <v>38</v>
      </c>
      <c r="I125" s="184" t="s">
        <v>38</v>
      </c>
      <c r="J125" s="183" t="s">
        <v>38</v>
      </c>
      <c r="K125" s="184" t="s">
        <v>38</v>
      </c>
      <c r="L125" s="183" t="s">
        <v>38</v>
      </c>
      <c r="M125" s="184" t="s">
        <v>38</v>
      </c>
    </row>
    <row r="126" spans="3:13" ht="28.5" customHeight="1" thickBot="1" x14ac:dyDescent="0.25">
      <c r="C126" s="185" t="s">
        <v>39</v>
      </c>
      <c r="D126" s="186">
        <v>23063.275493677535</v>
      </c>
      <c r="E126" s="187">
        <v>-2.1198709064891297E-2</v>
      </c>
      <c r="F126" s="186" t="s">
        <v>38</v>
      </c>
      <c r="G126" s="187" t="s">
        <v>38</v>
      </c>
      <c r="H126" s="186" t="s">
        <v>38</v>
      </c>
      <c r="I126" s="187" t="s">
        <v>38</v>
      </c>
      <c r="J126" s="186" t="s">
        <v>38</v>
      </c>
      <c r="K126" s="187" t="s">
        <v>38</v>
      </c>
      <c r="L126" s="186" t="s">
        <v>38</v>
      </c>
      <c r="M126" s="187" t="s">
        <v>38</v>
      </c>
    </row>
    <row r="127" spans="3:13" ht="27.75" customHeight="1" thickBot="1" x14ac:dyDescent="0.25">
      <c r="C127" s="185" t="s">
        <v>40</v>
      </c>
      <c r="D127" s="186">
        <v>109382.8035926368</v>
      </c>
      <c r="E127" s="187">
        <v>2.30003161125516E-2</v>
      </c>
      <c r="F127" s="186" t="s">
        <v>38</v>
      </c>
      <c r="G127" s="187" t="s">
        <v>38</v>
      </c>
      <c r="H127" s="186" t="s">
        <v>38</v>
      </c>
      <c r="I127" s="187" t="s">
        <v>38</v>
      </c>
      <c r="J127" s="186" t="s">
        <v>38</v>
      </c>
      <c r="K127" s="187" t="s">
        <v>38</v>
      </c>
      <c r="L127" s="186" t="s">
        <v>38</v>
      </c>
      <c r="M127" s="187" t="s">
        <v>38</v>
      </c>
    </row>
    <row r="128" spans="3:13" ht="24" customHeight="1" thickBot="1" x14ac:dyDescent="0.25">
      <c r="C128" s="188" t="s">
        <v>41</v>
      </c>
      <c r="D128" s="189">
        <v>17362</v>
      </c>
      <c r="E128" s="187">
        <v>-0.10069408474049524</v>
      </c>
      <c r="F128" s="189">
        <v>108</v>
      </c>
      <c r="G128" s="187">
        <v>-9.1743119266054496E-3</v>
      </c>
      <c r="H128" s="189">
        <v>80</v>
      </c>
      <c r="I128" s="187">
        <v>5.2631578947368363E-2</v>
      </c>
      <c r="J128" s="189">
        <v>2273</v>
      </c>
      <c r="K128" s="187">
        <v>-4.2947368421052623E-2</v>
      </c>
      <c r="L128" s="189">
        <v>14901</v>
      </c>
      <c r="M128" s="187">
        <v>-0.11017556431386599</v>
      </c>
    </row>
    <row r="129" spans="3:13" ht="24" customHeight="1" thickBot="1" x14ac:dyDescent="0.25">
      <c r="C129" s="190" t="s">
        <v>42</v>
      </c>
      <c r="D129" s="186">
        <v>12262</v>
      </c>
      <c r="E129" s="187">
        <v>-2.5200731377692964E-2</v>
      </c>
      <c r="F129" s="186">
        <v>76</v>
      </c>
      <c r="G129" s="187">
        <v>-7.3170731707317027E-2</v>
      </c>
      <c r="H129" s="186">
        <v>36</v>
      </c>
      <c r="I129" s="187">
        <v>-0.41935483870967738</v>
      </c>
      <c r="J129" s="186">
        <v>900</v>
      </c>
      <c r="K129" s="187">
        <v>-0.18032786885245899</v>
      </c>
      <c r="L129" s="186">
        <v>11250</v>
      </c>
      <c r="M129" s="187">
        <v>-7.6739878274675322E-3</v>
      </c>
    </row>
    <row r="130" spans="3:13" ht="24" customHeight="1" thickBot="1" x14ac:dyDescent="0.25">
      <c r="C130" s="188" t="s">
        <v>43</v>
      </c>
      <c r="D130" s="189">
        <v>40862</v>
      </c>
      <c r="E130" s="187">
        <v>-0.19884714924319657</v>
      </c>
      <c r="F130" s="189">
        <v>370</v>
      </c>
      <c r="G130" s="187">
        <v>-0.3392857142857143</v>
      </c>
      <c r="H130" s="189">
        <v>422</v>
      </c>
      <c r="I130" s="187">
        <v>-0.13168724279835387</v>
      </c>
      <c r="J130" s="189">
        <v>14591</v>
      </c>
      <c r="K130" s="187">
        <v>-0.2041128020509464</v>
      </c>
      <c r="L130" s="189">
        <v>25479</v>
      </c>
      <c r="M130" s="187">
        <v>-0.19433992094861663</v>
      </c>
    </row>
    <row r="131" spans="3:13" ht="24" customHeight="1" thickBot="1" x14ac:dyDescent="0.25">
      <c r="C131" s="190" t="s">
        <v>44</v>
      </c>
      <c r="D131" s="186">
        <v>22267</v>
      </c>
      <c r="E131" s="187">
        <v>0.12755722098440359</v>
      </c>
      <c r="F131" s="186">
        <v>594</v>
      </c>
      <c r="G131" s="187">
        <v>-4.6548956661316199E-2</v>
      </c>
      <c r="H131" s="186">
        <v>479</v>
      </c>
      <c r="I131" s="187">
        <v>-9.6226415094339601E-2</v>
      </c>
      <c r="J131" s="186">
        <v>5336</v>
      </c>
      <c r="K131" s="187">
        <v>0.1255009491668424</v>
      </c>
      <c r="L131" s="186">
        <v>15858</v>
      </c>
      <c r="M131" s="187">
        <v>0.14465136422693803</v>
      </c>
    </row>
    <row r="132" spans="3:13" ht="24" customHeight="1" thickBot="1" x14ac:dyDescent="0.25">
      <c r="C132" s="188" t="s">
        <v>45</v>
      </c>
      <c r="D132" s="189">
        <v>192262</v>
      </c>
      <c r="E132" s="187">
        <v>2.7364393692456579E-2</v>
      </c>
      <c r="F132" s="189">
        <v>494</v>
      </c>
      <c r="G132" s="187">
        <v>-0.25825825825825821</v>
      </c>
      <c r="H132" s="189">
        <v>129</v>
      </c>
      <c r="I132" s="187">
        <v>-0.37681159420289856</v>
      </c>
      <c r="J132" s="189">
        <v>8475</v>
      </c>
      <c r="K132" s="187">
        <v>0.21662360034453054</v>
      </c>
      <c r="L132" s="189">
        <v>183164</v>
      </c>
      <c r="M132" s="187">
        <v>2.1539079318691368E-2</v>
      </c>
    </row>
    <row r="133" spans="3:13" ht="24" customHeight="1" thickBot="1" x14ac:dyDescent="0.25">
      <c r="C133" s="190" t="s">
        <v>46</v>
      </c>
      <c r="D133" s="186">
        <v>13440</v>
      </c>
      <c r="E133" s="187">
        <v>0.14091680814940588</v>
      </c>
      <c r="F133" s="186">
        <v>37</v>
      </c>
      <c r="G133" s="187">
        <v>0.42307692307692313</v>
      </c>
      <c r="H133" s="186">
        <v>16</v>
      </c>
      <c r="I133" s="187">
        <v>0</v>
      </c>
      <c r="J133" s="186">
        <v>735</v>
      </c>
      <c r="K133" s="187">
        <v>-0.10909090909090913</v>
      </c>
      <c r="L133" s="186">
        <v>12652</v>
      </c>
      <c r="M133" s="187">
        <v>0.15935123247502969</v>
      </c>
    </row>
    <row r="134" spans="3:13" ht="24" customHeight="1" thickBot="1" x14ac:dyDescent="0.25">
      <c r="C134" s="188" t="s">
        <v>47</v>
      </c>
      <c r="D134" s="189">
        <v>16446</v>
      </c>
      <c r="E134" s="187">
        <v>-3.5934111026437621E-2</v>
      </c>
      <c r="F134" s="189">
        <v>743</v>
      </c>
      <c r="G134" s="187">
        <v>-0.18974918211559433</v>
      </c>
      <c r="H134" s="189">
        <v>236</v>
      </c>
      <c r="I134" s="187">
        <v>0.34857142857142853</v>
      </c>
      <c r="J134" s="189">
        <v>2427</v>
      </c>
      <c r="K134" s="187">
        <v>0.12465245597775709</v>
      </c>
      <c r="L134" s="189">
        <v>13040</v>
      </c>
      <c r="M134" s="187">
        <v>-5.5688319212108039E-2</v>
      </c>
    </row>
    <row r="135" spans="3:13" ht="24" customHeight="1" thickBot="1" x14ac:dyDescent="0.25">
      <c r="C135" s="190" t="s">
        <v>48</v>
      </c>
      <c r="D135" s="186">
        <v>5039</v>
      </c>
      <c r="E135" s="187">
        <v>0.29670612454966538</v>
      </c>
      <c r="F135" s="186">
        <v>116</v>
      </c>
      <c r="G135" s="187">
        <v>1.7543859649122862E-2</v>
      </c>
      <c r="H135" s="186">
        <v>30</v>
      </c>
      <c r="I135" s="187">
        <v>6.5</v>
      </c>
      <c r="J135" s="186">
        <v>950</v>
      </c>
      <c r="K135" s="187">
        <v>0.44817073170731714</v>
      </c>
      <c r="L135" s="186">
        <v>3943</v>
      </c>
      <c r="M135" s="187">
        <v>0.26703084832904889</v>
      </c>
    </row>
    <row r="136" spans="3:13" ht="24" customHeight="1" thickBot="1" x14ac:dyDescent="0.25">
      <c r="C136" s="191" t="s">
        <v>49</v>
      </c>
      <c r="D136" s="189">
        <v>1603</v>
      </c>
      <c r="E136" s="187">
        <v>0.29378531073446323</v>
      </c>
      <c r="F136" s="189">
        <v>35</v>
      </c>
      <c r="G136" s="187">
        <v>-0.125</v>
      </c>
      <c r="H136" s="189">
        <v>10</v>
      </c>
      <c r="I136" s="187">
        <v>2.3333333333333335</v>
      </c>
      <c r="J136" s="189">
        <v>326</v>
      </c>
      <c r="K136" s="187">
        <v>0.4361233480176212</v>
      </c>
      <c r="L136" s="189">
        <v>1232</v>
      </c>
      <c r="M136" s="187">
        <v>0.27141382868937058</v>
      </c>
    </row>
    <row r="137" spans="3:13" ht="24" customHeight="1" thickBot="1" x14ac:dyDescent="0.25">
      <c r="C137" s="185" t="s">
        <v>50</v>
      </c>
      <c r="D137" s="186">
        <v>1357</v>
      </c>
      <c r="E137" s="187">
        <v>0.36794354838709675</v>
      </c>
      <c r="F137" s="186">
        <v>36</v>
      </c>
      <c r="G137" s="187">
        <v>-2.7027027027026973E-2</v>
      </c>
      <c r="H137" s="186">
        <v>7</v>
      </c>
      <c r="I137" s="187" t="s">
        <v>38</v>
      </c>
      <c r="J137" s="186">
        <v>171</v>
      </c>
      <c r="K137" s="187">
        <v>8.2278481012658222E-2</v>
      </c>
      <c r="L137" s="186">
        <v>1143</v>
      </c>
      <c r="M137" s="187">
        <v>0.43412797992471774</v>
      </c>
    </row>
    <row r="138" spans="3:13" ht="24" customHeight="1" thickBot="1" x14ac:dyDescent="0.25">
      <c r="C138" s="191" t="s">
        <v>51</v>
      </c>
      <c r="D138" s="189">
        <v>1703</v>
      </c>
      <c r="E138" s="187">
        <v>0.14989871708305191</v>
      </c>
      <c r="F138" s="189">
        <v>36</v>
      </c>
      <c r="G138" s="187">
        <v>-2.7027027027026973E-2</v>
      </c>
      <c r="H138" s="189">
        <v>10</v>
      </c>
      <c r="I138" s="187">
        <v>9</v>
      </c>
      <c r="J138" s="189">
        <v>426</v>
      </c>
      <c r="K138" s="187">
        <v>0.8441558441558441</v>
      </c>
      <c r="L138" s="189">
        <v>1231</v>
      </c>
      <c r="M138" s="187">
        <v>1.5676567656765616E-2</v>
      </c>
    </row>
    <row r="139" spans="3:13" ht="24" customHeight="1" thickBot="1" x14ac:dyDescent="0.25">
      <c r="C139" s="185" t="s">
        <v>52</v>
      </c>
      <c r="D139" s="186">
        <v>376</v>
      </c>
      <c r="E139" s="187">
        <v>1.1609195402298851</v>
      </c>
      <c r="F139" s="186">
        <v>9</v>
      </c>
      <c r="G139" s="187" t="s">
        <v>38</v>
      </c>
      <c r="H139" s="186">
        <v>3</v>
      </c>
      <c r="I139" s="187" t="s">
        <v>38</v>
      </c>
      <c r="J139" s="186">
        <v>27</v>
      </c>
      <c r="K139" s="187">
        <v>-0.32499999999999996</v>
      </c>
      <c r="L139" s="186">
        <v>337</v>
      </c>
      <c r="M139" s="187">
        <v>1.5149253731343282</v>
      </c>
    </row>
    <row r="140" spans="3:13" ht="24" customHeight="1" thickBot="1" x14ac:dyDescent="0.25">
      <c r="C140" s="188" t="s">
        <v>53</v>
      </c>
      <c r="D140" s="189">
        <v>2409</v>
      </c>
      <c r="E140" s="187">
        <v>-0.22911999999999999</v>
      </c>
      <c r="F140" s="189">
        <v>34</v>
      </c>
      <c r="G140" s="187">
        <v>-0.3928571428571429</v>
      </c>
      <c r="H140" s="189">
        <v>119</v>
      </c>
      <c r="I140" s="187">
        <v>1.3333333333333335</v>
      </c>
      <c r="J140" s="189">
        <v>311</v>
      </c>
      <c r="K140" s="187">
        <v>-0.45534150612959723</v>
      </c>
      <c r="L140" s="189">
        <v>1945</v>
      </c>
      <c r="M140" s="187">
        <v>-0.20514916223947688</v>
      </c>
    </row>
    <row r="141" spans="3:13" ht="24" customHeight="1" thickBot="1" x14ac:dyDescent="0.25">
      <c r="C141" s="190" t="s">
        <v>54</v>
      </c>
      <c r="D141" s="186">
        <v>2456</v>
      </c>
      <c r="E141" s="187">
        <v>-2.5783419278064268E-2</v>
      </c>
      <c r="F141" s="186">
        <v>24</v>
      </c>
      <c r="G141" s="187">
        <v>-0.36842105263157898</v>
      </c>
      <c r="H141" s="186">
        <v>20</v>
      </c>
      <c r="I141" s="187">
        <v>0.33333333333333326</v>
      </c>
      <c r="J141" s="186">
        <v>499</v>
      </c>
      <c r="K141" s="187">
        <v>-8.7751371115173726E-2</v>
      </c>
      <c r="L141" s="186">
        <v>1913</v>
      </c>
      <c r="M141" s="187">
        <v>-4.1644976574700676E-3</v>
      </c>
    </row>
    <row r="142" spans="3:13" ht="24" customHeight="1" thickBot="1" x14ac:dyDescent="0.25">
      <c r="C142" s="188" t="s">
        <v>55</v>
      </c>
      <c r="D142" s="189">
        <v>8799</v>
      </c>
      <c r="E142" s="187">
        <v>0.27245119305856824</v>
      </c>
      <c r="F142" s="189">
        <v>144</v>
      </c>
      <c r="G142" s="187">
        <v>0.13385826771653542</v>
      </c>
      <c r="H142" s="189">
        <v>20</v>
      </c>
      <c r="I142" s="187">
        <v>0.53846153846153855</v>
      </c>
      <c r="J142" s="189">
        <v>972</v>
      </c>
      <c r="K142" s="187">
        <v>8.4821428571428603E-2</v>
      </c>
      <c r="L142" s="189">
        <v>7663</v>
      </c>
      <c r="M142" s="187">
        <v>0.3034529681918694</v>
      </c>
    </row>
    <row r="143" spans="3:13" ht="24" customHeight="1" thickBot="1" x14ac:dyDescent="0.25">
      <c r="C143" s="190" t="s">
        <v>56</v>
      </c>
      <c r="D143" s="186">
        <v>13981</v>
      </c>
      <c r="E143" s="187">
        <v>-0.15174129353233834</v>
      </c>
      <c r="F143" s="186">
        <v>224</v>
      </c>
      <c r="G143" s="187">
        <v>0.64705882352941169</v>
      </c>
      <c r="H143" s="186">
        <v>126</v>
      </c>
      <c r="I143" s="187">
        <v>0.93846153846153846</v>
      </c>
      <c r="J143" s="186">
        <v>2070</v>
      </c>
      <c r="K143" s="187">
        <v>-0.2572658772874058</v>
      </c>
      <c r="L143" s="186">
        <v>11561</v>
      </c>
      <c r="M143" s="187">
        <v>-0.14324885134133691</v>
      </c>
    </row>
    <row r="144" spans="3:13" ht="24" customHeight="1" thickBot="1" x14ac:dyDescent="0.25">
      <c r="C144" s="188" t="s">
        <v>57</v>
      </c>
      <c r="D144" s="189">
        <v>16878</v>
      </c>
      <c r="E144" s="187">
        <v>2.4351131436717299E-3</v>
      </c>
      <c r="F144" s="189">
        <v>283</v>
      </c>
      <c r="G144" s="187">
        <v>-0.16519174041297935</v>
      </c>
      <c r="H144" s="189">
        <v>64</v>
      </c>
      <c r="I144" s="187">
        <v>-0.22891566265060237</v>
      </c>
      <c r="J144" s="189">
        <v>4828</v>
      </c>
      <c r="K144" s="187">
        <v>-3.8630027877339712E-2</v>
      </c>
      <c r="L144" s="189">
        <v>11703</v>
      </c>
      <c r="M144" s="187">
        <v>2.7209690160624911E-2</v>
      </c>
    </row>
    <row r="145" spans="3:13" ht="24" customHeight="1" thickBot="1" x14ac:dyDescent="0.25">
      <c r="C145" s="190" t="s">
        <v>58</v>
      </c>
      <c r="D145" s="186">
        <v>1795</v>
      </c>
      <c r="E145" s="187">
        <v>0.11490683229813659</v>
      </c>
      <c r="F145" s="186">
        <v>165</v>
      </c>
      <c r="G145" s="187">
        <v>1.1428571428571428</v>
      </c>
      <c r="H145" s="186">
        <v>55</v>
      </c>
      <c r="I145" s="187">
        <v>-9.8360655737704916E-2</v>
      </c>
      <c r="J145" s="186">
        <v>234</v>
      </c>
      <c r="K145" s="187">
        <v>-0.23778501628664495</v>
      </c>
      <c r="L145" s="186">
        <v>1341</v>
      </c>
      <c r="M145" s="187">
        <v>0.15107296137339055</v>
      </c>
    </row>
    <row r="146" spans="3:13" ht="24" customHeight="1" thickBot="1" x14ac:dyDescent="0.25">
      <c r="C146" s="188" t="s">
        <v>59</v>
      </c>
      <c r="D146" s="189">
        <v>2375</v>
      </c>
      <c r="E146" s="187">
        <v>0.24020887728459539</v>
      </c>
      <c r="F146" s="189">
        <v>361</v>
      </c>
      <c r="G146" s="187">
        <v>0.28014184397163122</v>
      </c>
      <c r="H146" s="189">
        <v>112</v>
      </c>
      <c r="I146" s="187">
        <v>0.21739130434782616</v>
      </c>
      <c r="J146" s="189">
        <v>598</v>
      </c>
      <c r="K146" s="187">
        <v>6.216696269982247E-2</v>
      </c>
      <c r="L146" s="189">
        <v>1304</v>
      </c>
      <c r="M146" s="187">
        <v>0.33333333333333326</v>
      </c>
    </row>
    <row r="147" spans="3:13" ht="24" customHeight="1" thickBot="1" x14ac:dyDescent="0.25">
      <c r="C147" s="190" t="s">
        <v>60</v>
      </c>
      <c r="D147" s="192">
        <v>7106</v>
      </c>
      <c r="E147" s="193">
        <v>-0.24129831304719196</v>
      </c>
      <c r="F147" s="192">
        <v>357</v>
      </c>
      <c r="G147" s="193">
        <v>0.10526315789473695</v>
      </c>
      <c r="H147" s="192">
        <v>98</v>
      </c>
      <c r="I147" s="193">
        <v>-0.17647058823529416</v>
      </c>
      <c r="J147" s="192">
        <v>1071</v>
      </c>
      <c r="K147" s="193">
        <v>-0.50871559633027519</v>
      </c>
      <c r="L147" s="192">
        <v>5580</v>
      </c>
      <c r="M147" s="193">
        <v>-0.17259786476868333</v>
      </c>
    </row>
    <row r="148" spans="3:13" ht="30.75" customHeight="1" thickTop="1" thickBot="1" x14ac:dyDescent="0.25">
      <c r="C148" s="194" t="s">
        <v>61</v>
      </c>
      <c r="D148" s="195">
        <v>375739</v>
      </c>
      <c r="E148" s="196">
        <v>-1.4517118922349859E-2</v>
      </c>
      <c r="F148" s="195">
        <v>4130</v>
      </c>
      <c r="G148" s="196">
        <v>-7.709497206703908E-2</v>
      </c>
      <c r="H148" s="195">
        <v>2042</v>
      </c>
      <c r="I148" s="196">
        <v>-6.3260340632603773E-3</v>
      </c>
      <c r="J148" s="195">
        <v>46270</v>
      </c>
      <c r="K148" s="196">
        <v>-7.5062468765617174E-2</v>
      </c>
      <c r="L148" s="195">
        <v>323297</v>
      </c>
      <c r="M148" s="196">
        <v>-4.3791709139286983E-3</v>
      </c>
    </row>
    <row r="149" spans="3:13" ht="24" customHeight="1" thickBot="1" x14ac:dyDescent="0.25">
      <c r="C149" s="197" t="s">
        <v>8</v>
      </c>
      <c r="D149" s="198">
        <v>575731</v>
      </c>
      <c r="E149" s="199">
        <v>2.3845768083055718E-2</v>
      </c>
      <c r="F149" s="198">
        <v>15773</v>
      </c>
      <c r="G149" s="199">
        <v>5.8874865735768056E-2</v>
      </c>
      <c r="H149" s="198">
        <v>7170</v>
      </c>
      <c r="I149" s="199">
        <v>0.20140750670241281</v>
      </c>
      <c r="J149" s="198">
        <v>117581</v>
      </c>
      <c r="K149" s="199">
        <v>5.6620395316415717E-3</v>
      </c>
      <c r="L149" s="198">
        <v>435207</v>
      </c>
      <c r="M149" s="199">
        <v>2.5128433430144259E-2</v>
      </c>
    </row>
    <row r="150" spans="3:13" ht="13.5" thickBot="1" x14ac:dyDescent="0.25">
      <c r="C150" s="16"/>
      <c r="M150" s="200"/>
    </row>
    <row r="151" spans="3:13" ht="35.25" customHeight="1" thickBot="1" x14ac:dyDescent="0.25">
      <c r="C151" s="162" t="s">
        <v>29</v>
      </c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3:13" ht="20.100000000000001" customHeight="1" x14ac:dyDescent="0.2">
      <c r="C152" s="165"/>
      <c r="D152" s="166"/>
      <c r="E152" s="166"/>
      <c r="F152" s="166"/>
      <c r="G152" s="167" t="str">
        <f>I2</f>
        <v>acumulado agosto 2019</v>
      </c>
      <c r="H152" s="168"/>
      <c r="I152" s="168"/>
      <c r="J152" s="166"/>
      <c r="K152" s="166"/>
      <c r="L152" s="166"/>
      <c r="M152" s="169"/>
    </row>
    <row r="153" spans="3:13" ht="5.25" customHeight="1" thickBot="1" x14ac:dyDescent="0.25">
      <c r="C153" s="170"/>
      <c r="D153" s="166"/>
      <c r="E153" s="166"/>
      <c r="F153" s="166"/>
      <c r="G153" s="171"/>
      <c r="H153" s="171"/>
      <c r="I153" s="171"/>
      <c r="J153" s="166"/>
      <c r="K153" s="166"/>
      <c r="L153" s="166"/>
      <c r="M153" s="172"/>
    </row>
    <row r="154" spans="3:13" ht="32.25" customHeight="1" thickTop="1" thickBot="1" x14ac:dyDescent="0.25">
      <c r="C154" s="173"/>
      <c r="D154" s="174" t="s">
        <v>7</v>
      </c>
      <c r="E154" s="175"/>
      <c r="F154" s="174" t="s">
        <v>30</v>
      </c>
      <c r="G154" s="175"/>
      <c r="H154" s="174" t="s">
        <v>31</v>
      </c>
      <c r="I154" s="175"/>
      <c r="J154" s="174" t="s">
        <v>32</v>
      </c>
      <c r="K154" s="175"/>
      <c r="L154" s="174" t="s">
        <v>33</v>
      </c>
      <c r="M154" s="175"/>
    </row>
    <row r="155" spans="3:13" ht="31.5" customHeight="1" thickBot="1" x14ac:dyDescent="0.25">
      <c r="C155" s="176"/>
      <c r="D155" s="177" t="s">
        <v>62</v>
      </c>
      <c r="E155" s="178" t="s">
        <v>35</v>
      </c>
      <c r="F155" s="177" t="s">
        <v>62</v>
      </c>
      <c r="G155" s="178" t="s">
        <v>35</v>
      </c>
      <c r="H155" s="177" t="s">
        <v>62</v>
      </c>
      <c r="I155" s="178" t="s">
        <v>35</v>
      </c>
      <c r="J155" s="177" t="s">
        <v>62</v>
      </c>
      <c r="K155" s="178" t="s">
        <v>35</v>
      </c>
      <c r="L155" s="177" t="s">
        <v>62</v>
      </c>
      <c r="M155" s="178" t="s">
        <v>35</v>
      </c>
    </row>
    <row r="156" spans="3:13" ht="24" customHeight="1" thickBot="1" x14ac:dyDescent="0.25">
      <c r="C156" s="179" t="s">
        <v>36</v>
      </c>
      <c r="D156" s="180">
        <v>1033689</v>
      </c>
      <c r="E156" s="181">
        <v>0.13691646759143161</v>
      </c>
      <c r="F156" s="180">
        <v>105841</v>
      </c>
      <c r="G156" s="181">
        <v>7.702414502246846E-3</v>
      </c>
      <c r="H156" s="180">
        <v>33973</v>
      </c>
      <c r="I156" s="181">
        <v>0.32293613707165103</v>
      </c>
      <c r="J156" s="180">
        <v>397440</v>
      </c>
      <c r="K156" s="181">
        <v>9.5712155005334587E-2</v>
      </c>
      <c r="L156" s="180">
        <v>496435</v>
      </c>
      <c r="M156" s="181">
        <v>0.194016388908264</v>
      </c>
    </row>
    <row r="157" spans="3:13" ht="24" customHeight="1" thickBot="1" x14ac:dyDescent="0.25">
      <c r="C157" s="182" t="s">
        <v>37</v>
      </c>
      <c r="D157" s="183">
        <v>305393.93668326118</v>
      </c>
      <c r="E157" s="184">
        <v>0.29126158022642956</v>
      </c>
      <c r="F157" s="183" t="s">
        <v>38</v>
      </c>
      <c r="G157" s="184" t="s">
        <v>38</v>
      </c>
      <c r="H157" s="183" t="s">
        <v>38</v>
      </c>
      <c r="I157" s="184" t="s">
        <v>38</v>
      </c>
      <c r="J157" s="183" t="s">
        <v>38</v>
      </c>
      <c r="K157" s="184" t="s">
        <v>38</v>
      </c>
      <c r="L157" s="183" t="s">
        <v>38</v>
      </c>
      <c r="M157" s="184" t="s">
        <v>38</v>
      </c>
    </row>
    <row r="158" spans="3:13" ht="24" customHeight="1" thickBot="1" x14ac:dyDescent="0.25">
      <c r="C158" s="185" t="s">
        <v>39</v>
      </c>
      <c r="D158" s="186">
        <v>131467.12863729495</v>
      </c>
      <c r="E158" s="187">
        <v>8.5460099808508661E-2</v>
      </c>
      <c r="F158" s="186" t="s">
        <v>38</v>
      </c>
      <c r="G158" s="187" t="s">
        <v>38</v>
      </c>
      <c r="H158" s="186" t="s">
        <v>38</v>
      </c>
      <c r="I158" s="187" t="s">
        <v>38</v>
      </c>
      <c r="J158" s="186" t="s">
        <v>38</v>
      </c>
      <c r="K158" s="187" t="s">
        <v>38</v>
      </c>
      <c r="L158" s="186" t="s">
        <v>38</v>
      </c>
      <c r="M158" s="187" t="s">
        <v>38</v>
      </c>
    </row>
    <row r="159" spans="3:13" ht="24" customHeight="1" thickBot="1" x14ac:dyDescent="0.25">
      <c r="C159" s="185" t="s">
        <v>40</v>
      </c>
      <c r="D159" s="186">
        <v>596827.93467944395</v>
      </c>
      <c r="E159" s="187">
        <v>8.2034663455322399E-2</v>
      </c>
      <c r="F159" s="186" t="s">
        <v>38</v>
      </c>
      <c r="G159" s="187" t="s">
        <v>38</v>
      </c>
      <c r="H159" s="186" t="s">
        <v>38</v>
      </c>
      <c r="I159" s="187" t="s">
        <v>38</v>
      </c>
      <c r="J159" s="186" t="s">
        <v>38</v>
      </c>
      <c r="K159" s="187" t="s">
        <v>38</v>
      </c>
      <c r="L159" s="186" t="s">
        <v>38</v>
      </c>
      <c r="M159" s="187" t="s">
        <v>38</v>
      </c>
    </row>
    <row r="160" spans="3:13" ht="24" customHeight="1" thickBot="1" x14ac:dyDescent="0.25">
      <c r="C160" s="188" t="s">
        <v>41</v>
      </c>
      <c r="D160" s="189">
        <v>116974</v>
      </c>
      <c r="E160" s="187">
        <v>-2.6158047221019665E-2</v>
      </c>
      <c r="F160" s="189">
        <v>1037</v>
      </c>
      <c r="G160" s="187">
        <v>0.11505376344086016</v>
      </c>
      <c r="H160" s="189">
        <v>852</v>
      </c>
      <c r="I160" s="187">
        <v>0.1420911528150135</v>
      </c>
      <c r="J160" s="189">
        <v>10376</v>
      </c>
      <c r="K160" s="187">
        <v>-9.1498117502845644E-2</v>
      </c>
      <c r="L160" s="189">
        <v>104709</v>
      </c>
      <c r="M160" s="187">
        <v>-2.1584952204748653E-2</v>
      </c>
    </row>
    <row r="161" spans="3:13" ht="24" customHeight="1" thickBot="1" x14ac:dyDescent="0.25">
      <c r="C161" s="190" t="s">
        <v>42</v>
      </c>
      <c r="D161" s="186">
        <v>108427</v>
      </c>
      <c r="E161" s="187">
        <v>3.8682236634128175E-2</v>
      </c>
      <c r="F161" s="186">
        <v>875</v>
      </c>
      <c r="G161" s="187">
        <v>-0.14467253176930595</v>
      </c>
      <c r="H161" s="186">
        <v>677</v>
      </c>
      <c r="I161" s="187">
        <v>0.27255639097744355</v>
      </c>
      <c r="J161" s="186">
        <v>6543</v>
      </c>
      <c r="K161" s="187">
        <v>7.2798819478603116E-2</v>
      </c>
      <c r="L161" s="186">
        <v>100332</v>
      </c>
      <c r="M161" s="187">
        <v>3.71840595441153E-2</v>
      </c>
    </row>
    <row r="162" spans="3:13" ht="24" customHeight="1" thickBot="1" x14ac:dyDescent="0.25">
      <c r="C162" s="188" t="s">
        <v>43</v>
      </c>
      <c r="D162" s="189">
        <v>376530</v>
      </c>
      <c r="E162" s="187">
        <v>-8.7480945260489551E-2</v>
      </c>
      <c r="F162" s="189">
        <v>5797</v>
      </c>
      <c r="G162" s="187">
        <v>-9.746224505682699E-2</v>
      </c>
      <c r="H162" s="189">
        <v>7330</v>
      </c>
      <c r="I162" s="187">
        <v>9.6484667165295468E-2</v>
      </c>
      <c r="J162" s="189">
        <v>135691</v>
      </c>
      <c r="K162" s="187">
        <v>-0.12158190481122788</v>
      </c>
      <c r="L162" s="189">
        <v>227712</v>
      </c>
      <c r="M162" s="187">
        <v>-7.074153121646054E-2</v>
      </c>
    </row>
    <row r="163" spans="3:13" ht="24" customHeight="1" thickBot="1" x14ac:dyDescent="0.25">
      <c r="C163" s="190" t="s">
        <v>44</v>
      </c>
      <c r="D163" s="186">
        <v>146008</v>
      </c>
      <c r="E163" s="187">
        <v>7.7732751684787882E-2</v>
      </c>
      <c r="F163" s="186">
        <v>4150</v>
      </c>
      <c r="G163" s="187">
        <v>6.9863366847125574E-2</v>
      </c>
      <c r="H163" s="186">
        <v>4379</v>
      </c>
      <c r="I163" s="187">
        <v>0.12657576537175208</v>
      </c>
      <c r="J163" s="186">
        <v>31513</v>
      </c>
      <c r="K163" s="187">
        <v>9.4391387393644832E-2</v>
      </c>
      <c r="L163" s="186">
        <v>105966</v>
      </c>
      <c r="M163" s="187">
        <v>7.1272594929030708E-2</v>
      </c>
    </row>
    <row r="164" spans="3:13" ht="24" customHeight="1" thickBot="1" x14ac:dyDescent="0.25">
      <c r="C164" s="188" t="s">
        <v>45</v>
      </c>
      <c r="D164" s="189">
        <v>1468939</v>
      </c>
      <c r="E164" s="187">
        <v>9.8814368211603387E-2</v>
      </c>
      <c r="F164" s="189">
        <v>6196</v>
      </c>
      <c r="G164" s="187">
        <v>-0.15975047464062919</v>
      </c>
      <c r="H164" s="189">
        <v>2216</v>
      </c>
      <c r="I164" s="187">
        <v>0.12716174974567651</v>
      </c>
      <c r="J164" s="189">
        <v>64190</v>
      </c>
      <c r="K164" s="187">
        <v>0.1343394359228105</v>
      </c>
      <c r="L164" s="189">
        <v>1396337</v>
      </c>
      <c r="M164" s="187">
        <v>9.868897295800183E-2</v>
      </c>
    </row>
    <row r="165" spans="3:13" ht="24" customHeight="1" thickBot="1" x14ac:dyDescent="0.25">
      <c r="C165" s="190" t="s">
        <v>46</v>
      </c>
      <c r="D165" s="186">
        <v>95215</v>
      </c>
      <c r="E165" s="187">
        <v>0.16338599513703067</v>
      </c>
      <c r="F165" s="186">
        <v>626</v>
      </c>
      <c r="G165" s="187">
        <v>0.21553398058252426</v>
      </c>
      <c r="H165" s="186">
        <v>199</v>
      </c>
      <c r="I165" s="187">
        <v>9.3406593406593297E-2</v>
      </c>
      <c r="J165" s="186">
        <v>5109</v>
      </c>
      <c r="K165" s="187">
        <v>-2.852253280091277E-2</v>
      </c>
      <c r="L165" s="186">
        <v>89281</v>
      </c>
      <c r="M165" s="187">
        <v>0.17649926864943932</v>
      </c>
    </row>
    <row r="166" spans="3:13" ht="24" customHeight="1" thickBot="1" x14ac:dyDescent="0.25">
      <c r="C166" s="188" t="s">
        <v>47</v>
      </c>
      <c r="D166" s="189">
        <v>102324</v>
      </c>
      <c r="E166" s="187">
        <v>2.7308140235331901E-2</v>
      </c>
      <c r="F166" s="189">
        <v>4451</v>
      </c>
      <c r="G166" s="187">
        <v>1.1361054305839557E-2</v>
      </c>
      <c r="H166" s="189">
        <v>1342</v>
      </c>
      <c r="I166" s="187">
        <v>9.1944670463791622E-2</v>
      </c>
      <c r="J166" s="189">
        <v>11896</v>
      </c>
      <c r="K166" s="187">
        <v>5.3862508858965263E-2</v>
      </c>
      <c r="L166" s="189">
        <v>84635</v>
      </c>
      <c r="M166" s="187">
        <v>2.3571100307186121E-2</v>
      </c>
    </row>
    <row r="167" spans="3:13" ht="24" customHeight="1" thickBot="1" x14ac:dyDescent="0.25">
      <c r="C167" s="190" t="s">
        <v>48</v>
      </c>
      <c r="D167" s="186">
        <v>248853</v>
      </c>
      <c r="E167" s="187">
        <v>2.9628618241398064E-2</v>
      </c>
      <c r="F167" s="186">
        <v>4469</v>
      </c>
      <c r="G167" s="187">
        <v>-4.7324664250692816E-2</v>
      </c>
      <c r="H167" s="186">
        <v>908</v>
      </c>
      <c r="I167" s="187">
        <v>0.50830564784053167</v>
      </c>
      <c r="J167" s="186">
        <v>38748</v>
      </c>
      <c r="K167" s="187">
        <v>0.1168501758229088</v>
      </c>
      <c r="L167" s="186">
        <v>204728</v>
      </c>
      <c r="M167" s="187">
        <v>1.4987233831585733E-2</v>
      </c>
    </row>
    <row r="168" spans="3:13" ht="24" customHeight="1" thickBot="1" x14ac:dyDescent="0.25">
      <c r="C168" s="191" t="s">
        <v>49</v>
      </c>
      <c r="D168" s="189">
        <v>73412</v>
      </c>
      <c r="E168" s="187">
        <v>-0.13171216350475468</v>
      </c>
      <c r="F168" s="189">
        <v>1615</v>
      </c>
      <c r="G168" s="187">
        <v>-6.8627450980392135E-2</v>
      </c>
      <c r="H168" s="189">
        <v>333</v>
      </c>
      <c r="I168" s="187">
        <v>0.20216606498194944</v>
      </c>
      <c r="J168" s="189">
        <v>9613</v>
      </c>
      <c r="K168" s="187">
        <v>3.7784734967073241E-2</v>
      </c>
      <c r="L168" s="189">
        <v>61851</v>
      </c>
      <c r="M168" s="187">
        <v>-0.15589431449081526</v>
      </c>
    </row>
    <row r="169" spans="3:13" ht="24" customHeight="1" thickBot="1" x14ac:dyDescent="0.25">
      <c r="C169" s="185" t="s">
        <v>50</v>
      </c>
      <c r="D169" s="186">
        <v>48104</v>
      </c>
      <c r="E169" s="187">
        <v>0.14160951183045789</v>
      </c>
      <c r="F169" s="186">
        <v>978</v>
      </c>
      <c r="G169" s="187">
        <v>-0.16481639624252775</v>
      </c>
      <c r="H169" s="186">
        <v>185</v>
      </c>
      <c r="I169" s="187">
        <v>0.88775510204081631</v>
      </c>
      <c r="J169" s="186">
        <v>4727</v>
      </c>
      <c r="K169" s="187">
        <v>0.29365079365079372</v>
      </c>
      <c r="L169" s="186">
        <v>42214</v>
      </c>
      <c r="M169" s="187">
        <v>0.13435803729779106</v>
      </c>
    </row>
    <row r="170" spans="3:13" ht="24" customHeight="1" thickBot="1" x14ac:dyDescent="0.25">
      <c r="C170" s="191" t="s">
        <v>51</v>
      </c>
      <c r="D170" s="189">
        <v>64297</v>
      </c>
      <c r="E170" s="187">
        <v>0.17617897779241209</v>
      </c>
      <c r="F170" s="189">
        <v>978</v>
      </c>
      <c r="G170" s="187">
        <v>0.1001124859392577</v>
      </c>
      <c r="H170" s="189">
        <v>225</v>
      </c>
      <c r="I170" s="187">
        <v>0.60714285714285721</v>
      </c>
      <c r="J170" s="189">
        <v>8462</v>
      </c>
      <c r="K170" s="187">
        <v>0.39338053680223939</v>
      </c>
      <c r="L170" s="189">
        <v>54632</v>
      </c>
      <c r="M170" s="187">
        <v>0.1485997813472375</v>
      </c>
    </row>
    <row r="171" spans="3:13" ht="24" customHeight="1" thickBot="1" x14ac:dyDescent="0.25">
      <c r="C171" s="185" t="s">
        <v>52</v>
      </c>
      <c r="D171" s="186">
        <v>63040</v>
      </c>
      <c r="E171" s="187">
        <v>4.4729122818647271E-2</v>
      </c>
      <c r="F171" s="186">
        <v>898</v>
      </c>
      <c r="G171" s="187">
        <v>1.1148272017837968E-3</v>
      </c>
      <c r="H171" s="186">
        <v>165</v>
      </c>
      <c r="I171" s="187">
        <v>0.89655172413793105</v>
      </c>
      <c r="J171" s="186">
        <v>15946</v>
      </c>
      <c r="K171" s="187">
        <v>1.5410086602139605E-2</v>
      </c>
      <c r="L171" s="186">
        <v>46031</v>
      </c>
      <c r="M171" s="187">
        <v>5.4475064714910815E-2</v>
      </c>
    </row>
    <row r="172" spans="3:13" ht="24" customHeight="1" thickBot="1" x14ac:dyDescent="0.25">
      <c r="C172" s="188" t="s">
        <v>53</v>
      </c>
      <c r="D172" s="189">
        <v>30880</v>
      </c>
      <c r="E172" s="187">
        <v>-7.85115335263048E-2</v>
      </c>
      <c r="F172" s="189">
        <v>831</v>
      </c>
      <c r="G172" s="187">
        <v>-4.1522491349480939E-2</v>
      </c>
      <c r="H172" s="189">
        <v>799</v>
      </c>
      <c r="I172" s="187">
        <v>0.43705035971223016</v>
      </c>
      <c r="J172" s="189">
        <v>5020</v>
      </c>
      <c r="K172" s="187">
        <v>-0.14654879292757561</v>
      </c>
      <c r="L172" s="189">
        <v>24230</v>
      </c>
      <c r="M172" s="187">
        <v>-7.5402579561932415E-2</v>
      </c>
    </row>
    <row r="173" spans="3:13" ht="24" customHeight="1" thickBot="1" x14ac:dyDescent="0.25">
      <c r="C173" s="190" t="s">
        <v>54</v>
      </c>
      <c r="D173" s="186">
        <v>22248</v>
      </c>
      <c r="E173" s="187">
        <v>-2.9700379432160195E-2</v>
      </c>
      <c r="F173" s="186">
        <v>501</v>
      </c>
      <c r="G173" s="187">
        <v>0.2587939698492463</v>
      </c>
      <c r="H173" s="186">
        <v>431</v>
      </c>
      <c r="I173" s="187">
        <v>0.16486486486486496</v>
      </c>
      <c r="J173" s="186">
        <v>5251</v>
      </c>
      <c r="K173" s="187">
        <v>-0.31062097938821054</v>
      </c>
      <c r="L173" s="186">
        <v>16065</v>
      </c>
      <c r="M173" s="187">
        <v>0.10457920792079212</v>
      </c>
    </row>
    <row r="174" spans="3:13" ht="24" customHeight="1" thickBot="1" x14ac:dyDescent="0.25">
      <c r="C174" s="188" t="s">
        <v>55</v>
      </c>
      <c r="D174" s="189">
        <v>65804</v>
      </c>
      <c r="E174" s="187">
        <v>0.28787552598101573</v>
      </c>
      <c r="F174" s="189">
        <v>1648</v>
      </c>
      <c r="G174" s="187">
        <v>0.17714285714285705</v>
      </c>
      <c r="H174" s="189">
        <v>595</v>
      </c>
      <c r="I174" s="187">
        <v>0.84782608695652173</v>
      </c>
      <c r="J174" s="189">
        <v>7789</v>
      </c>
      <c r="K174" s="187">
        <v>0.34108126721763088</v>
      </c>
      <c r="L174" s="189">
        <v>55772</v>
      </c>
      <c r="M174" s="187">
        <v>0.28020199701595327</v>
      </c>
    </row>
    <row r="175" spans="3:13" ht="24" customHeight="1" thickBot="1" x14ac:dyDescent="0.25">
      <c r="C175" s="190" t="s">
        <v>56</v>
      </c>
      <c r="D175" s="186">
        <v>111251</v>
      </c>
      <c r="E175" s="187">
        <v>-2.6044858438534102E-2</v>
      </c>
      <c r="F175" s="186">
        <v>1648</v>
      </c>
      <c r="G175" s="187">
        <v>0.16056338028169015</v>
      </c>
      <c r="H175" s="186">
        <v>675</v>
      </c>
      <c r="I175" s="187">
        <v>0.38888888888888884</v>
      </c>
      <c r="J175" s="186">
        <v>15306</v>
      </c>
      <c r="K175" s="187">
        <v>0.10752532561505057</v>
      </c>
      <c r="L175" s="186">
        <v>93622</v>
      </c>
      <c r="M175" s="187">
        <v>-4.9522842639593945E-2</v>
      </c>
    </row>
    <row r="176" spans="3:13" ht="24" customHeight="1" thickBot="1" x14ac:dyDescent="0.25">
      <c r="C176" s="188" t="s">
        <v>57</v>
      </c>
      <c r="D176" s="189">
        <v>110022</v>
      </c>
      <c r="E176" s="187">
        <v>4.8128036581880584E-2</v>
      </c>
      <c r="F176" s="189">
        <v>3450</v>
      </c>
      <c r="G176" s="187">
        <v>3.8843721770551065E-2</v>
      </c>
      <c r="H176" s="189">
        <v>655</v>
      </c>
      <c r="I176" s="187">
        <v>-6.0698027314112224E-3</v>
      </c>
      <c r="J176" s="189">
        <v>26401</v>
      </c>
      <c r="K176" s="187">
        <v>2.0683522771205443E-2</v>
      </c>
      <c r="L176" s="189">
        <v>79516</v>
      </c>
      <c r="M176" s="187">
        <v>5.8463340610191095E-2</v>
      </c>
    </row>
    <row r="177" spans="3:18" ht="24" customHeight="1" thickBot="1" x14ac:dyDescent="0.25">
      <c r="C177" s="190" t="s">
        <v>58</v>
      </c>
      <c r="D177" s="186">
        <v>18028</v>
      </c>
      <c r="E177" s="187">
        <v>0.21245544421279172</v>
      </c>
      <c r="F177" s="186">
        <v>1588</v>
      </c>
      <c r="G177" s="187">
        <v>0.10816468946266578</v>
      </c>
      <c r="H177" s="186">
        <v>627</v>
      </c>
      <c r="I177" s="187">
        <v>-0.11315417256011318</v>
      </c>
      <c r="J177" s="186">
        <v>2245</v>
      </c>
      <c r="K177" s="187">
        <v>5.0538137576041198E-2</v>
      </c>
      <c r="L177" s="186">
        <v>13568</v>
      </c>
      <c r="M177" s="187">
        <v>0.2809667673716012</v>
      </c>
    </row>
    <row r="178" spans="3:18" ht="24" customHeight="1" thickBot="1" x14ac:dyDescent="0.25">
      <c r="C178" s="188" t="s">
        <v>59</v>
      </c>
      <c r="D178" s="189">
        <v>16278</v>
      </c>
      <c r="E178" s="187">
        <v>0.10157677471746629</v>
      </c>
      <c r="F178" s="189">
        <v>3191</v>
      </c>
      <c r="G178" s="187">
        <v>2.7697262479871254E-2</v>
      </c>
      <c r="H178" s="189">
        <v>806</v>
      </c>
      <c r="I178" s="187">
        <v>0.10714285714285721</v>
      </c>
      <c r="J178" s="189">
        <v>4226</v>
      </c>
      <c r="K178" s="187">
        <v>0.20536223616657168</v>
      </c>
      <c r="L178" s="189">
        <v>8055</v>
      </c>
      <c r="M178" s="187">
        <v>8.2952406560903524E-2</v>
      </c>
    </row>
    <row r="179" spans="3:18" ht="24" customHeight="1" thickBot="1" x14ac:dyDescent="0.25">
      <c r="C179" s="190" t="s">
        <v>60</v>
      </c>
      <c r="D179" s="192">
        <v>54825</v>
      </c>
      <c r="E179" s="193">
        <v>-5.0089835030217023E-3</v>
      </c>
      <c r="F179" s="192">
        <v>3595</v>
      </c>
      <c r="G179" s="193">
        <v>5.9534335396404403E-2</v>
      </c>
      <c r="H179" s="192">
        <v>1189</v>
      </c>
      <c r="I179" s="193">
        <v>0.26086956521739135</v>
      </c>
      <c r="J179" s="192">
        <v>9715</v>
      </c>
      <c r="K179" s="193">
        <v>-0.16134323204419887</v>
      </c>
      <c r="L179" s="192">
        <v>40326</v>
      </c>
      <c r="M179" s="193">
        <v>2.9223348051351516E-2</v>
      </c>
    </row>
    <row r="180" spans="3:18" ht="30.75" customHeight="1" thickTop="1" thickBot="1" x14ac:dyDescent="0.25">
      <c r="C180" s="194" t="s">
        <v>61</v>
      </c>
      <c r="D180" s="195">
        <v>3092606</v>
      </c>
      <c r="E180" s="196">
        <v>5.0454031940859956E-2</v>
      </c>
      <c r="F180" s="195">
        <v>44053</v>
      </c>
      <c r="G180" s="196">
        <v>-1.1666255356381661E-2</v>
      </c>
      <c r="H180" s="195">
        <v>23680</v>
      </c>
      <c r="I180" s="196">
        <v>0.14951456310679601</v>
      </c>
      <c r="J180" s="195">
        <v>380019</v>
      </c>
      <c r="K180" s="196">
        <v>-1.2517020237191923E-2</v>
      </c>
      <c r="L180" s="195">
        <v>2644854</v>
      </c>
      <c r="M180" s="196">
        <v>6.0462531529952956E-2</v>
      </c>
    </row>
    <row r="181" spans="3:18" ht="24" customHeight="1" thickBot="1" x14ac:dyDescent="0.25">
      <c r="C181" s="197" t="s">
        <v>8</v>
      </c>
      <c r="D181" s="198">
        <v>4126295</v>
      </c>
      <c r="E181" s="199">
        <v>7.0855403332753752E-2</v>
      </c>
      <c r="F181" s="198">
        <v>149894</v>
      </c>
      <c r="G181" s="199">
        <v>1.9317536178604655E-3</v>
      </c>
      <c r="H181" s="198">
        <v>57653</v>
      </c>
      <c r="I181" s="199">
        <v>0.24574330164217795</v>
      </c>
      <c r="J181" s="198">
        <v>777459</v>
      </c>
      <c r="K181" s="199">
        <v>3.9996843058541121E-2</v>
      </c>
      <c r="L181" s="198">
        <v>3141289</v>
      </c>
      <c r="M181" s="199">
        <v>7.9545306145453409E-2</v>
      </c>
    </row>
    <row r="182" spans="3:18" ht="18" customHeight="1" x14ac:dyDescent="0.2"/>
    <row r="183" spans="3:18" ht="17.25" hidden="1" customHeight="1" x14ac:dyDescent="0.2"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7"/>
    </row>
    <row r="184" spans="3:18" ht="21.75" hidden="1" customHeight="1" x14ac:dyDescent="0.2">
      <c r="C184" s="158"/>
      <c r="D184" s="159"/>
      <c r="E184" s="201" t="str">
        <f>$E$1</f>
        <v>INDICADORES TURÍSTICOS DE TENERIFE definitivo</v>
      </c>
      <c r="F184" s="202"/>
      <c r="G184" s="202"/>
      <c r="H184" s="202"/>
      <c r="I184" s="202"/>
      <c r="J184" s="202"/>
      <c r="K184" s="203"/>
      <c r="L184" s="159"/>
      <c r="M184" s="161"/>
    </row>
    <row r="185" spans="3:18" ht="21.75" hidden="1" customHeight="1" x14ac:dyDescent="0.2">
      <c r="C185" s="158"/>
      <c r="D185" s="159"/>
      <c r="E185" s="160"/>
      <c r="F185" s="160"/>
      <c r="G185" s="160"/>
      <c r="H185" s="160"/>
      <c r="I185" s="160"/>
      <c r="J185" s="160"/>
      <c r="K185" s="160"/>
      <c r="L185" s="159"/>
      <c r="M185" s="161"/>
    </row>
    <row r="186" spans="3:18" ht="33" hidden="1" customHeight="1" x14ac:dyDescent="0.2">
      <c r="C186" s="204" t="s">
        <v>29</v>
      </c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6"/>
    </row>
    <row r="187" spans="3:18" ht="20.100000000000001" hidden="1" customHeight="1" x14ac:dyDescent="0.2">
      <c r="C187" s="207">
        <f>E3</f>
        <v>0</v>
      </c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</row>
    <row r="188" spans="3:18" ht="17.25" hidden="1" customHeight="1" x14ac:dyDescent="0.2">
      <c r="C188" s="209"/>
      <c r="D188" s="210" t="s">
        <v>24</v>
      </c>
      <c r="E188" s="211"/>
      <c r="F188" s="210" t="s">
        <v>23</v>
      </c>
      <c r="G188" s="211"/>
      <c r="H188" s="210" t="s">
        <v>22</v>
      </c>
      <c r="I188" s="211"/>
      <c r="J188" s="210" t="s">
        <v>21</v>
      </c>
      <c r="K188" s="211"/>
      <c r="L188" s="210" t="s">
        <v>20</v>
      </c>
      <c r="M188" s="211"/>
      <c r="N188" s="210" t="s">
        <v>63</v>
      </c>
      <c r="O188" s="211"/>
      <c r="P188" s="210" t="s">
        <v>64</v>
      </c>
      <c r="Q188" s="211"/>
    </row>
    <row r="189" spans="3:18" ht="28.5" hidden="1" customHeight="1" x14ac:dyDescent="0.2">
      <c r="C189" s="209"/>
      <c r="D189" s="212" t="s">
        <v>35</v>
      </c>
      <c r="E189" s="212" t="s">
        <v>34</v>
      </c>
      <c r="F189" s="212" t="s">
        <v>35</v>
      </c>
      <c r="G189" s="212" t="s">
        <v>34</v>
      </c>
      <c r="H189" s="212" t="s">
        <v>35</v>
      </c>
      <c r="I189" s="212" t="s">
        <v>34</v>
      </c>
      <c r="J189" s="212" t="s">
        <v>35</v>
      </c>
      <c r="K189" s="212" t="s">
        <v>34</v>
      </c>
      <c r="L189" s="212" t="s">
        <v>35</v>
      </c>
      <c r="M189" s="212" t="s">
        <v>34</v>
      </c>
      <c r="N189" s="212" t="s">
        <v>35</v>
      </c>
      <c r="O189" s="212" t="s">
        <v>34</v>
      </c>
      <c r="P189" s="212" t="s">
        <v>35</v>
      </c>
      <c r="Q189" s="212" t="s">
        <v>34</v>
      </c>
    </row>
    <row r="190" spans="3:18" ht="24" hidden="1" customHeight="1" x14ac:dyDescent="0.2">
      <c r="C190" s="213" t="s">
        <v>36</v>
      </c>
      <c r="D190" s="214" t="e">
        <f>VLOOKUP("españa",#REF!,6,FALSE)/VLOOKUP("españa",#REF!,6,FALSE)-1</f>
        <v>#REF!</v>
      </c>
      <c r="E190" s="215" t="e">
        <f>VLOOKUP("españa",#REF!,6,FALSE)</f>
        <v>#REF!</v>
      </c>
      <c r="F190" s="214" t="e">
        <f>VLOOKUP("españa",#REF!,5,FALSE)/VLOOKUP("españa",#REF!,5,FALSE)-1</f>
        <v>#REF!</v>
      </c>
      <c r="G190" s="215" t="e">
        <f>VLOOKUP("españa",#REF!,5,FALSE)</f>
        <v>#REF!</v>
      </c>
      <c r="H190" s="214" t="e">
        <f>VLOOKUP("españa",#REF!,4,FALSE)/VLOOKUP("españa",#REF!,4,FALSE)-1</f>
        <v>#REF!</v>
      </c>
      <c r="I190" s="215" t="e">
        <f>VLOOKUP("españa",#REF!,4,FALSE)</f>
        <v>#REF!</v>
      </c>
      <c r="J190" s="214" t="e">
        <f>VLOOKUP("españa",#REF!,3,FALSE)/VLOOKUP("españa",#REF!,3,FALSE)-1</f>
        <v>#REF!</v>
      </c>
      <c r="K190" s="215" t="e">
        <f>VLOOKUP("españa",#REF!,3,FALSE)</f>
        <v>#REF!</v>
      </c>
      <c r="L190" s="214" t="e">
        <f>VLOOKUP("españa",#REF!,2,FALSE)/VLOOKUP("españa",#REF!,2,FALSE)-1</f>
        <v>#REF!</v>
      </c>
      <c r="M190" s="215" t="e">
        <f>VLOOKUP("españa",#REF!,2,FALSE)</f>
        <v>#REF!</v>
      </c>
      <c r="N190" s="214" t="e">
        <f>VLOOKUP("españa",#REF!,7,FALSE)/VLOOKUP("españa",#REF!,7,FALSE)-1</f>
        <v>#REF!</v>
      </c>
      <c r="O190" s="215" t="e">
        <f>VLOOKUP("españa",#REF!,7,FALSE)</f>
        <v>#REF!</v>
      </c>
      <c r="P190" s="214" t="e">
        <f>VLOOKUP("españa",#REF!,8,FALSE)/VLOOKUP("españa",#REF!,8,FALSE)-1</f>
        <v>#REF!</v>
      </c>
      <c r="Q190" s="215" t="e">
        <f>VLOOKUP("españa",#REF!,8,FALSE)</f>
        <v>#REF!</v>
      </c>
    </row>
    <row r="191" spans="3:18" ht="24" hidden="1" customHeight="1" x14ac:dyDescent="0.2">
      <c r="C191" s="213" t="s">
        <v>41</v>
      </c>
      <c r="D191" s="214" t="e">
        <f>VLOOKUP("holanda",#REF!,6,FALSE)/VLOOKUP("holanda",#REF!,6,FALSE)-1</f>
        <v>#REF!</v>
      </c>
      <c r="E191" s="215" t="e">
        <f>VLOOKUP("holanda",#REF!,6,FALSE)</f>
        <v>#REF!</v>
      </c>
      <c r="F191" s="214" t="e">
        <f>VLOOKUP("holanda",#REF!,5,FALSE)/VLOOKUP("holanda",#REF!,5,FALSE)-1</f>
        <v>#REF!</v>
      </c>
      <c r="G191" s="215" t="e">
        <f>VLOOKUP("holanda",#REF!,5,FALSE)</f>
        <v>#REF!</v>
      </c>
      <c r="H191" s="214" t="e">
        <f>VLOOKUP("holanda",#REF!,4,FALSE)/VLOOKUP("holanda",#REF!,4,FALSE)-1</f>
        <v>#REF!</v>
      </c>
      <c r="I191" s="215" t="e">
        <f>VLOOKUP("holanda",#REF!,4,FALSE)</f>
        <v>#REF!</v>
      </c>
      <c r="J191" s="214" t="e">
        <f>VLOOKUP("holanda",#REF!,3,FALSE)/VLOOKUP("holanda",#REF!,3,FALSE)-1</f>
        <v>#REF!</v>
      </c>
      <c r="K191" s="215" t="e">
        <f>VLOOKUP("holanda",#REF!,3,FALSE)</f>
        <v>#REF!</v>
      </c>
      <c r="L191" s="214" t="e">
        <f>VLOOKUP("holanda",#REF!,2,FALSE)/VLOOKUP("holanda",#REF!,2,FALSE)-1</f>
        <v>#REF!</v>
      </c>
      <c r="M191" s="215" t="e">
        <f>VLOOKUP("holanda",#REF!,2,FALSE)</f>
        <v>#REF!</v>
      </c>
      <c r="N191" s="214" t="e">
        <f>VLOOKUP("holanda",#REF!,7,FALSE)/VLOOKUP("holanda",#REF!,7,FALSE)-1</f>
        <v>#REF!</v>
      </c>
      <c r="O191" s="215" t="e">
        <f>VLOOKUP("holanda",#REF!,7,FALSE)</f>
        <v>#REF!</v>
      </c>
      <c r="P191" s="214" t="e">
        <f>VLOOKUP("holanda",#REF!,8,FALSE)/VLOOKUP("holanda",#REF!,8,FALSE)-1</f>
        <v>#REF!</v>
      </c>
      <c r="Q191" s="215" t="e">
        <f>VLOOKUP("holanda",#REF!,8,FALSE)</f>
        <v>#REF!</v>
      </c>
    </row>
    <row r="192" spans="3:18" ht="24" hidden="1" customHeight="1" x14ac:dyDescent="0.2">
      <c r="C192" s="213" t="s">
        <v>42</v>
      </c>
      <c r="D192" s="214" t="e">
        <f>VLOOKUP("belgica",#REF!,6,FALSE)/VLOOKUP("belgica",#REF!,6,FALSE)-1</f>
        <v>#REF!</v>
      </c>
      <c r="E192" s="215" t="e">
        <f>VLOOKUP("belgica",#REF!,6,FALSE)</f>
        <v>#REF!</v>
      </c>
      <c r="F192" s="214" t="e">
        <f>VLOOKUP("belgica",#REF!,5,FALSE)/VLOOKUP("belgica",#REF!,5,FALSE)-1</f>
        <v>#REF!</v>
      </c>
      <c r="G192" s="215" t="e">
        <f>VLOOKUP("belgica",#REF!,5,FALSE)</f>
        <v>#REF!</v>
      </c>
      <c r="H192" s="214" t="e">
        <f>VLOOKUP("belgica",#REF!,4,FALSE)/VLOOKUP("belgica",#REF!,4,FALSE)-1</f>
        <v>#REF!</v>
      </c>
      <c r="I192" s="215" t="e">
        <f>VLOOKUP("belgica",#REF!,4,FALSE)</f>
        <v>#REF!</v>
      </c>
      <c r="J192" s="214" t="e">
        <f>VLOOKUP("belgica",#REF!,3,FALSE)/VLOOKUP("belgica",#REF!,3,FALSE)-1</f>
        <v>#REF!</v>
      </c>
      <c r="K192" s="215" t="e">
        <f>VLOOKUP("belgica",#REF!,3,FALSE)</f>
        <v>#REF!</v>
      </c>
      <c r="L192" s="214" t="e">
        <f>VLOOKUP("belgica",#REF!,2,FALSE)/VLOOKUP("belgica",#REF!,2,FALSE)-1</f>
        <v>#REF!</v>
      </c>
      <c r="M192" s="215" t="e">
        <f>VLOOKUP("belgica",#REF!,2,FALSE)</f>
        <v>#REF!</v>
      </c>
      <c r="N192" s="214" t="e">
        <f>VLOOKUP("belgica",#REF!,7,FALSE)/VLOOKUP("belgica",#REF!,7,FALSE)-1</f>
        <v>#REF!</v>
      </c>
      <c r="O192" s="215" t="e">
        <f>VLOOKUP("belgica",#REF!,7,FALSE)</f>
        <v>#REF!</v>
      </c>
      <c r="P192" s="214" t="e">
        <f>VLOOKUP("belgica",#REF!,8,FALSE)/VLOOKUP("belgica",#REF!,8,FALSE)-1</f>
        <v>#REF!</v>
      </c>
      <c r="Q192" s="215" t="e">
        <f>VLOOKUP("belgica",#REF!,8,FALSE)</f>
        <v>#REF!</v>
      </c>
    </row>
    <row r="193" spans="3:17" ht="24" hidden="1" customHeight="1" x14ac:dyDescent="0.2">
      <c r="C193" s="213" t="s">
        <v>43</v>
      </c>
      <c r="D193" s="214" t="e">
        <f>VLOOKUP("alemania",#REF!,6,FALSE)/VLOOKUP("alemania",#REF!,6,FALSE)-1</f>
        <v>#REF!</v>
      </c>
      <c r="E193" s="215" t="e">
        <f>VLOOKUP("alemania",#REF!,6,FALSE)</f>
        <v>#REF!</v>
      </c>
      <c r="F193" s="214" t="e">
        <f>VLOOKUP("alemania",#REF!,5,FALSE)/VLOOKUP("alemania",#REF!,5,FALSE)-1</f>
        <v>#REF!</v>
      </c>
      <c r="G193" s="215" t="e">
        <f>VLOOKUP("alemania",#REF!,5,FALSE)</f>
        <v>#REF!</v>
      </c>
      <c r="H193" s="214" t="e">
        <f>VLOOKUP("alemania",#REF!,4,FALSE)/VLOOKUP("alemania",#REF!,4,FALSE)-1</f>
        <v>#REF!</v>
      </c>
      <c r="I193" s="215" t="e">
        <f>VLOOKUP("alemania",#REF!,4,FALSE)</f>
        <v>#REF!</v>
      </c>
      <c r="J193" s="214" t="e">
        <f>VLOOKUP("alemania",#REF!,3,FALSE)/VLOOKUP("alemania",#REF!,3,FALSE)-1</f>
        <v>#REF!</v>
      </c>
      <c r="K193" s="215" t="e">
        <f>VLOOKUP("alemania",#REF!,3,FALSE)</f>
        <v>#REF!</v>
      </c>
      <c r="L193" s="214" t="e">
        <f>VLOOKUP("alemania",#REF!,2,FALSE)/VLOOKUP("alemania",#REF!,2,FALSE)-1</f>
        <v>#REF!</v>
      </c>
      <c r="M193" s="215" t="e">
        <f>VLOOKUP("alemania",#REF!,2,FALSE)</f>
        <v>#REF!</v>
      </c>
      <c r="N193" s="214" t="e">
        <f>VLOOKUP("alemania",#REF!,7,FALSE)/VLOOKUP("alemania",#REF!,7,FALSE)-1</f>
        <v>#REF!</v>
      </c>
      <c r="O193" s="215" t="e">
        <f>VLOOKUP("alemania",#REF!,7,FALSE)</f>
        <v>#REF!</v>
      </c>
      <c r="P193" s="214" t="e">
        <f>VLOOKUP("alemania",#REF!,8,FALSE)/VLOOKUP("alemania",#REF!,8,FALSE)-1</f>
        <v>#REF!</v>
      </c>
      <c r="Q193" s="215" t="e">
        <f>VLOOKUP("alemania",#REF!,8,FALSE)</f>
        <v>#REF!</v>
      </c>
    </row>
    <row r="194" spans="3:17" ht="24" hidden="1" customHeight="1" x14ac:dyDescent="0.2">
      <c r="C194" s="213" t="s">
        <v>44</v>
      </c>
      <c r="D194" s="214" t="e">
        <f>VLOOKUP("francia",#REF!,6,FALSE)/VLOOKUP("francia",#REF!,6,FALSE)-1</f>
        <v>#REF!</v>
      </c>
      <c r="E194" s="215" t="e">
        <f>VLOOKUP("francia",#REF!,6,FALSE)</f>
        <v>#REF!</v>
      </c>
      <c r="F194" s="214" t="e">
        <f>VLOOKUP("francia",#REF!,5,FALSE)/VLOOKUP("francia",#REF!,5,FALSE)-1</f>
        <v>#REF!</v>
      </c>
      <c r="G194" s="215" t="e">
        <f>VLOOKUP("francia",#REF!,5,FALSE)</f>
        <v>#REF!</v>
      </c>
      <c r="H194" s="214" t="e">
        <f>VLOOKUP("francia",#REF!,4,FALSE)/VLOOKUP("francia",#REF!,4,FALSE)-1</f>
        <v>#REF!</v>
      </c>
      <c r="I194" s="215" t="e">
        <f>VLOOKUP("francia",#REF!,4,FALSE)</f>
        <v>#REF!</v>
      </c>
      <c r="J194" s="214" t="e">
        <f>VLOOKUP("francia",#REF!,3,FALSE)/VLOOKUP("francia",#REF!,3,FALSE)-1</f>
        <v>#REF!</v>
      </c>
      <c r="K194" s="215" t="e">
        <f>VLOOKUP("francia",#REF!,3,FALSE)</f>
        <v>#REF!</v>
      </c>
      <c r="L194" s="214" t="e">
        <f>VLOOKUP("francia",#REF!,2,FALSE)/VLOOKUP("francia",#REF!,2,FALSE)-1</f>
        <v>#REF!</v>
      </c>
      <c r="M194" s="215" t="e">
        <f>VLOOKUP("francia",#REF!,2,FALSE)</f>
        <v>#REF!</v>
      </c>
      <c r="N194" s="214" t="e">
        <f>VLOOKUP("francia",#REF!,7,FALSE)/VLOOKUP("francia",#REF!,7,FALSE)-1</f>
        <v>#REF!</v>
      </c>
      <c r="O194" s="215" t="e">
        <f>VLOOKUP("francia",#REF!,7,FALSE)</f>
        <v>#REF!</v>
      </c>
      <c r="P194" s="214" t="e">
        <f>VLOOKUP("francia",#REF!,8,FALSE)/VLOOKUP("francia",#REF!,8,FALSE)-1</f>
        <v>#REF!</v>
      </c>
      <c r="Q194" s="215" t="e">
        <f>VLOOKUP("francia",#REF!,8,FALSE)</f>
        <v>#REF!</v>
      </c>
    </row>
    <row r="195" spans="3:17" ht="24" hidden="1" customHeight="1" x14ac:dyDescent="0.2">
      <c r="C195" s="213" t="s">
        <v>45</v>
      </c>
      <c r="D195" s="214" t="e">
        <f>VLOOKUP("reino unido",#REF!,6,FALSE)/VLOOKUP("reino unido",#REF!,6,FALSE)-1</f>
        <v>#REF!</v>
      </c>
      <c r="E195" s="215" t="e">
        <f>VLOOKUP("reino unido",#REF!,6,FALSE)</f>
        <v>#REF!</v>
      </c>
      <c r="F195" s="214" t="e">
        <f>VLOOKUP("reino unido",#REF!,5,FALSE)/VLOOKUP("reino unido",#REF!,5,FALSE)-1</f>
        <v>#REF!</v>
      </c>
      <c r="G195" s="215" t="e">
        <f>VLOOKUP("reino unido",#REF!,5,FALSE)</f>
        <v>#REF!</v>
      </c>
      <c r="H195" s="214" t="e">
        <f>VLOOKUP("reino unido",#REF!,4,FALSE)/VLOOKUP("reino unido",#REF!,4,FALSE)-1</f>
        <v>#REF!</v>
      </c>
      <c r="I195" s="215" t="e">
        <f>VLOOKUP("reino unido",#REF!,4,FALSE)</f>
        <v>#REF!</v>
      </c>
      <c r="J195" s="214" t="e">
        <f>VLOOKUP("reino unido",#REF!,3,FALSE)/VLOOKUP("reino unido",#REF!,3,FALSE)-1</f>
        <v>#REF!</v>
      </c>
      <c r="K195" s="215" t="e">
        <f>VLOOKUP("reino unido",#REF!,3,FALSE)</f>
        <v>#REF!</v>
      </c>
      <c r="L195" s="214" t="e">
        <f>VLOOKUP("reino unido",#REF!,2,FALSE)/VLOOKUP("reino unido",#REF!,2,FALSE)-1</f>
        <v>#REF!</v>
      </c>
      <c r="M195" s="215" t="e">
        <f>VLOOKUP("reino unido",#REF!,2,FALSE)</f>
        <v>#REF!</v>
      </c>
      <c r="N195" s="214" t="e">
        <f>VLOOKUP("reino unido",#REF!,7,FALSE)/VLOOKUP("reino unido",#REF!,7,FALSE)-1</f>
        <v>#REF!</v>
      </c>
      <c r="O195" s="215" t="e">
        <f>VLOOKUP("reino unido",#REF!,7,FALSE)</f>
        <v>#REF!</v>
      </c>
      <c r="P195" s="214" t="e">
        <f>VLOOKUP("reino unido",#REF!,8,FALSE)/VLOOKUP("reino unido",#REF!,8,FALSE)-1</f>
        <v>#REF!</v>
      </c>
      <c r="Q195" s="215" t="e">
        <f>VLOOKUP("reino unido",#REF!,8,FALSE)</f>
        <v>#REF!</v>
      </c>
    </row>
    <row r="196" spans="3:17" ht="24" hidden="1" customHeight="1" x14ac:dyDescent="0.2">
      <c r="C196" s="213" t="s">
        <v>46</v>
      </c>
      <c r="D196" s="214" t="e">
        <f>VLOOKUP("irlanda",#REF!,6,FALSE)/VLOOKUP("irlanda",#REF!,6,FALSE)-1</f>
        <v>#REF!</v>
      </c>
      <c r="E196" s="215" t="e">
        <f>VLOOKUP("irlanda",#REF!,6,FALSE)</f>
        <v>#REF!</v>
      </c>
      <c r="F196" s="214" t="e">
        <f>VLOOKUP("irlanda",#REF!,5,FALSE)/VLOOKUP("irlanda",#REF!,5,FALSE)-1</f>
        <v>#REF!</v>
      </c>
      <c r="G196" s="215" t="e">
        <f>VLOOKUP("irlanda",#REF!,5,FALSE)</f>
        <v>#REF!</v>
      </c>
      <c r="H196" s="214" t="e">
        <f>VLOOKUP("irlanda",#REF!,4,FALSE)/VLOOKUP("irlanda",#REF!,4,FALSE)-1</f>
        <v>#REF!</v>
      </c>
      <c r="I196" s="215" t="e">
        <f>VLOOKUP("irlanda",#REF!,4,FALSE)</f>
        <v>#REF!</v>
      </c>
      <c r="J196" s="214" t="e">
        <f>VLOOKUP("irlanda",#REF!,3,FALSE)/VLOOKUP("irlanda",#REF!,3,FALSE)-1</f>
        <v>#REF!</v>
      </c>
      <c r="K196" s="215" t="e">
        <f>VLOOKUP("irlanda",#REF!,3,FALSE)</f>
        <v>#REF!</v>
      </c>
      <c r="L196" s="214" t="e">
        <f>VLOOKUP("irlanda",#REF!,2,FALSE)/VLOOKUP("irlanda",#REF!,2,FALSE)-1</f>
        <v>#REF!</v>
      </c>
      <c r="M196" s="215" t="e">
        <f>VLOOKUP("irlanda",#REF!,2,FALSE)</f>
        <v>#REF!</v>
      </c>
      <c r="N196" s="214" t="e">
        <f>VLOOKUP("irlanda",#REF!,7,FALSE)/VLOOKUP("irlanda",#REF!,7,FALSE)-1</f>
        <v>#REF!</v>
      </c>
      <c r="O196" s="215" t="e">
        <f>VLOOKUP("irlanda",#REF!,7,FALSE)</f>
        <v>#REF!</v>
      </c>
      <c r="P196" s="214" t="e">
        <f>VLOOKUP("irlanda",#REF!,8,FALSE)/VLOOKUP("irlanda",#REF!,8,FALSE)-1</f>
        <v>#REF!</v>
      </c>
      <c r="Q196" s="215" t="e">
        <f>VLOOKUP("irlanda",#REF!,8,FALSE)</f>
        <v>#REF!</v>
      </c>
    </row>
    <row r="197" spans="3:17" ht="24" hidden="1" customHeight="1" x14ac:dyDescent="0.2">
      <c r="C197" s="213" t="s">
        <v>47</v>
      </c>
      <c r="D197" s="214" t="e">
        <f>VLOOKUP("italia",#REF!,6,FALSE)/VLOOKUP("italia",#REF!,6,FALSE)-1</f>
        <v>#REF!</v>
      </c>
      <c r="E197" s="215" t="e">
        <f>VLOOKUP("italia",#REF!,6,FALSE)</f>
        <v>#REF!</v>
      </c>
      <c r="F197" s="214" t="e">
        <f>VLOOKUP("italia",#REF!,5,FALSE)/VLOOKUP("italia",#REF!,5,FALSE)-1</f>
        <v>#REF!</v>
      </c>
      <c r="G197" s="215" t="e">
        <f>VLOOKUP("italia",#REF!,5,FALSE)</f>
        <v>#REF!</v>
      </c>
      <c r="H197" s="214" t="e">
        <f>VLOOKUP("italia",#REF!,4,FALSE)/VLOOKUP("italia",#REF!,4,FALSE)-1</f>
        <v>#REF!</v>
      </c>
      <c r="I197" s="215" t="e">
        <f>VLOOKUP("italia",#REF!,4,FALSE)</f>
        <v>#REF!</v>
      </c>
      <c r="J197" s="214" t="e">
        <f>VLOOKUP("italia",#REF!,3,FALSE)/VLOOKUP("italia",#REF!,3,FALSE)-1</f>
        <v>#REF!</v>
      </c>
      <c r="K197" s="215" t="e">
        <f>VLOOKUP("italia",#REF!,3,FALSE)</f>
        <v>#REF!</v>
      </c>
      <c r="L197" s="214" t="e">
        <f>VLOOKUP("italia",#REF!,2,FALSE)/VLOOKUP("italia",#REF!,2,FALSE)-1</f>
        <v>#REF!</v>
      </c>
      <c r="M197" s="215" t="e">
        <f>VLOOKUP("italia",#REF!,2,FALSE)</f>
        <v>#REF!</v>
      </c>
      <c r="N197" s="214" t="e">
        <f>VLOOKUP("italia",#REF!,7,FALSE)/VLOOKUP("italia",#REF!,7,FALSE)-1</f>
        <v>#REF!</v>
      </c>
      <c r="O197" s="215" t="e">
        <f>VLOOKUP("italia",#REF!,7,FALSE)</f>
        <v>#REF!</v>
      </c>
      <c r="P197" s="214" t="e">
        <f>VLOOKUP("italia",#REF!,8,FALSE)/VLOOKUP("italia",#REF!,8,FALSE)-1</f>
        <v>#REF!</v>
      </c>
      <c r="Q197" s="215" t="e">
        <f>VLOOKUP("italia",#REF!,8,FALSE)</f>
        <v>#REF!</v>
      </c>
    </row>
    <row r="198" spans="3:17" ht="24" hidden="1" customHeight="1" x14ac:dyDescent="0.2">
      <c r="C198" s="213" t="s">
        <v>48</v>
      </c>
      <c r="D198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5" t="e">
        <f>(VLOOKUP("suecia",#REF!,6,FALSE)+VLOOKUP("noruega",#REF!,6,FALSE)+VLOOKUP("dinamarca",#REF!,6,FALSE)+VLOOKUP("finlandia",#REF!,6,FALSE))</f>
        <v>#REF!</v>
      </c>
      <c r="F198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5" t="e">
        <f>(VLOOKUP("suecia",#REF!,5,FALSE)+VLOOKUP("noruega",#REF!,5,FALSE)+VLOOKUP("dinamarca",#REF!,5,FALSE)+VLOOKUP("finlandia",#REF!,5,FALSE))</f>
        <v>#REF!</v>
      </c>
      <c r="H198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5" t="e">
        <f>(VLOOKUP("suecia",#REF!,4,FALSE)+VLOOKUP("noruega",#REF!,4,FALSE)+VLOOKUP("dinamarca",#REF!,4,FALSE)+VLOOKUP("finlandia",#REF!,4,FALSE))</f>
        <v>#REF!</v>
      </c>
      <c r="J198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5" t="e">
        <f>(VLOOKUP("suecia",#REF!,3,FALSE)+VLOOKUP("noruega",#REF!,3,FALSE)+VLOOKUP("dinamarca",#REF!,3,FALSE)+VLOOKUP("finlandia",#REF!,3,FALSE))</f>
        <v>#REF!</v>
      </c>
      <c r="L198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5" t="e">
        <f>(VLOOKUP("suecia",#REF!,2,FALSE)+VLOOKUP("noruega",#REF!,2,FALSE)+VLOOKUP("dinamarca",#REF!,2,FALSE)+VLOOKUP("finlandia",#REF!,2,FALSE))</f>
        <v>#REF!</v>
      </c>
      <c r="N198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5" t="e">
        <f>(VLOOKUP("suecia",#REF!,7,FALSE)+VLOOKUP("noruega",#REF!,7,FALSE)+VLOOKUP("dinamarca",#REF!,7,FALSE)+VLOOKUP("finlandia",#REF!,7,FALSE))</f>
        <v>#REF!</v>
      </c>
      <c r="P198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5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6" t="s">
        <v>49</v>
      </c>
      <c r="D199" s="214" t="e">
        <f>VLOOKUP("suecia",#REF!,6,FALSE)/VLOOKUP("suecia",#REF!,6,FALSE)-1</f>
        <v>#REF!</v>
      </c>
      <c r="E199" s="215" t="e">
        <f>VLOOKUP("suecia",#REF!,6,FALSE)</f>
        <v>#REF!</v>
      </c>
      <c r="F199" s="214" t="e">
        <f>VLOOKUP("suecia",#REF!,5,FALSE)/VLOOKUP("suecia",#REF!,5,FALSE)-1</f>
        <v>#REF!</v>
      </c>
      <c r="G199" s="215" t="e">
        <f>VLOOKUP("suecia",#REF!,5,FALSE)</f>
        <v>#REF!</v>
      </c>
      <c r="H199" s="214" t="e">
        <f>VLOOKUP("suecia",#REF!,4,FALSE)/VLOOKUP("suecia",#REF!,4,FALSE)-1</f>
        <v>#REF!</v>
      </c>
      <c r="I199" s="215" t="e">
        <f>VLOOKUP("suecia",#REF!,4,FALSE)</f>
        <v>#REF!</v>
      </c>
      <c r="J199" s="214" t="e">
        <f>VLOOKUP("suecia",#REF!,3,FALSE)/VLOOKUP("suecia",#REF!,3,FALSE)-1</f>
        <v>#REF!</v>
      </c>
      <c r="K199" s="215" t="e">
        <f>VLOOKUP("suecia",#REF!,3,FALSE)</f>
        <v>#REF!</v>
      </c>
      <c r="L199" s="214" t="e">
        <f>VLOOKUP("suecia",#REF!,2,FALSE)/VLOOKUP("suecia",#REF!,2,FALSE)-1</f>
        <v>#REF!</v>
      </c>
      <c r="M199" s="215" t="e">
        <f>VLOOKUP("suecia",#REF!,2,FALSE)</f>
        <v>#REF!</v>
      </c>
      <c r="N199" s="214" t="e">
        <f>VLOOKUP("suecia",#REF!,7,FALSE)/VLOOKUP("suecia",#REF!,7,FALSE)-1</f>
        <v>#REF!</v>
      </c>
      <c r="O199" s="215" t="e">
        <f>VLOOKUP("suecia",#REF!,7,FALSE)</f>
        <v>#REF!</v>
      </c>
      <c r="P199" s="214" t="e">
        <f>VLOOKUP("suecia",#REF!,8,FALSE)/VLOOKUP("suecia",#REF!,8,FALSE)-1</f>
        <v>#REF!</v>
      </c>
      <c r="Q199" s="215" t="e">
        <f>VLOOKUP("suecia",#REF!,8,FALSE)</f>
        <v>#REF!</v>
      </c>
    </row>
    <row r="200" spans="3:17" ht="24" hidden="1" customHeight="1" x14ac:dyDescent="0.2">
      <c r="C200" s="216" t="s">
        <v>50</v>
      </c>
      <c r="D200" s="214" t="e">
        <f>VLOOKUP("noruega",#REF!,6,FALSE)/VLOOKUP("noruega",#REF!,6,FALSE)-1</f>
        <v>#REF!</v>
      </c>
      <c r="E200" s="215" t="e">
        <f>VLOOKUP("noruega",#REF!,6,FALSE)</f>
        <v>#REF!</v>
      </c>
      <c r="F200" s="214" t="e">
        <f>VLOOKUP("noruega",#REF!,5,FALSE)/VLOOKUP("noruega",#REF!,5,FALSE)-1</f>
        <v>#REF!</v>
      </c>
      <c r="G200" s="215" t="e">
        <f>VLOOKUP("noruega",#REF!,5,FALSE)</f>
        <v>#REF!</v>
      </c>
      <c r="H200" s="214" t="e">
        <f>VLOOKUP("noruega",#REF!,4,FALSE)/VLOOKUP("noruega",#REF!,4,FALSE)-1</f>
        <v>#REF!</v>
      </c>
      <c r="I200" s="215" t="e">
        <f>VLOOKUP("noruega",#REF!,4,FALSE)</f>
        <v>#REF!</v>
      </c>
      <c r="J200" s="214" t="e">
        <f>VLOOKUP("noruega",#REF!,3,FALSE)/VLOOKUP("noruega",#REF!,3,FALSE)-1</f>
        <v>#REF!</v>
      </c>
      <c r="K200" s="215" t="e">
        <f>VLOOKUP("noruega",#REF!,3,FALSE)</f>
        <v>#REF!</v>
      </c>
      <c r="L200" s="214" t="e">
        <f>VLOOKUP("noruega",#REF!,2,FALSE)/VLOOKUP("noruega",#REF!,2,FALSE)-1</f>
        <v>#REF!</v>
      </c>
      <c r="M200" s="215" t="e">
        <f>VLOOKUP("noruega",#REF!,2,FALSE)</f>
        <v>#REF!</v>
      </c>
      <c r="N200" s="214" t="e">
        <f>VLOOKUP("noruega",#REF!,7,FALSE)/VLOOKUP("noruega",#REF!,7,FALSE)-1</f>
        <v>#REF!</v>
      </c>
      <c r="O200" s="215" t="e">
        <f>VLOOKUP("noruega",#REF!,7,FALSE)</f>
        <v>#REF!</v>
      </c>
      <c r="P200" s="214" t="e">
        <f>VLOOKUP("noruega",#REF!,8,FALSE)/VLOOKUP("noruega",#REF!,8,FALSE)-1</f>
        <v>#REF!</v>
      </c>
      <c r="Q200" s="215" t="e">
        <f>VLOOKUP("noruega",#REF!,8,FALSE)</f>
        <v>#REF!</v>
      </c>
    </row>
    <row r="201" spans="3:17" ht="24" hidden="1" customHeight="1" x14ac:dyDescent="0.2">
      <c r="C201" s="216" t="s">
        <v>51</v>
      </c>
      <c r="D201" s="214" t="e">
        <f>VLOOKUP("dinamarca",#REF!,6,FALSE)/VLOOKUP("dinamarca",#REF!,6,FALSE)-1</f>
        <v>#REF!</v>
      </c>
      <c r="E201" s="215" t="e">
        <f>VLOOKUP("dinamarca",#REF!,6,FALSE)</f>
        <v>#REF!</v>
      </c>
      <c r="F201" s="214" t="e">
        <f>VLOOKUP("dinamarca",#REF!,5,FALSE)/VLOOKUP("dinamarca",#REF!,5,FALSE)-1</f>
        <v>#REF!</v>
      </c>
      <c r="G201" s="215" t="e">
        <f>VLOOKUP("dinamarca",#REF!,5,FALSE)</f>
        <v>#REF!</v>
      </c>
      <c r="H201" s="214" t="e">
        <f>VLOOKUP("dinamarca",#REF!,4,FALSE)/VLOOKUP("dinamarca",#REF!,4,FALSE)-1</f>
        <v>#REF!</v>
      </c>
      <c r="I201" s="215" t="e">
        <f>VLOOKUP("dinamarca",#REF!,4,FALSE)</f>
        <v>#REF!</v>
      </c>
      <c r="J201" s="214" t="e">
        <f>VLOOKUP("dinamarca",#REF!,3,FALSE)/VLOOKUP("dinamarca",#REF!,3,FALSE)-1</f>
        <v>#REF!</v>
      </c>
      <c r="K201" s="215" t="e">
        <f>VLOOKUP("dinamarca",#REF!,3,FALSE)</f>
        <v>#REF!</v>
      </c>
      <c r="L201" s="214" t="e">
        <f>VLOOKUP("dinamarca",#REF!,2,FALSE)/VLOOKUP("dinamarca",#REF!,2,FALSE)-1</f>
        <v>#REF!</v>
      </c>
      <c r="M201" s="215" t="e">
        <f>VLOOKUP("dinamarca",#REF!,2,FALSE)</f>
        <v>#REF!</v>
      </c>
      <c r="N201" s="214" t="e">
        <f>VLOOKUP("dinamarca",#REF!,7,FALSE)/VLOOKUP("dinamarca",#REF!,7,FALSE)-1</f>
        <v>#REF!</v>
      </c>
      <c r="O201" s="215" t="e">
        <f>VLOOKUP("dinamarca",#REF!,7,FALSE)</f>
        <v>#REF!</v>
      </c>
      <c r="P201" s="214" t="e">
        <f>VLOOKUP("dinamarca",#REF!,8,FALSE)/VLOOKUP("dinamarca",#REF!,8,FALSE)-1</f>
        <v>#REF!</v>
      </c>
      <c r="Q201" s="215" t="e">
        <f>VLOOKUP("dinamarca",#REF!,8,FALSE)</f>
        <v>#REF!</v>
      </c>
    </row>
    <row r="202" spans="3:17" ht="24" hidden="1" customHeight="1" x14ac:dyDescent="0.2">
      <c r="C202" s="216" t="s">
        <v>52</v>
      </c>
      <c r="D202" s="214" t="s">
        <v>38</v>
      </c>
      <c r="E202" s="215" t="e">
        <f>VLOOKUP("finlandia",#REF!,6,FALSE)</f>
        <v>#REF!</v>
      </c>
      <c r="F202" s="214" t="e">
        <f>VLOOKUP("finlandia",#REF!,5,FALSE)/VLOOKUP("finlandia",#REF!,5,FALSE)-1</f>
        <v>#REF!</v>
      </c>
      <c r="G202" s="215" t="e">
        <f>VLOOKUP("finlandia",#REF!,5,FALSE)</f>
        <v>#REF!</v>
      </c>
      <c r="H202" s="214" t="e">
        <f>VLOOKUP("finlandia",#REF!,4,FALSE)/VLOOKUP("finlandia",#REF!,4,FALSE)-1</f>
        <v>#REF!</v>
      </c>
      <c r="I202" s="215" t="e">
        <f>VLOOKUP("finlandia",#REF!,4,FALSE)</f>
        <v>#REF!</v>
      </c>
      <c r="J202" s="214" t="e">
        <f>VLOOKUP("finlandia",#REF!,3,FALSE)/VLOOKUP("finlandia",#REF!,3,FALSE)-1</f>
        <v>#REF!</v>
      </c>
      <c r="K202" s="215" t="e">
        <f>VLOOKUP("finlandia",#REF!,3,FALSE)</f>
        <v>#REF!</v>
      </c>
      <c r="L202" s="214" t="s">
        <v>38</v>
      </c>
      <c r="M202" s="215" t="e">
        <f>VLOOKUP("finlandia",#REF!,2,FALSE)</f>
        <v>#REF!</v>
      </c>
      <c r="N202" s="214" t="e">
        <f>VLOOKUP("finlandia",#REF!,7,FALSE)/VLOOKUP("finlandia",#REF!,7,FALSE)-1</f>
        <v>#REF!</v>
      </c>
      <c r="O202" s="215" t="e">
        <f>VLOOKUP("finlandia",#REF!,7,FALSE)</f>
        <v>#REF!</v>
      </c>
      <c r="P202" s="214" t="e">
        <f>VLOOKUP("finlandia",#REF!,8,FALSE)/VLOOKUP("finlandia",#REF!,8,FALSE)-1</f>
        <v>#REF!</v>
      </c>
      <c r="Q202" s="215" t="e">
        <f>VLOOKUP("finlandia",#REF!,8,FALSE)</f>
        <v>#REF!</v>
      </c>
    </row>
    <row r="203" spans="3:17" ht="24" hidden="1" customHeight="1" x14ac:dyDescent="0.2">
      <c r="C203" s="213" t="s">
        <v>53</v>
      </c>
      <c r="D203" s="214" t="e">
        <f>VLOOKUP("suiza",#REF!,6,FALSE)/VLOOKUP("suiza",#REF!,6,FALSE)-1</f>
        <v>#REF!</v>
      </c>
      <c r="E203" s="215" t="e">
        <f>VLOOKUP("suiza",#REF!,6,FALSE)</f>
        <v>#REF!</v>
      </c>
      <c r="F203" s="214" t="e">
        <f>VLOOKUP("suiza",#REF!,5,FALSE)/VLOOKUP("suiza",#REF!,5,FALSE)-1</f>
        <v>#REF!</v>
      </c>
      <c r="G203" s="215" t="e">
        <f>VLOOKUP("suiza",#REF!,5,FALSE)</f>
        <v>#REF!</v>
      </c>
      <c r="H203" s="214" t="e">
        <f>VLOOKUP("suiza",#REF!,4,FALSE)/VLOOKUP("suiza",#REF!,4,FALSE)-1</f>
        <v>#REF!</v>
      </c>
      <c r="I203" s="215" t="e">
        <f>VLOOKUP("suiza",#REF!,4,FALSE)</f>
        <v>#REF!</v>
      </c>
      <c r="J203" s="214" t="e">
        <f>VLOOKUP("suiza",#REF!,3,FALSE)/VLOOKUP("suiza",#REF!,3,FALSE)-1</f>
        <v>#REF!</v>
      </c>
      <c r="K203" s="215" t="e">
        <f>VLOOKUP("suiza",#REF!,3,FALSE)</f>
        <v>#REF!</v>
      </c>
      <c r="L203" s="214" t="e">
        <f>VLOOKUP("suiza",#REF!,2,FALSE)/VLOOKUP("suiza",#REF!,2,FALSE)-1</f>
        <v>#REF!</v>
      </c>
      <c r="M203" s="215" t="e">
        <f>VLOOKUP("suiza",#REF!,2,FALSE)</f>
        <v>#REF!</v>
      </c>
      <c r="N203" s="214" t="e">
        <f>VLOOKUP("suiza",#REF!,7,FALSE)/VLOOKUP("suiza",#REF!,7,FALSE)-1</f>
        <v>#REF!</v>
      </c>
      <c r="O203" s="215" t="e">
        <f>VLOOKUP("suiza",#REF!,7,FALSE)</f>
        <v>#REF!</v>
      </c>
      <c r="P203" s="214" t="e">
        <f>VLOOKUP("suiza",#REF!,8,FALSE)/VLOOKUP("suiza",#REF!,8,FALSE)-1</f>
        <v>#REF!</v>
      </c>
      <c r="Q203" s="215" t="e">
        <f>VLOOKUP("suiza",#REF!,8,FALSE)</f>
        <v>#REF!</v>
      </c>
    </row>
    <row r="204" spans="3:17" ht="24" hidden="1" customHeight="1" x14ac:dyDescent="0.2">
      <c r="C204" s="213" t="s">
        <v>54</v>
      </c>
      <c r="D204" s="214" t="e">
        <f>VLOOKUP("austria",#REF!,6,FALSE)/VLOOKUP("austria",#REF!,6,FALSE)-1</f>
        <v>#REF!</v>
      </c>
      <c r="E204" s="215" t="e">
        <f>VLOOKUP("austria",#REF!,6,FALSE)</f>
        <v>#REF!</v>
      </c>
      <c r="F204" s="214" t="e">
        <f>VLOOKUP("austria",#REF!,5,FALSE)/VLOOKUP("austria",#REF!,5,FALSE)-1</f>
        <v>#REF!</v>
      </c>
      <c r="G204" s="215" t="e">
        <f>VLOOKUP("austria",#REF!,5,FALSE)</f>
        <v>#REF!</v>
      </c>
      <c r="H204" s="214" t="e">
        <f>VLOOKUP("austria",#REF!,4,FALSE)/VLOOKUP("austria",#REF!,4,FALSE)-1</f>
        <v>#REF!</v>
      </c>
      <c r="I204" s="215" t="e">
        <f>VLOOKUP("austria",#REF!,4,FALSE)</f>
        <v>#REF!</v>
      </c>
      <c r="J204" s="214" t="e">
        <f>VLOOKUP("austria",#REF!,3,FALSE)/VLOOKUP("austria",#REF!,3,FALSE)-1</f>
        <v>#REF!</v>
      </c>
      <c r="K204" s="215" t="e">
        <f>VLOOKUP("austria",#REF!,3,FALSE)</f>
        <v>#REF!</v>
      </c>
      <c r="L204" s="214" t="e">
        <f>VLOOKUP("austria",#REF!,2,FALSE)/VLOOKUP("austria",#REF!,2,FALSE)-1</f>
        <v>#REF!</v>
      </c>
      <c r="M204" s="215" t="e">
        <f>VLOOKUP("austria",#REF!,2,FALSE)</f>
        <v>#REF!</v>
      </c>
      <c r="N204" s="214" t="e">
        <f>VLOOKUP("austria",#REF!,7,FALSE)/VLOOKUP("austria",#REF!,7,FALSE)-1</f>
        <v>#REF!</v>
      </c>
      <c r="O204" s="215" t="e">
        <f>VLOOKUP("austria",#REF!,7,FALSE)</f>
        <v>#REF!</v>
      </c>
      <c r="P204" s="214" t="e">
        <f>VLOOKUP("austria",#REF!,8,FALSE)/VLOOKUP("austria",#REF!,8,FALSE)-1</f>
        <v>#REF!</v>
      </c>
      <c r="Q204" s="215" t="e">
        <f>VLOOKUP("austria",#REF!,8,FALSE)</f>
        <v>#REF!</v>
      </c>
    </row>
    <row r="205" spans="3:17" ht="24" hidden="1" customHeight="1" x14ac:dyDescent="0.2">
      <c r="C205" s="213" t="s">
        <v>55</v>
      </c>
      <c r="D205" s="214" t="e">
        <f>VLOOKUP("rusia",#REF!,6,FALSE)/VLOOKUP("rusia",#REF!,6,FALSE)-1</f>
        <v>#REF!</v>
      </c>
      <c r="E205" s="215" t="e">
        <f>VLOOKUP("rusia",#REF!,6,FALSE)</f>
        <v>#REF!</v>
      </c>
      <c r="F205" s="214" t="e">
        <f>VLOOKUP("rusia",#REF!,5,FALSE)/VLOOKUP("rusia",#REF!,5,FALSE)-1</f>
        <v>#REF!</v>
      </c>
      <c r="G205" s="215" t="e">
        <f>VLOOKUP("rusia",#REF!,5,FALSE)</f>
        <v>#REF!</v>
      </c>
      <c r="H205" s="214" t="e">
        <f>VLOOKUP("rusia",#REF!,4,FALSE)/VLOOKUP("rusia",#REF!,4,FALSE)-1</f>
        <v>#REF!</v>
      </c>
      <c r="I205" s="215" t="e">
        <f>VLOOKUP("rusia",#REF!,4,FALSE)</f>
        <v>#REF!</v>
      </c>
      <c r="J205" s="214" t="e">
        <f>VLOOKUP("rusia",#REF!,3,FALSE)/VLOOKUP("rusia",#REF!,3,FALSE)-1</f>
        <v>#REF!</v>
      </c>
      <c r="K205" s="215" t="e">
        <f>VLOOKUP("rusia",#REF!,3,FALSE)</f>
        <v>#REF!</v>
      </c>
      <c r="L205" s="214" t="e">
        <f>VLOOKUP("rusia",#REF!,2,FALSE)/VLOOKUP("rusia",#REF!,2,FALSE)-1</f>
        <v>#REF!</v>
      </c>
      <c r="M205" s="215" t="e">
        <f>VLOOKUP("rusia",#REF!,2,FALSE)</f>
        <v>#REF!</v>
      </c>
      <c r="N205" s="214" t="e">
        <f>VLOOKUP("rusia",#REF!,7,FALSE)/VLOOKUP("rusia",#REF!,7,FALSE)-1</f>
        <v>#REF!</v>
      </c>
      <c r="O205" s="215" t="e">
        <f>VLOOKUP("rusia",#REF!,7,FALSE)</f>
        <v>#REF!</v>
      </c>
      <c r="P205" s="214" t="e">
        <f>VLOOKUP("rusia",#REF!,8,FALSE)/VLOOKUP("rusia",#REF!,8,FALSE)-1</f>
        <v>#REF!</v>
      </c>
      <c r="Q205" s="215" t="e">
        <f>VLOOKUP("rusia",#REF!,8,FALSE)</f>
        <v>#REF!</v>
      </c>
    </row>
    <row r="206" spans="3:17" ht="24" hidden="1" customHeight="1" x14ac:dyDescent="0.2">
      <c r="C206" s="213" t="s">
        <v>56</v>
      </c>
      <c r="D206" s="214" t="e">
        <f>VLOOKUP("paises del este",#REF!,6,FALSE)/VLOOKUP("paises del este",#REF!,6,FALSE)-1</f>
        <v>#REF!</v>
      </c>
      <c r="E206" s="215" t="e">
        <f>VLOOKUP("paises del este",#REF!,6,FALSE)</f>
        <v>#REF!</v>
      </c>
      <c r="F206" s="214" t="e">
        <f>VLOOKUP("paises del este",#REF!,5,FALSE)/VLOOKUP("paises del este",#REF!,5,FALSE)-1</f>
        <v>#REF!</v>
      </c>
      <c r="G206" s="215" t="e">
        <f>VLOOKUP("paises del este",#REF!,5,FALSE)</f>
        <v>#REF!</v>
      </c>
      <c r="H206" s="214" t="e">
        <f>VLOOKUP("paises del este",#REF!,4,FALSE)/VLOOKUP("paises del este",#REF!,4,FALSE)-1</f>
        <v>#REF!</v>
      </c>
      <c r="I206" s="215" t="e">
        <f>VLOOKUP("paises del este",#REF!,4,FALSE)</f>
        <v>#REF!</v>
      </c>
      <c r="J206" s="214" t="e">
        <f>VLOOKUP("paises del este",#REF!,3,FALSE)/VLOOKUP("paises del este",#REF!,3,FALSE)-1</f>
        <v>#REF!</v>
      </c>
      <c r="K206" s="215" t="e">
        <f>VLOOKUP("paises del este",#REF!,3,FALSE)</f>
        <v>#REF!</v>
      </c>
      <c r="L206" s="214" t="e">
        <f>VLOOKUP("paises del este",#REF!,2,FALSE)/VLOOKUP("paises del este",#REF!,2,FALSE)-1</f>
        <v>#REF!</v>
      </c>
      <c r="M206" s="215" t="e">
        <f>VLOOKUP("paises del este",#REF!,2,FALSE)</f>
        <v>#REF!</v>
      </c>
      <c r="N206" s="214" t="e">
        <f>VLOOKUP("paises del este",#REF!,7,FALSE)/VLOOKUP("paises del este",#REF!,7,FALSE)-1</f>
        <v>#REF!</v>
      </c>
      <c r="O206" s="215" t="e">
        <f>VLOOKUP("paises del este",#REF!,7,FALSE)</f>
        <v>#REF!</v>
      </c>
      <c r="P206" s="214" t="e">
        <f>VLOOKUP("paises del este",#REF!,8,FALSE)/VLOOKUP("paises del este",#REF!,8,FALSE)-1</f>
        <v>#REF!</v>
      </c>
      <c r="Q206" s="215" t="e">
        <f>VLOOKUP("paises del este",#REF!,8,FALSE)</f>
        <v>#REF!</v>
      </c>
    </row>
    <row r="207" spans="3:17" ht="24" hidden="1" customHeight="1" x14ac:dyDescent="0.2">
      <c r="C207" s="213" t="s">
        <v>57</v>
      </c>
      <c r="D207" s="214" t="e">
        <f>VLOOKUP("resto de europa",#REF!,6,FALSE)/VLOOKUP("resto de europa",#REF!,6,FALSE)-1</f>
        <v>#REF!</v>
      </c>
      <c r="E207" s="215" t="e">
        <f>VLOOKUP("resto de europa",#REF!,6,FALSE)</f>
        <v>#REF!</v>
      </c>
      <c r="F207" s="214" t="e">
        <f>VLOOKUP("resto de europa",#REF!,5,FALSE)/VLOOKUP("resto de europa",#REF!,5,FALSE)-1</f>
        <v>#REF!</v>
      </c>
      <c r="G207" s="215" t="e">
        <f>VLOOKUP("resto de europa",#REF!,5,FALSE)</f>
        <v>#REF!</v>
      </c>
      <c r="H207" s="214" t="e">
        <f>VLOOKUP("resto de europa",#REF!,4,FALSE)/VLOOKUP("resto de europa",#REF!,4,FALSE)-1</f>
        <v>#REF!</v>
      </c>
      <c r="I207" s="215" t="e">
        <f>VLOOKUP("resto de europa",#REF!,4,FALSE)</f>
        <v>#REF!</v>
      </c>
      <c r="J207" s="214" t="e">
        <f>VLOOKUP("resto de europa",#REF!,3,FALSE)/VLOOKUP("resto de europa",#REF!,3,FALSE)-1</f>
        <v>#REF!</v>
      </c>
      <c r="K207" s="215" t="e">
        <f>VLOOKUP("resto de europa",#REF!,3,FALSE)</f>
        <v>#REF!</v>
      </c>
      <c r="L207" s="214" t="e">
        <f>VLOOKUP("resto de europa",#REF!,2,FALSE)/VLOOKUP("resto de europa",#REF!,2,FALSE)-1</f>
        <v>#REF!</v>
      </c>
      <c r="M207" s="215" t="e">
        <f>VLOOKUP("resto de europa",#REF!,2,FALSE)</f>
        <v>#REF!</v>
      </c>
      <c r="N207" s="214" t="e">
        <f>VLOOKUP("resto de europa",#REF!,7,FALSE)/VLOOKUP("resto de europa",#REF!,7,FALSE)-1</f>
        <v>#REF!</v>
      </c>
      <c r="O207" s="215" t="e">
        <f>VLOOKUP("resto de europa",#REF!,7,FALSE)</f>
        <v>#REF!</v>
      </c>
      <c r="P207" s="214" t="e">
        <f>VLOOKUP("resto de europa",#REF!,8,FALSE)/VLOOKUP("resto de europa",#REF!,8,FALSE)-1</f>
        <v>#REF!</v>
      </c>
      <c r="Q207" s="215" t="e">
        <f>VLOOKUP("resto de europa",#REF!,8,FALSE)</f>
        <v>#REF!</v>
      </c>
    </row>
    <row r="208" spans="3:17" ht="24" hidden="1" customHeight="1" x14ac:dyDescent="0.2">
      <c r="C208" s="213" t="s">
        <v>58</v>
      </c>
      <c r="D208" s="214" t="e">
        <f>VLOOKUP("usa",#REF!,6,FALSE)/VLOOKUP("usa",#REF!,6,FALSE)-1</f>
        <v>#REF!</v>
      </c>
      <c r="E208" s="215" t="e">
        <f>VLOOKUP("usa",#REF!,6,FALSE)</f>
        <v>#REF!</v>
      </c>
      <c r="F208" s="214" t="e">
        <f>VLOOKUP("usa",#REF!,5,FALSE)/VLOOKUP("usa",#REF!,5,FALSE)-1</f>
        <v>#REF!</v>
      </c>
      <c r="G208" s="215" t="e">
        <f>VLOOKUP("usa",#REF!,5,FALSE)</f>
        <v>#REF!</v>
      </c>
      <c r="H208" s="214" t="e">
        <f>VLOOKUP("usa",#REF!,4,FALSE)/VLOOKUP("usa",#REF!,4,FALSE)-1</f>
        <v>#REF!</v>
      </c>
      <c r="I208" s="215" t="e">
        <f>VLOOKUP("usa",#REF!,4,FALSE)</f>
        <v>#REF!</v>
      </c>
      <c r="J208" s="214" t="e">
        <f>VLOOKUP("usa",#REF!,3,FALSE)/VLOOKUP("usa",#REF!,3,FALSE)-1</f>
        <v>#REF!</v>
      </c>
      <c r="K208" s="215" t="e">
        <f>VLOOKUP("usa",#REF!,3,FALSE)</f>
        <v>#REF!</v>
      </c>
      <c r="L208" s="214" t="e">
        <f>VLOOKUP("usa",#REF!,2,FALSE)/VLOOKUP("usa",#REF!,2,FALSE)-1</f>
        <v>#REF!</v>
      </c>
      <c r="M208" s="215" t="e">
        <f>VLOOKUP("usa",#REF!,2,FALSE)</f>
        <v>#REF!</v>
      </c>
      <c r="N208" s="214" t="e">
        <f>VLOOKUP("usa",#REF!,7,FALSE)/VLOOKUP("usa",#REF!,7,FALSE)-1</f>
        <v>#REF!</v>
      </c>
      <c r="O208" s="215" t="e">
        <f>VLOOKUP("usa",#REF!,7,FALSE)</f>
        <v>#REF!</v>
      </c>
      <c r="P208" s="214" t="e">
        <f>VLOOKUP("usa",#REF!,8,FALSE)/VLOOKUP("usa",#REF!,8,FALSE)-1</f>
        <v>#REF!</v>
      </c>
      <c r="Q208" s="215" t="e">
        <f>VLOOKUP("usa",#REF!,8,FALSE)</f>
        <v>#REF!</v>
      </c>
    </row>
    <row r="209" spans="3:18" ht="24" hidden="1" customHeight="1" x14ac:dyDescent="0.2">
      <c r="C209" s="213" t="s">
        <v>59</v>
      </c>
      <c r="D209" s="214" t="e">
        <f>VLOOKUP("resto de america",#REF!,6,FALSE)/VLOOKUP("resto de america",#REF!,6,FALSE)-1</f>
        <v>#REF!</v>
      </c>
      <c r="E209" s="215" t="e">
        <f>VLOOKUP("resto de america",#REF!,6,FALSE)</f>
        <v>#REF!</v>
      </c>
      <c r="F209" s="214" t="e">
        <f>VLOOKUP("resto de america",#REF!,5,FALSE)/VLOOKUP("resto de america",#REF!,5,FALSE)-1</f>
        <v>#REF!</v>
      </c>
      <c r="G209" s="215" t="e">
        <f>VLOOKUP("resto de america",#REF!,5,FALSE)</f>
        <v>#REF!</v>
      </c>
      <c r="H209" s="214" t="e">
        <f>VLOOKUP("resto de america",#REF!,4,FALSE)/VLOOKUP("resto de america",#REF!,4,FALSE)-1</f>
        <v>#REF!</v>
      </c>
      <c r="I209" s="215" t="e">
        <f>VLOOKUP("resto de america",#REF!,4,FALSE)</f>
        <v>#REF!</v>
      </c>
      <c r="J209" s="214" t="e">
        <f>VLOOKUP("resto de america",#REF!,3,FALSE)/VLOOKUP("resto de america",#REF!,3,FALSE)-1</f>
        <v>#REF!</v>
      </c>
      <c r="K209" s="215" t="e">
        <f>VLOOKUP("resto de america",#REF!,3,FALSE)</f>
        <v>#REF!</v>
      </c>
      <c r="L209" s="214" t="e">
        <f>VLOOKUP("resto de america",#REF!,2,FALSE)/VLOOKUP("resto de america",#REF!,2,FALSE)-1</f>
        <v>#REF!</v>
      </c>
      <c r="M209" s="215" t="e">
        <f>VLOOKUP("resto de america",#REF!,2,FALSE)</f>
        <v>#REF!</v>
      </c>
      <c r="N209" s="214" t="e">
        <f>VLOOKUP("resto de america",#REF!,7,FALSE)/VLOOKUP("resto de america",#REF!,7,FALSE)-1</f>
        <v>#REF!</v>
      </c>
      <c r="O209" s="215" t="e">
        <f>VLOOKUP("resto de america",#REF!,7,FALSE)</f>
        <v>#REF!</v>
      </c>
      <c r="P209" s="214" t="e">
        <f>VLOOKUP("resto de america",#REF!,8,FALSE)/VLOOKUP("resto de america",#REF!,8,FALSE)-1</f>
        <v>#REF!</v>
      </c>
      <c r="Q209" s="215" t="e">
        <f>VLOOKUP("resto de america",#REF!,8,FALSE)</f>
        <v>#REF!</v>
      </c>
    </row>
    <row r="210" spans="3:18" ht="24" hidden="1" customHeight="1" x14ac:dyDescent="0.2">
      <c r="C210" s="213" t="s">
        <v>60</v>
      </c>
      <c r="D210" s="214" t="e">
        <f>VLOOKUP("resto del mundo",#REF!,6,FALSE)/VLOOKUP("resto del mundo",#REF!,6,FALSE)-1</f>
        <v>#REF!</v>
      </c>
      <c r="E210" s="215" t="e">
        <f>VLOOKUP("resto del mundo",#REF!,6,FALSE)</f>
        <v>#REF!</v>
      </c>
      <c r="F210" s="214" t="e">
        <f>VLOOKUP("resto del mundo",#REF!,5,FALSE)/VLOOKUP("resto del mundo",#REF!,5,FALSE)-1</f>
        <v>#REF!</v>
      </c>
      <c r="G210" s="215" t="e">
        <f>VLOOKUP("resto del mundo",#REF!,5,FALSE)</f>
        <v>#REF!</v>
      </c>
      <c r="H210" s="214" t="e">
        <f>VLOOKUP("resto del mundo",#REF!,4,FALSE)/VLOOKUP("resto del mundo",#REF!,4,FALSE)-1</f>
        <v>#REF!</v>
      </c>
      <c r="I210" s="215" t="e">
        <f>VLOOKUP("resto del mundo",#REF!,4,FALSE)</f>
        <v>#REF!</v>
      </c>
      <c r="J210" s="214" t="e">
        <f>VLOOKUP("resto del mundo",#REF!,3,FALSE)/VLOOKUP("resto del mundo",#REF!,3,FALSE)-1</f>
        <v>#REF!</v>
      </c>
      <c r="K210" s="215" t="e">
        <f>VLOOKUP("resto del mundo",#REF!,3,FALSE)</f>
        <v>#REF!</v>
      </c>
      <c r="L210" s="214" t="e">
        <f>VLOOKUP("resto del mundo",#REF!,2,FALSE)/VLOOKUP("resto del mundo",#REF!,2,FALSE)-1</f>
        <v>#REF!</v>
      </c>
      <c r="M210" s="215" t="e">
        <f>VLOOKUP("resto del mundo",#REF!,2,FALSE)</f>
        <v>#REF!</v>
      </c>
      <c r="N210" s="214" t="e">
        <f>VLOOKUP("resto del mundo",#REF!,7,FALSE)/VLOOKUP("resto del mundo",#REF!,7,FALSE)-1</f>
        <v>#REF!</v>
      </c>
      <c r="O210" s="215" t="e">
        <f>VLOOKUP("resto del mundo",#REF!,7,FALSE)</f>
        <v>#REF!</v>
      </c>
      <c r="P210" s="214" t="e">
        <f>VLOOKUP("resto del mundo",#REF!,8,FALSE)/VLOOKUP("resto del mundo",#REF!,8,FALSE)-1</f>
        <v>#REF!</v>
      </c>
      <c r="Q210" s="215" t="e">
        <f>VLOOKUP("resto del mundo",#REF!,8,FALSE)</f>
        <v>#REF!</v>
      </c>
    </row>
    <row r="211" spans="3:18" ht="24" hidden="1" customHeight="1" x14ac:dyDescent="0.2">
      <c r="C211" s="213" t="s">
        <v>61</v>
      </c>
      <c r="D211" s="214" t="e">
        <f>(VLOOKUP("total",#REF!,6,FALSE)-VLOOKUP("españa",#REF!,6,FALSE))/(VLOOKUP("total",#REF!,6,FALSE)-VLOOKUP("españa",#REF!,6,FALSE))-1</f>
        <v>#REF!</v>
      </c>
      <c r="E211" s="215" t="e">
        <f>VLOOKUP("total",#REF!,6,FALSE)-VLOOKUP("españa",#REF!,6,FALSE)</f>
        <v>#REF!</v>
      </c>
      <c r="F211" s="214" t="e">
        <f>(VLOOKUP("total",#REF!,5,FALSE)-VLOOKUP("españa",#REF!,5,FALSE))/(VLOOKUP("total",#REF!,5,FALSE)-VLOOKUP("españa",#REF!,5,FALSE))-1</f>
        <v>#REF!</v>
      </c>
      <c r="G211" s="215" t="e">
        <f>VLOOKUP("total",#REF!,5,FALSE)-VLOOKUP("españa",#REF!,5,FALSE)</f>
        <v>#REF!</v>
      </c>
      <c r="H211" s="214" t="e">
        <f>(VLOOKUP("total",#REF!,4,FALSE)-VLOOKUP("españa",#REF!,4,FALSE))/(VLOOKUP("total",#REF!,4,FALSE)-VLOOKUP("españa",#REF!,4,FALSE))-1</f>
        <v>#REF!</v>
      </c>
      <c r="I211" s="215" t="e">
        <f>VLOOKUP("total",#REF!,4,FALSE)-VLOOKUP("españa",#REF!,4,FALSE)</f>
        <v>#REF!</v>
      </c>
      <c r="J211" s="214" t="e">
        <f>(VLOOKUP("total",#REF!,3,FALSE)-VLOOKUP("españa",#REF!,3,FALSE))/(VLOOKUP("total",#REF!,3,FALSE)-VLOOKUP("españa",#REF!,3,FALSE))-1</f>
        <v>#REF!</v>
      </c>
      <c r="K211" s="215" t="e">
        <f>VLOOKUP("total",#REF!,3,FALSE)-VLOOKUP("españa",#REF!,3,FALSE)</f>
        <v>#REF!</v>
      </c>
      <c r="L211" s="214" t="e">
        <f>(VLOOKUP("total",#REF!,2,FALSE)-VLOOKUP("españa",#REF!,2,FALSE))/(VLOOKUP("total",#REF!,2,FALSE)-VLOOKUP("españa",#REF!,2,FALSE))-1</f>
        <v>#REF!</v>
      </c>
      <c r="M211" s="215" t="e">
        <f>VLOOKUP("total",#REF!,2,FALSE)-VLOOKUP("españa",#REF!,2,FALSE)</f>
        <v>#REF!</v>
      </c>
      <c r="N211" s="214" t="e">
        <f>(VLOOKUP("total",#REF!,7,FALSE)-VLOOKUP("españa",#REF!,7,FALSE))/(VLOOKUP("total",#REF!,7,FALSE)-VLOOKUP("españa",#REF!,7,FALSE))-1</f>
        <v>#REF!</v>
      </c>
      <c r="O211" s="215" t="e">
        <f>VLOOKUP("total",#REF!,7,FALSE)-VLOOKUP("españa",#REF!,7,FALSE)</f>
        <v>#REF!</v>
      </c>
      <c r="P211" s="214" t="e">
        <f>(VLOOKUP("total",#REF!,8,FALSE)-VLOOKUP("españa",#REF!,8,FALSE))/(VLOOKUP("total",#REF!,8,FALSE)-VLOOKUP("españa",#REF!,8,FALSE))-1</f>
        <v>#REF!</v>
      </c>
      <c r="Q211" s="215" t="e">
        <f>VLOOKUP("total",#REF!,8,FALSE)-VLOOKUP("españa",#REF!,8,FALSE)</f>
        <v>#REF!</v>
      </c>
    </row>
    <row r="212" spans="3:18" ht="24" hidden="1" customHeight="1" x14ac:dyDescent="0.2">
      <c r="C212" s="213" t="s">
        <v>8</v>
      </c>
      <c r="D212" s="214" t="e">
        <f>VLOOKUP("total",#REF!,6,FALSE)/VLOOKUP("total",#REF!,6,FALSE)-1</f>
        <v>#REF!</v>
      </c>
      <c r="E212" s="215" t="e">
        <f>VLOOKUP("total",#REF!,6,FALSE)</f>
        <v>#REF!</v>
      </c>
      <c r="F212" s="214" t="e">
        <f>VLOOKUP("total",#REF!,5,FALSE)/VLOOKUP("total",#REF!,5,FALSE)-1</f>
        <v>#REF!</v>
      </c>
      <c r="G212" s="215" t="e">
        <f>VLOOKUP("total",#REF!,5,FALSE)</f>
        <v>#REF!</v>
      </c>
      <c r="H212" s="214" t="e">
        <f>VLOOKUP("total",#REF!,4,FALSE)/VLOOKUP("total",#REF!,4,FALSE)-1</f>
        <v>#REF!</v>
      </c>
      <c r="I212" s="215" t="e">
        <f>VLOOKUP("total",#REF!,4,FALSE)</f>
        <v>#REF!</v>
      </c>
      <c r="J212" s="214" t="e">
        <f>VLOOKUP("total",#REF!,3,FALSE)/VLOOKUP("total",#REF!,3,FALSE)-1</f>
        <v>#REF!</v>
      </c>
      <c r="K212" s="215" t="e">
        <f>VLOOKUP("total",#REF!,3,FALSE)</f>
        <v>#REF!</v>
      </c>
      <c r="L212" s="214" t="e">
        <f>VLOOKUP("total",#REF!,2,FALSE)/VLOOKUP("total",#REF!,2,FALSE)-1</f>
        <v>#REF!</v>
      </c>
      <c r="M212" s="215" t="e">
        <f>VLOOKUP("total",#REF!,2,FALSE)</f>
        <v>#REF!</v>
      </c>
      <c r="N212" s="214" t="e">
        <f>VLOOKUP("total",#REF!,7,FALSE)/VLOOKUP("total",#REF!,7,FALSE)-1</f>
        <v>#REF!</v>
      </c>
      <c r="O212" s="215" t="e">
        <f>VLOOKUP("total",#REF!,7,FALSE)</f>
        <v>#REF!</v>
      </c>
      <c r="P212" s="214" t="e">
        <f>VLOOKUP("total",#REF!,8,FALSE)/VLOOKUP("total",#REF!,8,FALSE)-1</f>
        <v>#REF!</v>
      </c>
      <c r="Q212" s="215" t="e">
        <f>VLOOKUP("total",#REF!,8,FALSE)</f>
        <v>#REF!</v>
      </c>
    </row>
    <row r="213" spans="3:18" hidden="1" x14ac:dyDescent="0.2"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61"/>
    </row>
    <row r="214" spans="3:18" ht="35.25" hidden="1" customHeight="1" x14ac:dyDescent="0.2">
      <c r="C214" s="204" t="s">
        <v>29</v>
      </c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6"/>
    </row>
    <row r="215" spans="3:18" ht="20.100000000000001" hidden="1" customHeight="1" x14ac:dyDescent="0.2">
      <c r="C215" s="217" t="str">
        <f>I2</f>
        <v>acumulado agosto 2019</v>
      </c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9"/>
    </row>
    <row r="216" spans="3:18" ht="13.5" hidden="1" thickBot="1" x14ac:dyDescent="0.25">
      <c r="C216" s="209"/>
      <c r="D216" s="210" t="s">
        <v>24</v>
      </c>
      <c r="E216" s="211"/>
      <c r="F216" s="210" t="s">
        <v>23</v>
      </c>
      <c r="G216" s="211"/>
      <c r="H216" s="210" t="s">
        <v>22</v>
      </c>
      <c r="I216" s="211"/>
      <c r="J216" s="210" t="s">
        <v>21</v>
      </c>
      <c r="K216" s="211"/>
      <c r="L216" s="210" t="s">
        <v>20</v>
      </c>
      <c r="M216" s="211"/>
      <c r="N216" s="210" t="s">
        <v>63</v>
      </c>
      <c r="O216" s="211"/>
      <c r="P216" s="210" t="s">
        <v>64</v>
      </c>
      <c r="Q216" s="211"/>
    </row>
    <row r="217" spans="3:18" ht="28.5" hidden="1" customHeight="1" x14ac:dyDescent="0.2">
      <c r="C217" s="209"/>
      <c r="D217" s="212" t="s">
        <v>65</v>
      </c>
      <c r="E217" s="212" t="s">
        <v>66</v>
      </c>
      <c r="F217" s="212" t="s">
        <v>65</v>
      </c>
      <c r="G217" s="212" t="s">
        <v>66</v>
      </c>
      <c r="H217" s="212" t="s">
        <v>65</v>
      </c>
      <c r="I217" s="212" t="s">
        <v>66</v>
      </c>
      <c r="J217" s="212" t="s">
        <v>65</v>
      </c>
      <c r="K217" s="212" t="s">
        <v>66</v>
      </c>
      <c r="L217" s="212" t="s">
        <v>65</v>
      </c>
      <c r="M217" s="212" t="s">
        <v>66</v>
      </c>
      <c r="N217" s="212" t="s">
        <v>65</v>
      </c>
      <c r="O217" s="212" t="s">
        <v>66</v>
      </c>
      <c r="P217" s="212" t="s">
        <v>65</v>
      </c>
      <c r="Q217" s="212" t="s">
        <v>66</v>
      </c>
    </row>
    <row r="218" spans="3:18" ht="24" hidden="1" customHeight="1" x14ac:dyDescent="0.2">
      <c r="C218" s="213" t="s">
        <v>36</v>
      </c>
      <c r="D218" s="214" t="e">
        <f>VLOOKUP("españa",#REF!,6,FALSE)/VLOOKUP("españa",#REF!,6,FALSE)-1</f>
        <v>#REF!</v>
      </c>
      <c r="E218" s="215" t="e">
        <f>VLOOKUP("españa",#REF!,6,FALSE)</f>
        <v>#REF!</v>
      </c>
      <c r="F218" s="214" t="e">
        <f>VLOOKUP("españa",#REF!,5,FALSE)/VLOOKUP("españa",#REF!,5,FALSE)-1</f>
        <v>#REF!</v>
      </c>
      <c r="G218" s="215" t="e">
        <f>VLOOKUP("españa",#REF!,5,FALSE)</f>
        <v>#REF!</v>
      </c>
      <c r="H218" s="214" t="e">
        <f>VLOOKUP("españa",#REF!,4,FALSE)/VLOOKUP("españa",#REF!,4,FALSE)-1</f>
        <v>#REF!</v>
      </c>
      <c r="I218" s="215" t="e">
        <f>VLOOKUP("españa",#REF!,4,FALSE)</f>
        <v>#REF!</v>
      </c>
      <c r="J218" s="214" t="e">
        <f>VLOOKUP("españa",#REF!,3,FALSE)/VLOOKUP("españa",#REF!,3,FALSE)-1</f>
        <v>#REF!</v>
      </c>
      <c r="K218" s="215" t="e">
        <f>VLOOKUP("españa",#REF!,3,FALSE)</f>
        <v>#REF!</v>
      </c>
      <c r="L218" s="214" t="e">
        <f>VLOOKUP("españa",#REF!,2,FALSE)/VLOOKUP("españa",#REF!,2,FALSE)-1</f>
        <v>#REF!</v>
      </c>
      <c r="M218" s="215" t="e">
        <f>VLOOKUP("españa",#REF!,2,FALSE)</f>
        <v>#REF!</v>
      </c>
      <c r="N218" s="214" t="e">
        <f>VLOOKUP("españa",#REF!,7,FALSE)/VLOOKUP("españa",#REF!,7,FALSE)-1</f>
        <v>#REF!</v>
      </c>
      <c r="O218" s="215" t="e">
        <f>VLOOKUP("españa",#REF!,7,FALSE)</f>
        <v>#REF!</v>
      </c>
      <c r="P218" s="214" t="e">
        <f>VLOOKUP("españa",#REF!,8,FALSE)/VLOOKUP("españa",#REF!,8,FALSE)-1</f>
        <v>#REF!</v>
      </c>
      <c r="Q218" s="215" t="e">
        <f>VLOOKUP("españa",#REF!,8,FALSE)</f>
        <v>#REF!</v>
      </c>
    </row>
    <row r="219" spans="3:18" ht="24" hidden="1" customHeight="1" x14ac:dyDescent="0.2">
      <c r="C219" s="213" t="s">
        <v>41</v>
      </c>
      <c r="D219" s="214" t="e">
        <f>VLOOKUP("holanda",#REF!,6,FALSE)/VLOOKUP("holanda",#REF!,6,FALSE)-1</f>
        <v>#REF!</v>
      </c>
      <c r="E219" s="215" t="e">
        <f>VLOOKUP("holanda",#REF!,6,FALSE)</f>
        <v>#REF!</v>
      </c>
      <c r="F219" s="214" t="e">
        <f>VLOOKUP("holanda",#REF!,5,FALSE)/VLOOKUP("holanda",#REF!,5,FALSE)-1</f>
        <v>#REF!</v>
      </c>
      <c r="G219" s="215" t="e">
        <f>VLOOKUP("holanda",#REF!,5,FALSE)</f>
        <v>#REF!</v>
      </c>
      <c r="H219" s="214" t="e">
        <f>VLOOKUP("holanda",#REF!,4,FALSE)/VLOOKUP("holanda",#REF!,4,FALSE)-1</f>
        <v>#REF!</v>
      </c>
      <c r="I219" s="215" t="e">
        <f>VLOOKUP("holanda",#REF!,4,FALSE)</f>
        <v>#REF!</v>
      </c>
      <c r="J219" s="214" t="e">
        <f>VLOOKUP("holanda",#REF!,3,FALSE)/VLOOKUP("holanda",#REF!,3,FALSE)-1</f>
        <v>#REF!</v>
      </c>
      <c r="K219" s="215" t="e">
        <f>VLOOKUP("holanda",#REF!,3,FALSE)</f>
        <v>#REF!</v>
      </c>
      <c r="L219" s="214" t="e">
        <f>VLOOKUP("holanda",#REF!,2,FALSE)/VLOOKUP("holanda",#REF!,2,FALSE)-1</f>
        <v>#REF!</v>
      </c>
      <c r="M219" s="215" t="e">
        <f>VLOOKUP("holanda",#REF!,2,FALSE)</f>
        <v>#REF!</v>
      </c>
      <c r="N219" s="214" t="e">
        <f>VLOOKUP("holanda",#REF!,7,FALSE)/VLOOKUP("holanda",#REF!,7,FALSE)-1</f>
        <v>#REF!</v>
      </c>
      <c r="O219" s="215" t="e">
        <f>VLOOKUP("holanda",#REF!,7,FALSE)</f>
        <v>#REF!</v>
      </c>
      <c r="P219" s="214" t="e">
        <f>VLOOKUP("holanda",#REF!,8,FALSE)/VLOOKUP("holanda",#REF!,8,FALSE)-1</f>
        <v>#REF!</v>
      </c>
      <c r="Q219" s="215" t="e">
        <f>VLOOKUP("holanda",#REF!,8,FALSE)</f>
        <v>#REF!</v>
      </c>
    </row>
    <row r="220" spans="3:18" ht="24" hidden="1" customHeight="1" x14ac:dyDescent="0.2">
      <c r="C220" s="213" t="s">
        <v>42</v>
      </c>
      <c r="D220" s="214" t="e">
        <f>VLOOKUP("belgica",#REF!,6,FALSE)/VLOOKUP("belgica",#REF!,6,FALSE)-1</f>
        <v>#REF!</v>
      </c>
      <c r="E220" s="215" t="e">
        <f>VLOOKUP("belgica",#REF!,6,FALSE)</f>
        <v>#REF!</v>
      </c>
      <c r="F220" s="214" t="e">
        <f>VLOOKUP("belgica",#REF!,5,FALSE)/VLOOKUP("belgica",#REF!,5,FALSE)-1</f>
        <v>#REF!</v>
      </c>
      <c r="G220" s="215" t="e">
        <f>VLOOKUP("belgica",#REF!,5,FALSE)</f>
        <v>#REF!</v>
      </c>
      <c r="H220" s="214" t="e">
        <f>VLOOKUP("belgica",#REF!,4,FALSE)/VLOOKUP("belgica",#REF!,4,FALSE)-1</f>
        <v>#REF!</v>
      </c>
      <c r="I220" s="215" t="e">
        <f>VLOOKUP("belgica",#REF!,4,FALSE)</f>
        <v>#REF!</v>
      </c>
      <c r="J220" s="214" t="e">
        <f>VLOOKUP("belgica",#REF!,3,FALSE)/VLOOKUP("belgica",#REF!,3,FALSE)-1</f>
        <v>#REF!</v>
      </c>
      <c r="K220" s="215" t="e">
        <f>VLOOKUP("belgica",#REF!,3,FALSE)</f>
        <v>#REF!</v>
      </c>
      <c r="L220" s="214" t="e">
        <f>VLOOKUP("belgica",#REF!,2,FALSE)/VLOOKUP("belgica",#REF!,2,FALSE)-1</f>
        <v>#REF!</v>
      </c>
      <c r="M220" s="215" t="e">
        <f>VLOOKUP("belgica",#REF!,2,FALSE)</f>
        <v>#REF!</v>
      </c>
      <c r="N220" s="214" t="e">
        <f>VLOOKUP("belgica",#REF!,7,FALSE)/VLOOKUP("belgica",#REF!,7,FALSE)-1</f>
        <v>#REF!</v>
      </c>
      <c r="O220" s="215" t="e">
        <f>VLOOKUP("belgica",#REF!,7,FALSE)</f>
        <v>#REF!</v>
      </c>
      <c r="P220" s="214" t="e">
        <f>VLOOKUP("belgica",#REF!,8,FALSE)/VLOOKUP("belgica",#REF!,8,FALSE)-1</f>
        <v>#REF!</v>
      </c>
      <c r="Q220" s="215" t="e">
        <f>VLOOKUP("belgica",#REF!,8,FALSE)</f>
        <v>#REF!</v>
      </c>
    </row>
    <row r="221" spans="3:18" ht="24" hidden="1" customHeight="1" x14ac:dyDescent="0.2">
      <c r="C221" s="213" t="s">
        <v>43</v>
      </c>
      <c r="D221" s="214" t="e">
        <f>VLOOKUP("alemania",#REF!,6,FALSE)/VLOOKUP("alemania",#REF!,6,FALSE)-1</f>
        <v>#REF!</v>
      </c>
      <c r="E221" s="215" t="e">
        <f>VLOOKUP("alemania",#REF!,6,FALSE)</f>
        <v>#REF!</v>
      </c>
      <c r="F221" s="214" t="e">
        <f>VLOOKUP("alemania",#REF!,5,FALSE)/VLOOKUP("alemania",#REF!,5,FALSE)-1</f>
        <v>#REF!</v>
      </c>
      <c r="G221" s="215" t="e">
        <f>VLOOKUP("alemania",#REF!,5,FALSE)</f>
        <v>#REF!</v>
      </c>
      <c r="H221" s="214" t="e">
        <f>VLOOKUP("alemania",#REF!,4,FALSE)/VLOOKUP("alemania",#REF!,4,FALSE)-1</f>
        <v>#REF!</v>
      </c>
      <c r="I221" s="215" t="e">
        <f>VLOOKUP("alemania",#REF!,4,FALSE)</f>
        <v>#REF!</v>
      </c>
      <c r="J221" s="214" t="e">
        <f>VLOOKUP("alemania",#REF!,3,FALSE)/VLOOKUP("alemania",#REF!,3,FALSE)-1</f>
        <v>#REF!</v>
      </c>
      <c r="K221" s="215" t="e">
        <f>VLOOKUP("alemania",#REF!,3,FALSE)</f>
        <v>#REF!</v>
      </c>
      <c r="L221" s="214" t="e">
        <f>VLOOKUP("alemania",#REF!,2,FALSE)/VLOOKUP("alemania",#REF!,2,FALSE)-1</f>
        <v>#REF!</v>
      </c>
      <c r="M221" s="215" t="e">
        <f>VLOOKUP("alemania",#REF!,2,FALSE)</f>
        <v>#REF!</v>
      </c>
      <c r="N221" s="214" t="e">
        <f>VLOOKUP("alemania",#REF!,7,FALSE)/VLOOKUP("alemania",#REF!,7,FALSE)-1</f>
        <v>#REF!</v>
      </c>
      <c r="O221" s="215" t="e">
        <f>VLOOKUP("alemania",#REF!,7,FALSE)</f>
        <v>#REF!</v>
      </c>
      <c r="P221" s="214" t="e">
        <f>VLOOKUP("alemania",#REF!,8,FALSE)/VLOOKUP("alemania",#REF!,8,FALSE)-1</f>
        <v>#REF!</v>
      </c>
      <c r="Q221" s="215" t="e">
        <f>VLOOKUP("alemania",#REF!,8,FALSE)</f>
        <v>#REF!</v>
      </c>
    </row>
    <row r="222" spans="3:18" ht="24" hidden="1" customHeight="1" x14ac:dyDescent="0.2">
      <c r="C222" s="213" t="s">
        <v>44</v>
      </c>
      <c r="D222" s="214" t="e">
        <f>VLOOKUP("francia",#REF!,6,FALSE)/VLOOKUP("francia",#REF!,6,FALSE)-1</f>
        <v>#REF!</v>
      </c>
      <c r="E222" s="215" t="e">
        <f>VLOOKUP("francia",#REF!,6,FALSE)</f>
        <v>#REF!</v>
      </c>
      <c r="F222" s="214" t="e">
        <f>VLOOKUP("francia",#REF!,5,FALSE)/VLOOKUP("francia",#REF!,5,FALSE)-1</f>
        <v>#REF!</v>
      </c>
      <c r="G222" s="215" t="e">
        <f>VLOOKUP("francia",#REF!,5,FALSE)</f>
        <v>#REF!</v>
      </c>
      <c r="H222" s="214" t="e">
        <f>VLOOKUP("francia",#REF!,4,FALSE)/VLOOKUP("francia",#REF!,4,FALSE)-1</f>
        <v>#REF!</v>
      </c>
      <c r="I222" s="215" t="e">
        <f>VLOOKUP("francia",#REF!,4,FALSE)</f>
        <v>#REF!</v>
      </c>
      <c r="J222" s="214" t="e">
        <f>VLOOKUP("francia",#REF!,3,FALSE)/VLOOKUP("francia",#REF!,3,FALSE)-1</f>
        <v>#REF!</v>
      </c>
      <c r="K222" s="215" t="e">
        <f>VLOOKUP("francia",#REF!,3,FALSE)</f>
        <v>#REF!</v>
      </c>
      <c r="L222" s="214" t="e">
        <f>VLOOKUP("francia",#REF!,2,FALSE)/VLOOKUP("francia",#REF!,2,FALSE)-1</f>
        <v>#REF!</v>
      </c>
      <c r="M222" s="215" t="e">
        <f>VLOOKUP("francia",#REF!,2,FALSE)</f>
        <v>#REF!</v>
      </c>
      <c r="N222" s="214" t="e">
        <f>VLOOKUP("francia",#REF!,7,FALSE)/VLOOKUP("francia",#REF!,7,FALSE)-1</f>
        <v>#REF!</v>
      </c>
      <c r="O222" s="215" t="e">
        <f>VLOOKUP("francia",#REF!,7,FALSE)</f>
        <v>#REF!</v>
      </c>
      <c r="P222" s="214" t="e">
        <f>VLOOKUP("francia",#REF!,8,FALSE)/VLOOKUP("francia",#REF!,8,FALSE)-1</f>
        <v>#REF!</v>
      </c>
      <c r="Q222" s="215" t="e">
        <f>VLOOKUP("francia",#REF!,8,FALSE)</f>
        <v>#REF!</v>
      </c>
    </row>
    <row r="223" spans="3:18" ht="24" hidden="1" customHeight="1" x14ac:dyDescent="0.2">
      <c r="C223" s="213" t="s">
        <v>45</v>
      </c>
      <c r="D223" s="214" t="e">
        <f>VLOOKUP("reino unido",#REF!,6,FALSE)/VLOOKUP("reino unido",#REF!,6,FALSE)-1</f>
        <v>#REF!</v>
      </c>
      <c r="E223" s="215" t="e">
        <f>VLOOKUP("reino unido",#REF!,6,FALSE)</f>
        <v>#REF!</v>
      </c>
      <c r="F223" s="214" t="e">
        <f>VLOOKUP("reino unido",#REF!,5,FALSE)/VLOOKUP("reino unido",#REF!,5,FALSE)-1</f>
        <v>#REF!</v>
      </c>
      <c r="G223" s="215" t="e">
        <f>VLOOKUP("reino unido",#REF!,5,FALSE)</f>
        <v>#REF!</v>
      </c>
      <c r="H223" s="214" t="e">
        <f>VLOOKUP("reino unido",#REF!,4,FALSE)/VLOOKUP("reino unido",#REF!,4,FALSE)-1</f>
        <v>#REF!</v>
      </c>
      <c r="I223" s="215" t="e">
        <f>VLOOKUP("reino unido",#REF!,4,FALSE)</f>
        <v>#REF!</v>
      </c>
      <c r="J223" s="214" t="e">
        <f>VLOOKUP("reino unido",#REF!,3,FALSE)/VLOOKUP("reino unido",#REF!,3,FALSE)-1</f>
        <v>#REF!</v>
      </c>
      <c r="K223" s="215" t="e">
        <f>VLOOKUP("reino unido",#REF!,3,FALSE)</f>
        <v>#REF!</v>
      </c>
      <c r="L223" s="214" t="e">
        <f>VLOOKUP("reino unido",#REF!,2,FALSE)/VLOOKUP("reino unido",#REF!,2,FALSE)-1</f>
        <v>#REF!</v>
      </c>
      <c r="M223" s="215" t="e">
        <f>VLOOKUP("reino unido",#REF!,2,FALSE)</f>
        <v>#REF!</v>
      </c>
      <c r="N223" s="214" t="e">
        <f>VLOOKUP("reino unido",#REF!,7,FALSE)/VLOOKUP("reino unido",#REF!,7,FALSE)-1</f>
        <v>#REF!</v>
      </c>
      <c r="O223" s="215" t="e">
        <f>VLOOKUP("reino unido",#REF!,7,FALSE)</f>
        <v>#REF!</v>
      </c>
      <c r="P223" s="214" t="e">
        <f>VLOOKUP("reino unido",#REF!,8,FALSE)/VLOOKUP("reino unido",#REF!,8,FALSE)-1</f>
        <v>#REF!</v>
      </c>
      <c r="Q223" s="215" t="e">
        <f>VLOOKUP("reino unido",#REF!,8,FALSE)</f>
        <v>#REF!</v>
      </c>
    </row>
    <row r="224" spans="3:18" ht="24" hidden="1" customHeight="1" x14ac:dyDescent="0.2">
      <c r="C224" s="213" t="s">
        <v>46</v>
      </c>
      <c r="D224" s="214" t="e">
        <f>VLOOKUP("irlanda",#REF!,6,FALSE)/VLOOKUP("irlanda",#REF!,6,FALSE)-1</f>
        <v>#REF!</v>
      </c>
      <c r="E224" s="215" t="e">
        <f>VLOOKUP("irlanda",#REF!,6,FALSE)</f>
        <v>#REF!</v>
      </c>
      <c r="F224" s="214" t="e">
        <f>VLOOKUP("irlanda",#REF!,5,FALSE)/VLOOKUP("irlanda",#REF!,5,FALSE)-1</f>
        <v>#REF!</v>
      </c>
      <c r="G224" s="215" t="e">
        <f>VLOOKUP("irlanda",#REF!,5,FALSE)</f>
        <v>#REF!</v>
      </c>
      <c r="H224" s="214" t="e">
        <f>VLOOKUP("irlanda",#REF!,4,FALSE)/VLOOKUP("irlanda",#REF!,4,FALSE)-1</f>
        <v>#REF!</v>
      </c>
      <c r="I224" s="215" t="e">
        <f>VLOOKUP("irlanda",#REF!,4,FALSE)</f>
        <v>#REF!</v>
      </c>
      <c r="J224" s="214" t="e">
        <f>VLOOKUP("irlanda",#REF!,3,FALSE)/VLOOKUP("irlanda",#REF!,3,FALSE)-1</f>
        <v>#REF!</v>
      </c>
      <c r="K224" s="215" t="e">
        <f>VLOOKUP("irlanda",#REF!,3,FALSE)</f>
        <v>#REF!</v>
      </c>
      <c r="L224" s="214" t="e">
        <f>VLOOKUP("irlanda",#REF!,2,FALSE)/VLOOKUP("irlanda",#REF!,2,FALSE)-1</f>
        <v>#REF!</v>
      </c>
      <c r="M224" s="215" t="e">
        <f>VLOOKUP("irlanda",#REF!,2,FALSE)</f>
        <v>#REF!</v>
      </c>
      <c r="N224" s="214" t="e">
        <f>VLOOKUP("irlanda",#REF!,7,FALSE)/VLOOKUP("irlanda",#REF!,7,FALSE)-1</f>
        <v>#REF!</v>
      </c>
      <c r="O224" s="215" t="e">
        <f>VLOOKUP("irlanda",#REF!,7,FALSE)</f>
        <v>#REF!</v>
      </c>
      <c r="P224" s="214" t="e">
        <f>VLOOKUP("irlanda",#REF!,8,FALSE)/VLOOKUP("irlanda",#REF!,8,FALSE)-1</f>
        <v>#REF!</v>
      </c>
      <c r="Q224" s="215" t="e">
        <f>VLOOKUP("irlanda",#REF!,8,FALSE)</f>
        <v>#REF!</v>
      </c>
    </row>
    <row r="225" spans="3:17" ht="24" hidden="1" customHeight="1" x14ac:dyDescent="0.2">
      <c r="C225" s="213" t="s">
        <v>47</v>
      </c>
      <c r="D225" s="214" t="e">
        <f>VLOOKUP("italia",#REF!,6,FALSE)/VLOOKUP("italia",#REF!,6,FALSE)-1</f>
        <v>#REF!</v>
      </c>
      <c r="E225" s="215" t="e">
        <f>VLOOKUP("italia",#REF!,6,FALSE)</f>
        <v>#REF!</v>
      </c>
      <c r="F225" s="214" t="e">
        <f>VLOOKUP("italia",#REF!,5,FALSE)/VLOOKUP("italia",#REF!,5,FALSE)-1</f>
        <v>#REF!</v>
      </c>
      <c r="G225" s="215" t="e">
        <f>VLOOKUP("italia",#REF!,5,FALSE)</f>
        <v>#REF!</v>
      </c>
      <c r="H225" s="214" t="e">
        <f>VLOOKUP("italia",#REF!,4,FALSE)/VLOOKUP("italia",#REF!,4,FALSE)-1</f>
        <v>#REF!</v>
      </c>
      <c r="I225" s="215" t="e">
        <f>VLOOKUP("italia",#REF!,4,FALSE)</f>
        <v>#REF!</v>
      </c>
      <c r="J225" s="214" t="e">
        <f>VLOOKUP("italia",#REF!,3,FALSE)/VLOOKUP("italia",#REF!,3,FALSE)-1</f>
        <v>#REF!</v>
      </c>
      <c r="K225" s="215" t="e">
        <f>VLOOKUP("italia",#REF!,3,FALSE)</f>
        <v>#REF!</v>
      </c>
      <c r="L225" s="214" t="e">
        <f>VLOOKUP("italia",#REF!,2,FALSE)/VLOOKUP("italia",#REF!,2,FALSE)-1</f>
        <v>#REF!</v>
      </c>
      <c r="M225" s="215" t="e">
        <f>VLOOKUP("italia",#REF!,2,FALSE)</f>
        <v>#REF!</v>
      </c>
      <c r="N225" s="214" t="e">
        <f>VLOOKUP("italia",#REF!,7,FALSE)/VLOOKUP("italia",#REF!,7,FALSE)-1</f>
        <v>#REF!</v>
      </c>
      <c r="O225" s="215" t="e">
        <f>VLOOKUP("italia",#REF!,7,FALSE)</f>
        <v>#REF!</v>
      </c>
      <c r="P225" s="214" t="e">
        <f>VLOOKUP("italia",#REF!,8,FALSE)/VLOOKUP("italia",#REF!,8,FALSE)-1</f>
        <v>#REF!</v>
      </c>
      <c r="Q225" s="215" t="e">
        <f>VLOOKUP("italia",#REF!,8,FALSE)</f>
        <v>#REF!</v>
      </c>
    </row>
    <row r="226" spans="3:17" ht="24" hidden="1" customHeight="1" x14ac:dyDescent="0.2">
      <c r="C226" s="213" t="s">
        <v>48</v>
      </c>
      <c r="D226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5" t="e">
        <f>(VLOOKUP("suecia",#REF!,6,FALSE)+VLOOKUP("noruega",#REF!,6,FALSE)+VLOOKUP("dinamarca",#REF!,6,FALSE)+VLOOKUP("finlandia",#REF!,6,FALSE))</f>
        <v>#REF!</v>
      </c>
      <c r="F226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5" t="e">
        <f>(VLOOKUP("suecia",#REF!,5,FALSE)+VLOOKUP("noruega",#REF!,5,FALSE)+VLOOKUP("dinamarca",#REF!,5,FALSE)+VLOOKUP("finlandia",#REF!,5,FALSE))</f>
        <v>#REF!</v>
      </c>
      <c r="H226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5" t="e">
        <f>(VLOOKUP("suecia",#REF!,4,FALSE)+VLOOKUP("noruega",#REF!,4,FALSE)+VLOOKUP("dinamarca",#REF!,4,FALSE)+VLOOKUP("finlandia",#REF!,4,FALSE))</f>
        <v>#REF!</v>
      </c>
      <c r="J226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5" t="e">
        <f>(VLOOKUP("suecia",#REF!,3,FALSE)+VLOOKUP("noruega",#REF!,3,FALSE)+VLOOKUP("dinamarca",#REF!,3,FALSE)+VLOOKUP("finlandia",#REF!,3,FALSE))</f>
        <v>#REF!</v>
      </c>
      <c r="L226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5" t="e">
        <f>(VLOOKUP("suecia",#REF!,2,FALSE)+VLOOKUP("noruega",#REF!,2,FALSE)+VLOOKUP("dinamarca",#REF!,2,FALSE)+VLOOKUP("finlandia",#REF!,2,FALSE))</f>
        <v>#REF!</v>
      </c>
      <c r="N226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5" t="e">
        <f>(VLOOKUP("suecia",#REF!,7,FALSE)+VLOOKUP("noruega",#REF!,7,FALSE)+VLOOKUP("dinamarca",#REF!,7,FALSE)+VLOOKUP("finlandia",#REF!,7,FALSE))</f>
        <v>#REF!</v>
      </c>
      <c r="P226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5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6" t="s">
        <v>49</v>
      </c>
      <c r="D227" s="214" t="e">
        <f>VLOOKUP("suecia",#REF!,6,FALSE)/VLOOKUP("suecia",#REF!,6,FALSE)-1</f>
        <v>#REF!</v>
      </c>
      <c r="E227" s="215" t="e">
        <f>VLOOKUP("suecia",#REF!,6,FALSE)</f>
        <v>#REF!</v>
      </c>
      <c r="F227" s="214" t="e">
        <f>VLOOKUP("suecia",#REF!,5,FALSE)/VLOOKUP("suecia",#REF!,5,FALSE)-1</f>
        <v>#REF!</v>
      </c>
      <c r="G227" s="215" t="e">
        <f>VLOOKUP("suecia",#REF!,5,FALSE)</f>
        <v>#REF!</v>
      </c>
      <c r="H227" s="214" t="e">
        <f>VLOOKUP("suecia",#REF!,4,FALSE)/VLOOKUP("suecia",#REF!,4,FALSE)-1</f>
        <v>#REF!</v>
      </c>
      <c r="I227" s="215" t="e">
        <f>VLOOKUP("suecia",#REF!,4,FALSE)</f>
        <v>#REF!</v>
      </c>
      <c r="J227" s="214" t="e">
        <f>VLOOKUP("suecia",#REF!,3,FALSE)/VLOOKUP("suecia",#REF!,3,FALSE)-1</f>
        <v>#REF!</v>
      </c>
      <c r="K227" s="215" t="e">
        <f>VLOOKUP("suecia",#REF!,3,FALSE)</f>
        <v>#REF!</v>
      </c>
      <c r="L227" s="214" t="e">
        <f>VLOOKUP("suecia",#REF!,2,FALSE)/VLOOKUP("suecia",#REF!,2,FALSE)-1</f>
        <v>#REF!</v>
      </c>
      <c r="M227" s="215" t="e">
        <f>VLOOKUP("suecia",#REF!,2,FALSE)</f>
        <v>#REF!</v>
      </c>
      <c r="N227" s="214" t="e">
        <f>VLOOKUP("suecia",#REF!,7,FALSE)/VLOOKUP("suecia",#REF!,7,FALSE)-1</f>
        <v>#REF!</v>
      </c>
      <c r="O227" s="215" t="e">
        <f>VLOOKUP("suecia",#REF!,7,FALSE)</f>
        <v>#REF!</v>
      </c>
      <c r="P227" s="214" t="e">
        <f>VLOOKUP("suecia",#REF!,8,FALSE)/VLOOKUP("suecia",#REF!,8,FALSE)-1</f>
        <v>#REF!</v>
      </c>
      <c r="Q227" s="215" t="e">
        <f>VLOOKUP("suecia",#REF!,8,FALSE)</f>
        <v>#REF!</v>
      </c>
    </row>
    <row r="228" spans="3:17" ht="24" hidden="1" customHeight="1" x14ac:dyDescent="0.2">
      <c r="C228" s="216" t="s">
        <v>50</v>
      </c>
      <c r="D228" s="214" t="e">
        <f>VLOOKUP("noruega",#REF!,6,FALSE)/VLOOKUP("noruega",#REF!,6,FALSE)-1</f>
        <v>#REF!</v>
      </c>
      <c r="E228" s="215" t="e">
        <f>VLOOKUP("noruega",#REF!,6,FALSE)</f>
        <v>#REF!</v>
      </c>
      <c r="F228" s="214" t="e">
        <f>VLOOKUP("noruega",#REF!,5,FALSE)/VLOOKUP("noruega",#REF!,5,FALSE)-1</f>
        <v>#REF!</v>
      </c>
      <c r="G228" s="215" t="e">
        <f>VLOOKUP("noruega",#REF!,5,FALSE)</f>
        <v>#REF!</v>
      </c>
      <c r="H228" s="214" t="e">
        <f>VLOOKUP("noruega",#REF!,4,FALSE)/VLOOKUP("noruega",#REF!,4,FALSE)-1</f>
        <v>#REF!</v>
      </c>
      <c r="I228" s="215" t="e">
        <f>VLOOKUP("noruega",#REF!,4,FALSE)</f>
        <v>#REF!</v>
      </c>
      <c r="J228" s="214" t="e">
        <f>VLOOKUP("noruega",#REF!,3,FALSE)/VLOOKUP("noruega",#REF!,3,FALSE)-1</f>
        <v>#REF!</v>
      </c>
      <c r="K228" s="215" t="e">
        <f>VLOOKUP("noruega",#REF!,3,FALSE)</f>
        <v>#REF!</v>
      </c>
      <c r="L228" s="214" t="e">
        <f>VLOOKUP("noruega",#REF!,2,FALSE)/VLOOKUP("noruega",#REF!,2,FALSE)-1</f>
        <v>#REF!</v>
      </c>
      <c r="M228" s="215" t="e">
        <f>VLOOKUP("noruega",#REF!,2,FALSE)</f>
        <v>#REF!</v>
      </c>
      <c r="N228" s="214" t="e">
        <f>VLOOKUP("noruega",#REF!,7,FALSE)/VLOOKUP("noruega",#REF!,7,FALSE)-1</f>
        <v>#REF!</v>
      </c>
      <c r="O228" s="215" t="e">
        <f>VLOOKUP("noruega",#REF!,7,FALSE)</f>
        <v>#REF!</v>
      </c>
      <c r="P228" s="214" t="e">
        <f>VLOOKUP("noruega",#REF!,8,FALSE)/VLOOKUP("noruega",#REF!,8,FALSE)-1</f>
        <v>#REF!</v>
      </c>
      <c r="Q228" s="215" t="e">
        <f>VLOOKUP("noruega",#REF!,8,FALSE)</f>
        <v>#REF!</v>
      </c>
    </row>
    <row r="229" spans="3:17" ht="24" hidden="1" customHeight="1" x14ac:dyDescent="0.2">
      <c r="C229" s="216" t="s">
        <v>51</v>
      </c>
      <c r="D229" s="214" t="e">
        <f>VLOOKUP("dinamarca",#REF!,6,FALSE)/VLOOKUP("dinamarca",#REF!,6,FALSE)-1</f>
        <v>#REF!</v>
      </c>
      <c r="E229" s="215" t="e">
        <f>VLOOKUP("dinamarca",#REF!,6,FALSE)</f>
        <v>#REF!</v>
      </c>
      <c r="F229" s="214" t="e">
        <f>VLOOKUP("dinamarca",#REF!,5,FALSE)/VLOOKUP("dinamarca",#REF!,5,FALSE)-1</f>
        <v>#REF!</v>
      </c>
      <c r="G229" s="215" t="e">
        <f>VLOOKUP("dinamarca",#REF!,5,FALSE)</f>
        <v>#REF!</v>
      </c>
      <c r="H229" s="214" t="e">
        <f>VLOOKUP("dinamarca",#REF!,4,FALSE)/VLOOKUP("dinamarca",#REF!,4,FALSE)-1</f>
        <v>#REF!</v>
      </c>
      <c r="I229" s="215" t="e">
        <f>VLOOKUP("dinamarca",#REF!,4,FALSE)</f>
        <v>#REF!</v>
      </c>
      <c r="J229" s="214" t="e">
        <f>VLOOKUP("dinamarca",#REF!,3,FALSE)/VLOOKUP("dinamarca",#REF!,3,FALSE)-1</f>
        <v>#REF!</v>
      </c>
      <c r="K229" s="215" t="e">
        <f>VLOOKUP("dinamarca",#REF!,3,FALSE)</f>
        <v>#REF!</v>
      </c>
      <c r="L229" s="214" t="e">
        <f>VLOOKUP("dinamarca",#REF!,2,FALSE)/VLOOKUP("dinamarca",#REF!,2,FALSE)-1</f>
        <v>#REF!</v>
      </c>
      <c r="M229" s="215" t="e">
        <f>VLOOKUP("dinamarca",#REF!,2,FALSE)</f>
        <v>#REF!</v>
      </c>
      <c r="N229" s="214" t="e">
        <f>VLOOKUP("dinamarca",#REF!,7,FALSE)/VLOOKUP("dinamarca",#REF!,7,FALSE)-1</f>
        <v>#REF!</v>
      </c>
      <c r="O229" s="215" t="e">
        <f>VLOOKUP("dinamarca",#REF!,7,FALSE)</f>
        <v>#REF!</v>
      </c>
      <c r="P229" s="214" t="e">
        <f>VLOOKUP("dinamarca",#REF!,8,FALSE)/VLOOKUP("dinamarca",#REF!,8,FALSE)-1</f>
        <v>#REF!</v>
      </c>
      <c r="Q229" s="215" t="e">
        <f>VLOOKUP("dinamarca",#REF!,8,FALSE)</f>
        <v>#REF!</v>
      </c>
    </row>
    <row r="230" spans="3:17" ht="24" hidden="1" customHeight="1" x14ac:dyDescent="0.2">
      <c r="C230" s="216" t="s">
        <v>52</v>
      </c>
      <c r="D230" s="214" t="s">
        <v>38</v>
      </c>
      <c r="E230" s="215" t="e">
        <f>VLOOKUP("finlandia",#REF!,6,FALSE)</f>
        <v>#REF!</v>
      </c>
      <c r="F230" s="214" t="e">
        <f>VLOOKUP("finlandia",#REF!,5,FALSE)/VLOOKUP("finlandia",#REF!,5,FALSE)-1</f>
        <v>#REF!</v>
      </c>
      <c r="G230" s="215" t="e">
        <f>VLOOKUP("finlandia",#REF!,5,FALSE)</f>
        <v>#REF!</v>
      </c>
      <c r="H230" s="214" t="e">
        <f>VLOOKUP("finlandia",#REF!,4,FALSE)/VLOOKUP("finlandia",#REF!,4,FALSE)-1</f>
        <v>#REF!</v>
      </c>
      <c r="I230" s="215" t="e">
        <f>VLOOKUP("finlandia",#REF!,4,FALSE)</f>
        <v>#REF!</v>
      </c>
      <c r="J230" s="214" t="e">
        <f>VLOOKUP("finlandia",#REF!,3,FALSE)/VLOOKUP("finlandia",#REF!,3,FALSE)-1</f>
        <v>#REF!</v>
      </c>
      <c r="K230" s="215" t="e">
        <f>VLOOKUP("finlandia",#REF!,3,FALSE)</f>
        <v>#REF!</v>
      </c>
      <c r="L230" s="214" t="s">
        <v>38</v>
      </c>
      <c r="M230" s="215" t="e">
        <f>VLOOKUP("finlandia",#REF!,2,FALSE)</f>
        <v>#REF!</v>
      </c>
      <c r="N230" s="214" t="e">
        <f>VLOOKUP("finlandia",#REF!,7,FALSE)/VLOOKUP("finlandia",#REF!,7,FALSE)-1</f>
        <v>#REF!</v>
      </c>
      <c r="O230" s="215" t="e">
        <f>VLOOKUP("finlandia",#REF!,7,FALSE)</f>
        <v>#REF!</v>
      </c>
      <c r="P230" s="214" t="e">
        <f>VLOOKUP("finlandia",#REF!,8,FALSE)/VLOOKUP("finlandia",#REF!,8,FALSE)-1</f>
        <v>#REF!</v>
      </c>
      <c r="Q230" s="215" t="e">
        <f>VLOOKUP("finlandia",#REF!,8,FALSE)</f>
        <v>#REF!</v>
      </c>
    </row>
    <row r="231" spans="3:17" ht="24" hidden="1" customHeight="1" x14ac:dyDescent="0.2">
      <c r="C231" s="213" t="s">
        <v>53</v>
      </c>
      <c r="D231" s="214" t="e">
        <f>VLOOKUP("suiza",#REF!,6,FALSE)/VLOOKUP("suiza",#REF!,6,FALSE)-1</f>
        <v>#REF!</v>
      </c>
      <c r="E231" s="215" t="e">
        <f>VLOOKUP("suiza",#REF!,6,FALSE)</f>
        <v>#REF!</v>
      </c>
      <c r="F231" s="214" t="e">
        <f>VLOOKUP("suiza",#REF!,5,FALSE)/VLOOKUP("suiza",#REF!,5,FALSE)-1</f>
        <v>#REF!</v>
      </c>
      <c r="G231" s="215" t="e">
        <f>VLOOKUP("suiza",#REF!,5,FALSE)</f>
        <v>#REF!</v>
      </c>
      <c r="H231" s="214" t="e">
        <f>VLOOKUP("suiza",#REF!,4,FALSE)/VLOOKUP("suiza",#REF!,4,FALSE)-1</f>
        <v>#REF!</v>
      </c>
      <c r="I231" s="215" t="e">
        <f>VLOOKUP("suiza",#REF!,4,FALSE)</f>
        <v>#REF!</v>
      </c>
      <c r="J231" s="214" t="e">
        <f>VLOOKUP("suiza",#REF!,3,FALSE)/VLOOKUP("suiza",#REF!,3,FALSE)-1</f>
        <v>#REF!</v>
      </c>
      <c r="K231" s="215" t="e">
        <f>VLOOKUP("suiza",#REF!,3,FALSE)</f>
        <v>#REF!</v>
      </c>
      <c r="L231" s="214" t="e">
        <f>VLOOKUP("suiza",#REF!,2,FALSE)/VLOOKUP("suiza",#REF!,2,FALSE)-1</f>
        <v>#REF!</v>
      </c>
      <c r="M231" s="215" t="e">
        <f>VLOOKUP("suiza",#REF!,2,FALSE)</f>
        <v>#REF!</v>
      </c>
      <c r="N231" s="214" t="e">
        <f>VLOOKUP("suiza",#REF!,7,FALSE)/VLOOKUP("suiza",#REF!,7,FALSE)-1</f>
        <v>#REF!</v>
      </c>
      <c r="O231" s="215" t="e">
        <f>VLOOKUP("suiza",#REF!,7,FALSE)</f>
        <v>#REF!</v>
      </c>
      <c r="P231" s="214" t="e">
        <f>VLOOKUP("suiza",#REF!,8,FALSE)/VLOOKUP("suiza",#REF!,8,FALSE)-1</f>
        <v>#REF!</v>
      </c>
      <c r="Q231" s="215" t="e">
        <f>VLOOKUP("suiza",#REF!,8,FALSE)</f>
        <v>#REF!</v>
      </c>
    </row>
    <row r="232" spans="3:17" ht="24" hidden="1" customHeight="1" x14ac:dyDescent="0.2">
      <c r="C232" s="213" t="s">
        <v>54</v>
      </c>
      <c r="D232" s="214" t="e">
        <f>VLOOKUP("austria",#REF!,6,FALSE)/VLOOKUP("austria",#REF!,6,FALSE)-1</f>
        <v>#REF!</v>
      </c>
      <c r="E232" s="215" t="e">
        <f>VLOOKUP("austria",#REF!,6,FALSE)</f>
        <v>#REF!</v>
      </c>
      <c r="F232" s="214" t="e">
        <f>VLOOKUP("austria",#REF!,5,FALSE)/VLOOKUP("austria",#REF!,5,FALSE)-1</f>
        <v>#REF!</v>
      </c>
      <c r="G232" s="215" t="e">
        <f>VLOOKUP("austria",#REF!,5,FALSE)</f>
        <v>#REF!</v>
      </c>
      <c r="H232" s="214" t="e">
        <f>VLOOKUP("austria",#REF!,4,FALSE)/VLOOKUP("austria",#REF!,4,FALSE)-1</f>
        <v>#REF!</v>
      </c>
      <c r="I232" s="215" t="e">
        <f>VLOOKUP("austria",#REF!,4,FALSE)</f>
        <v>#REF!</v>
      </c>
      <c r="J232" s="214" t="e">
        <f>VLOOKUP("austria",#REF!,3,FALSE)/VLOOKUP("austria",#REF!,3,FALSE)-1</f>
        <v>#REF!</v>
      </c>
      <c r="K232" s="215" t="e">
        <f>VLOOKUP("austria",#REF!,3,FALSE)</f>
        <v>#REF!</v>
      </c>
      <c r="L232" s="214" t="e">
        <f>VLOOKUP("austria",#REF!,2,FALSE)/VLOOKUP("austria",#REF!,2,FALSE)-1</f>
        <v>#REF!</v>
      </c>
      <c r="M232" s="215" t="e">
        <f>VLOOKUP("austria",#REF!,2,FALSE)</f>
        <v>#REF!</v>
      </c>
      <c r="N232" s="214" t="e">
        <f>VLOOKUP("austria",#REF!,7,FALSE)/VLOOKUP("austria",#REF!,7,FALSE)-1</f>
        <v>#REF!</v>
      </c>
      <c r="O232" s="215" t="e">
        <f>VLOOKUP("austria",#REF!,7,FALSE)</f>
        <v>#REF!</v>
      </c>
      <c r="P232" s="214" t="e">
        <f>VLOOKUP("austria",#REF!,8,FALSE)/VLOOKUP("austria",#REF!,8,FALSE)-1</f>
        <v>#REF!</v>
      </c>
      <c r="Q232" s="215" t="e">
        <f>VLOOKUP("austria",#REF!,8,FALSE)</f>
        <v>#REF!</v>
      </c>
    </row>
    <row r="233" spans="3:17" ht="24" hidden="1" customHeight="1" x14ac:dyDescent="0.2">
      <c r="C233" s="213" t="s">
        <v>55</v>
      </c>
      <c r="D233" s="214" t="e">
        <f>VLOOKUP("rusia",#REF!,6,FALSE)/VLOOKUP("rusia",#REF!,6,FALSE)-1</f>
        <v>#REF!</v>
      </c>
      <c r="E233" s="215" t="e">
        <f>VLOOKUP("rusia",#REF!,6,FALSE)</f>
        <v>#REF!</v>
      </c>
      <c r="F233" s="214" t="e">
        <f>VLOOKUP("rusia",#REF!,5,FALSE)/VLOOKUP("rusia",#REF!,5,FALSE)-1</f>
        <v>#REF!</v>
      </c>
      <c r="G233" s="215" t="e">
        <f>VLOOKUP("rusia",#REF!,5,FALSE)</f>
        <v>#REF!</v>
      </c>
      <c r="H233" s="214" t="e">
        <f>VLOOKUP("rusia",#REF!,4,FALSE)/VLOOKUP("rusia",#REF!,4,FALSE)-1</f>
        <v>#REF!</v>
      </c>
      <c r="I233" s="215" t="e">
        <f>VLOOKUP("rusia",#REF!,4,FALSE)</f>
        <v>#REF!</v>
      </c>
      <c r="J233" s="214" t="e">
        <f>VLOOKUP("rusia",#REF!,3,FALSE)/VLOOKUP("rusia",#REF!,3,FALSE)-1</f>
        <v>#REF!</v>
      </c>
      <c r="K233" s="215" t="e">
        <f>VLOOKUP("rusia",#REF!,3,FALSE)</f>
        <v>#REF!</v>
      </c>
      <c r="L233" s="214" t="e">
        <f>VLOOKUP("rusia",#REF!,2,FALSE)/VLOOKUP("rusia",#REF!,2,FALSE)-1</f>
        <v>#REF!</v>
      </c>
      <c r="M233" s="215" t="e">
        <f>VLOOKUP("rusia",#REF!,2,FALSE)</f>
        <v>#REF!</v>
      </c>
      <c r="N233" s="214" t="e">
        <f>VLOOKUP("rusia",#REF!,7,FALSE)/VLOOKUP("rusia",#REF!,7,FALSE)-1</f>
        <v>#REF!</v>
      </c>
      <c r="O233" s="215" t="e">
        <f>VLOOKUP("rusia",#REF!,7,FALSE)</f>
        <v>#REF!</v>
      </c>
      <c r="P233" s="214" t="e">
        <f>VLOOKUP("rusia",#REF!,8,FALSE)/VLOOKUP("rusia",#REF!,8,FALSE)-1</f>
        <v>#REF!</v>
      </c>
      <c r="Q233" s="215" t="e">
        <f>VLOOKUP("rusia",#REF!,8,FALSE)</f>
        <v>#REF!</v>
      </c>
    </row>
    <row r="234" spans="3:17" ht="24" hidden="1" customHeight="1" x14ac:dyDescent="0.2">
      <c r="C234" s="213" t="s">
        <v>56</v>
      </c>
      <c r="D234" s="214" t="e">
        <f>VLOOKUP("paises del este",#REF!,6,FALSE)/VLOOKUP("paises del este",#REF!,6,FALSE)-1</f>
        <v>#REF!</v>
      </c>
      <c r="E234" s="215" t="e">
        <f>VLOOKUP("paises del este",#REF!,6,FALSE)</f>
        <v>#REF!</v>
      </c>
      <c r="F234" s="214" t="e">
        <f>VLOOKUP("paises del este",#REF!,5,FALSE)/VLOOKUP("paises del este",#REF!,5,FALSE)-1</f>
        <v>#REF!</v>
      </c>
      <c r="G234" s="215" t="e">
        <f>VLOOKUP("paises del este",#REF!,5,FALSE)</f>
        <v>#REF!</v>
      </c>
      <c r="H234" s="214" t="e">
        <f>VLOOKUP("paises del este",#REF!,4,FALSE)/VLOOKUP("paises del este",#REF!,4,FALSE)-1</f>
        <v>#REF!</v>
      </c>
      <c r="I234" s="215" t="e">
        <f>VLOOKUP("paises del este",#REF!,4,FALSE)</f>
        <v>#REF!</v>
      </c>
      <c r="J234" s="214" t="e">
        <f>VLOOKUP("paises del este",#REF!,3,FALSE)/VLOOKUP("paises del este",#REF!,3,FALSE)-1</f>
        <v>#REF!</v>
      </c>
      <c r="K234" s="215" t="e">
        <f>VLOOKUP("paises del este",#REF!,3,FALSE)</f>
        <v>#REF!</v>
      </c>
      <c r="L234" s="214" t="e">
        <f>VLOOKUP("paises del este",#REF!,2,FALSE)/VLOOKUP("paises del este",#REF!,2,FALSE)-1</f>
        <v>#REF!</v>
      </c>
      <c r="M234" s="215" t="e">
        <f>VLOOKUP("paises del este",#REF!,2,FALSE)</f>
        <v>#REF!</v>
      </c>
      <c r="N234" s="214" t="e">
        <f>VLOOKUP("paises del este",#REF!,7,FALSE)/VLOOKUP("paises del este",#REF!,7,FALSE)-1</f>
        <v>#REF!</v>
      </c>
      <c r="O234" s="215" t="e">
        <f>VLOOKUP("paises del este",#REF!,7,FALSE)</f>
        <v>#REF!</v>
      </c>
      <c r="P234" s="214" t="e">
        <f>VLOOKUP("paises del este",#REF!,8,FALSE)/VLOOKUP("paises del este",#REF!,8,FALSE)-1</f>
        <v>#REF!</v>
      </c>
      <c r="Q234" s="215" t="e">
        <f>VLOOKUP("paises del este",#REF!,8,FALSE)</f>
        <v>#REF!</v>
      </c>
    </row>
    <row r="235" spans="3:17" ht="24" hidden="1" customHeight="1" x14ac:dyDescent="0.2">
      <c r="C235" s="213" t="s">
        <v>57</v>
      </c>
      <c r="D235" s="214" t="e">
        <f>VLOOKUP("resto de europa",#REF!,6,FALSE)/VLOOKUP("resto de europa",#REF!,6,FALSE)-1</f>
        <v>#REF!</v>
      </c>
      <c r="E235" s="215" t="e">
        <f>VLOOKUP("resto de europa",#REF!,6,FALSE)</f>
        <v>#REF!</v>
      </c>
      <c r="F235" s="214" t="e">
        <f>VLOOKUP("resto de europa",#REF!,5,FALSE)/VLOOKUP("resto de europa",#REF!,5,FALSE)-1</f>
        <v>#REF!</v>
      </c>
      <c r="G235" s="215" t="e">
        <f>VLOOKUP("resto de europa",#REF!,5,FALSE)</f>
        <v>#REF!</v>
      </c>
      <c r="H235" s="214" t="e">
        <f>VLOOKUP("resto de europa",#REF!,4,FALSE)/VLOOKUP("resto de europa",#REF!,4,FALSE)-1</f>
        <v>#REF!</v>
      </c>
      <c r="I235" s="215" t="e">
        <f>VLOOKUP("resto de europa",#REF!,4,FALSE)</f>
        <v>#REF!</v>
      </c>
      <c r="J235" s="214" t="e">
        <f>VLOOKUP("resto de europa",#REF!,3,FALSE)/VLOOKUP("resto de europa",#REF!,3,FALSE)-1</f>
        <v>#REF!</v>
      </c>
      <c r="K235" s="215" t="e">
        <f>VLOOKUP("resto de europa",#REF!,3,FALSE)</f>
        <v>#REF!</v>
      </c>
      <c r="L235" s="214" t="e">
        <f>VLOOKUP("resto de europa",#REF!,2,FALSE)/VLOOKUP("resto de europa",#REF!,2,FALSE)-1</f>
        <v>#REF!</v>
      </c>
      <c r="M235" s="215" t="e">
        <f>VLOOKUP("resto de europa",#REF!,2,FALSE)</f>
        <v>#REF!</v>
      </c>
      <c r="N235" s="214" t="e">
        <f>VLOOKUP("resto de europa",#REF!,7,FALSE)/VLOOKUP("resto de europa",#REF!,7,FALSE)-1</f>
        <v>#REF!</v>
      </c>
      <c r="O235" s="215" t="e">
        <f>VLOOKUP("resto de europa",#REF!,7,FALSE)</f>
        <v>#REF!</v>
      </c>
      <c r="P235" s="214" t="e">
        <f>VLOOKUP("resto de europa",#REF!,8,FALSE)/VLOOKUP("resto de europa",#REF!,8,FALSE)-1</f>
        <v>#REF!</v>
      </c>
      <c r="Q235" s="215" t="e">
        <f>VLOOKUP("resto de europa",#REF!,8,FALSE)</f>
        <v>#REF!</v>
      </c>
    </row>
    <row r="236" spans="3:17" ht="24" hidden="1" customHeight="1" x14ac:dyDescent="0.2">
      <c r="C236" s="213" t="s">
        <v>58</v>
      </c>
      <c r="D236" s="214" t="e">
        <f>VLOOKUP("usa",#REF!,6,FALSE)/VLOOKUP("usa",#REF!,6,FALSE)-1</f>
        <v>#REF!</v>
      </c>
      <c r="E236" s="215" t="e">
        <f>VLOOKUP("usa",#REF!,6,FALSE)</f>
        <v>#REF!</v>
      </c>
      <c r="F236" s="214" t="e">
        <f>VLOOKUP("usa",#REF!,5,FALSE)/VLOOKUP("usa",#REF!,5,FALSE)-1</f>
        <v>#REF!</v>
      </c>
      <c r="G236" s="215" t="e">
        <f>VLOOKUP("usa",#REF!,5,FALSE)</f>
        <v>#REF!</v>
      </c>
      <c r="H236" s="214" t="e">
        <f>VLOOKUP("usa",#REF!,4,FALSE)/VLOOKUP("usa",#REF!,4,FALSE)-1</f>
        <v>#REF!</v>
      </c>
      <c r="I236" s="215" t="e">
        <f>VLOOKUP("usa",#REF!,4,FALSE)</f>
        <v>#REF!</v>
      </c>
      <c r="J236" s="214" t="e">
        <f>VLOOKUP("usa",#REF!,3,FALSE)/VLOOKUP("usa",#REF!,3,FALSE)-1</f>
        <v>#REF!</v>
      </c>
      <c r="K236" s="215" t="e">
        <f>VLOOKUP("usa",#REF!,3,FALSE)</f>
        <v>#REF!</v>
      </c>
      <c r="L236" s="214" t="e">
        <f>VLOOKUP("usa",#REF!,2,FALSE)/VLOOKUP("usa",#REF!,2,FALSE)-1</f>
        <v>#REF!</v>
      </c>
      <c r="M236" s="215" t="e">
        <f>VLOOKUP("usa",#REF!,2,FALSE)</f>
        <v>#REF!</v>
      </c>
      <c r="N236" s="214" t="e">
        <f>VLOOKUP("usa",#REF!,7,FALSE)/VLOOKUP("usa",#REF!,7,FALSE)-1</f>
        <v>#REF!</v>
      </c>
      <c r="O236" s="215" t="e">
        <f>VLOOKUP("usa",#REF!,7,FALSE)</f>
        <v>#REF!</v>
      </c>
      <c r="P236" s="214" t="e">
        <f>VLOOKUP("usa",#REF!,8,FALSE)/VLOOKUP("usa",#REF!,8,FALSE)-1</f>
        <v>#REF!</v>
      </c>
      <c r="Q236" s="215" t="e">
        <f>VLOOKUP("usa",#REF!,8,FALSE)</f>
        <v>#REF!</v>
      </c>
    </row>
    <row r="237" spans="3:17" ht="24" hidden="1" customHeight="1" x14ac:dyDescent="0.2">
      <c r="C237" s="213" t="s">
        <v>59</v>
      </c>
      <c r="D237" s="214" t="e">
        <f>VLOOKUP("resto de america",#REF!,6,FALSE)/VLOOKUP("resto de america",#REF!,6,FALSE)-1</f>
        <v>#REF!</v>
      </c>
      <c r="E237" s="215" t="e">
        <f>VLOOKUP("resto de america",#REF!,6,FALSE)</f>
        <v>#REF!</v>
      </c>
      <c r="F237" s="214" t="e">
        <f>VLOOKUP("resto de america",#REF!,5,FALSE)/VLOOKUP("resto de america",#REF!,5,FALSE)-1</f>
        <v>#REF!</v>
      </c>
      <c r="G237" s="215" t="e">
        <f>VLOOKUP("resto de america",#REF!,5,FALSE)</f>
        <v>#REF!</v>
      </c>
      <c r="H237" s="214" t="e">
        <f>VLOOKUP("resto de america",#REF!,4,FALSE)/VLOOKUP("resto de america",#REF!,4,FALSE)-1</f>
        <v>#REF!</v>
      </c>
      <c r="I237" s="215" t="e">
        <f>VLOOKUP("resto de america",#REF!,4,FALSE)</f>
        <v>#REF!</v>
      </c>
      <c r="J237" s="214" t="e">
        <f>VLOOKUP("resto de america",#REF!,3,FALSE)/VLOOKUP("resto de america",#REF!,3,FALSE)-1</f>
        <v>#REF!</v>
      </c>
      <c r="K237" s="215" t="e">
        <f>VLOOKUP("resto de america",#REF!,3,FALSE)</f>
        <v>#REF!</v>
      </c>
      <c r="L237" s="214" t="e">
        <f>VLOOKUP("resto de america",#REF!,2,FALSE)/VLOOKUP("resto de america",#REF!,2,FALSE)-1</f>
        <v>#REF!</v>
      </c>
      <c r="M237" s="215" t="e">
        <f>VLOOKUP("resto de america",#REF!,2,FALSE)</f>
        <v>#REF!</v>
      </c>
      <c r="N237" s="214" t="e">
        <f>VLOOKUP("resto de america",#REF!,7,FALSE)/VLOOKUP("resto de america",#REF!,7,FALSE)-1</f>
        <v>#REF!</v>
      </c>
      <c r="O237" s="215" t="e">
        <f>VLOOKUP("resto de america",#REF!,7,FALSE)</f>
        <v>#REF!</v>
      </c>
      <c r="P237" s="214" t="e">
        <f>VLOOKUP("resto de america",#REF!,8,FALSE)/VLOOKUP("resto de america",#REF!,8,FALSE)-1</f>
        <v>#REF!</v>
      </c>
      <c r="Q237" s="215" t="e">
        <f>VLOOKUP("resto de america",#REF!,8,FALSE)</f>
        <v>#REF!</v>
      </c>
    </row>
    <row r="238" spans="3:17" ht="24" hidden="1" customHeight="1" x14ac:dyDescent="0.2">
      <c r="C238" s="213" t="s">
        <v>60</v>
      </c>
      <c r="D238" s="214" t="e">
        <f>VLOOKUP("resto del mundo",#REF!,6,FALSE)/VLOOKUP("resto del mundo",#REF!,6,FALSE)-1</f>
        <v>#REF!</v>
      </c>
      <c r="E238" s="215" t="e">
        <f>VLOOKUP("resto del mundo",#REF!,6,FALSE)</f>
        <v>#REF!</v>
      </c>
      <c r="F238" s="214" t="e">
        <f>VLOOKUP("resto del mundo",#REF!,5,FALSE)/VLOOKUP("resto del mundo",#REF!,5,FALSE)-1</f>
        <v>#REF!</v>
      </c>
      <c r="G238" s="215" t="e">
        <f>VLOOKUP("resto del mundo",#REF!,5,FALSE)</f>
        <v>#REF!</v>
      </c>
      <c r="H238" s="214" t="e">
        <f>VLOOKUP("resto del mundo",#REF!,4,FALSE)/VLOOKUP("resto del mundo",#REF!,4,FALSE)-1</f>
        <v>#REF!</v>
      </c>
      <c r="I238" s="215" t="e">
        <f>VLOOKUP("resto del mundo",#REF!,4,FALSE)</f>
        <v>#REF!</v>
      </c>
      <c r="J238" s="214" t="e">
        <f>VLOOKUP("resto del mundo",#REF!,3,FALSE)/VLOOKUP("resto del mundo",#REF!,3,FALSE)-1</f>
        <v>#REF!</v>
      </c>
      <c r="K238" s="215" t="e">
        <f>VLOOKUP("resto del mundo",#REF!,3,FALSE)</f>
        <v>#REF!</v>
      </c>
      <c r="L238" s="214" t="e">
        <f>VLOOKUP("resto del mundo",#REF!,2,FALSE)/VLOOKUP("resto del mundo",#REF!,2,FALSE)-1</f>
        <v>#REF!</v>
      </c>
      <c r="M238" s="215" t="e">
        <f>VLOOKUP("resto del mundo",#REF!,2,FALSE)</f>
        <v>#REF!</v>
      </c>
      <c r="N238" s="214" t="e">
        <f>VLOOKUP("resto del mundo",#REF!,7,FALSE)/VLOOKUP("resto del mundo",#REF!,7,FALSE)-1</f>
        <v>#REF!</v>
      </c>
      <c r="O238" s="215" t="e">
        <f>VLOOKUP("resto del mundo",#REF!,7,FALSE)</f>
        <v>#REF!</v>
      </c>
      <c r="P238" s="214" t="e">
        <f>VLOOKUP("resto del mundo",#REF!,8,FALSE)/VLOOKUP("resto del mundo",#REF!,8,FALSE)-1</f>
        <v>#REF!</v>
      </c>
      <c r="Q238" s="215" t="e">
        <f>VLOOKUP("resto del mundo",#REF!,8,FALSE)</f>
        <v>#REF!</v>
      </c>
    </row>
    <row r="239" spans="3:17" ht="24" hidden="1" customHeight="1" x14ac:dyDescent="0.2">
      <c r="C239" s="213" t="s">
        <v>61</v>
      </c>
      <c r="D239" s="214" t="e">
        <f>(VLOOKUP("total",#REF!,6,FALSE)-VLOOKUP("españa",#REF!,6,FALSE))/(VLOOKUP("total",#REF!,6,FALSE)-VLOOKUP("españa",#REF!,6,FALSE))-1</f>
        <v>#REF!</v>
      </c>
      <c r="E239" s="215" t="e">
        <f>VLOOKUP("total",#REF!,6,FALSE)-VLOOKUP("españa",#REF!,6,FALSE)</f>
        <v>#REF!</v>
      </c>
      <c r="F239" s="214" t="e">
        <f>(VLOOKUP("total",#REF!,5,FALSE)-VLOOKUP("españa",#REF!,5,FALSE))/(VLOOKUP("total",#REF!,5,FALSE)-VLOOKUP("españa",#REF!,5,FALSE))-1</f>
        <v>#REF!</v>
      </c>
      <c r="G239" s="215" t="e">
        <f>VLOOKUP("total",#REF!,5,FALSE)-VLOOKUP("españa",#REF!,5,FALSE)</f>
        <v>#REF!</v>
      </c>
      <c r="H239" s="214" t="e">
        <f>(VLOOKUP("total",#REF!,4,FALSE)-VLOOKUP("españa",#REF!,4,FALSE))/(VLOOKUP("total",#REF!,4,FALSE)-VLOOKUP("españa",#REF!,4,FALSE))-1</f>
        <v>#REF!</v>
      </c>
      <c r="I239" s="215" t="e">
        <f>VLOOKUP("total",#REF!,4,FALSE)-VLOOKUP("españa",#REF!,4,FALSE)</f>
        <v>#REF!</v>
      </c>
      <c r="J239" s="214" t="e">
        <f>(VLOOKUP("total",#REF!,3,FALSE)-VLOOKUP("españa",#REF!,3,FALSE))/(VLOOKUP("total",#REF!,3,FALSE)-VLOOKUP("españa",#REF!,3,FALSE))-1</f>
        <v>#REF!</v>
      </c>
      <c r="K239" s="215" t="e">
        <f>VLOOKUP("total",#REF!,3,FALSE)-VLOOKUP("españa",#REF!,3,FALSE)</f>
        <v>#REF!</v>
      </c>
      <c r="L239" s="214" t="e">
        <f>(VLOOKUP("total",#REF!,2,FALSE)-VLOOKUP("españa",#REF!,2,FALSE))/(VLOOKUP("total",#REF!,2,FALSE)-VLOOKUP("españa",#REF!,2,FALSE))-1</f>
        <v>#REF!</v>
      </c>
      <c r="M239" s="215" t="e">
        <f>VLOOKUP("total",#REF!,2,FALSE)-VLOOKUP("españa",#REF!,2,FALSE)</f>
        <v>#REF!</v>
      </c>
      <c r="N239" s="214" t="e">
        <f>(VLOOKUP("total",#REF!,7,FALSE)-VLOOKUP("españa",#REF!,7,FALSE))/(VLOOKUP("total",#REF!,7,FALSE)-VLOOKUP("españa",#REF!,7,FALSE))-1</f>
        <v>#REF!</v>
      </c>
      <c r="O239" s="215" t="e">
        <f>VLOOKUP("total",#REF!,7,FALSE)-VLOOKUP("españa",#REF!,7,FALSE)</f>
        <v>#REF!</v>
      </c>
      <c r="P239" s="214" t="e">
        <f>(VLOOKUP("total",#REF!,8,FALSE)-VLOOKUP("españa",#REF!,8,FALSE))/(VLOOKUP("total",#REF!,8,FALSE)-VLOOKUP("españa",#REF!,8,FALSE))-1</f>
        <v>#REF!</v>
      </c>
      <c r="Q239" s="215" t="e">
        <f>VLOOKUP("total",#REF!,8,FALSE)-VLOOKUP("españa",#REF!,8,FALSE)</f>
        <v>#REF!</v>
      </c>
    </row>
    <row r="240" spans="3:17" ht="24" hidden="1" customHeight="1" x14ac:dyDescent="0.2">
      <c r="C240" s="213" t="s">
        <v>8</v>
      </c>
      <c r="D240" s="214" t="e">
        <f>VLOOKUP("total",#REF!,6,FALSE)/VLOOKUP("total",#REF!,6,FALSE)-1</f>
        <v>#REF!</v>
      </c>
      <c r="E240" s="215" t="e">
        <f>VLOOKUP("total",#REF!,6,FALSE)</f>
        <v>#REF!</v>
      </c>
      <c r="F240" s="214" t="e">
        <f>VLOOKUP("total",#REF!,5,FALSE)/VLOOKUP("total",#REF!,5,FALSE)-1</f>
        <v>#REF!</v>
      </c>
      <c r="G240" s="215" t="e">
        <f>VLOOKUP("total",#REF!,5,FALSE)</f>
        <v>#REF!</v>
      </c>
      <c r="H240" s="214" t="e">
        <f>VLOOKUP("total",#REF!,4,FALSE)/VLOOKUP("total",#REF!,4,FALSE)-1</f>
        <v>#REF!</v>
      </c>
      <c r="I240" s="215" t="e">
        <f>VLOOKUP("total",#REF!,4,FALSE)</f>
        <v>#REF!</v>
      </c>
      <c r="J240" s="214" t="e">
        <f>VLOOKUP("total",#REF!,3,FALSE)/VLOOKUP("total",#REF!,3,FALSE)-1</f>
        <v>#REF!</v>
      </c>
      <c r="K240" s="215" t="e">
        <f>VLOOKUP("total",#REF!,3,FALSE)</f>
        <v>#REF!</v>
      </c>
      <c r="L240" s="214" t="e">
        <f>VLOOKUP("total",#REF!,2,FALSE)/VLOOKUP("total",#REF!,2,FALSE)-1</f>
        <v>#REF!</v>
      </c>
      <c r="M240" s="215" t="e">
        <f>VLOOKUP("total",#REF!,2,FALSE)</f>
        <v>#REF!</v>
      </c>
      <c r="N240" s="214" t="e">
        <f>VLOOKUP("total",#REF!,7,FALSE)/VLOOKUP("total",#REF!,7,FALSE)-1</f>
        <v>#REF!</v>
      </c>
      <c r="O240" s="215" t="e">
        <f>VLOOKUP("total",#REF!,7,FALSE)</f>
        <v>#REF!</v>
      </c>
      <c r="P240" s="214" t="e">
        <f>VLOOKUP("total",#REF!,8,FALSE)/VLOOKUP("total",#REF!,8,FALSE)-1</f>
        <v>#REF!</v>
      </c>
      <c r="Q240" s="215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" t="str">
        <f>$E$1</f>
        <v>INDICADORES TURÍSTICOS DE TENERIFE definitivo</v>
      </c>
      <c r="F242" s="2"/>
      <c r="G242" s="2"/>
      <c r="H242" s="2"/>
      <c r="I242" s="2"/>
      <c r="J242" s="2"/>
      <c r="K242" s="2"/>
      <c r="L242" s="1"/>
      <c r="M242" s="1"/>
    </row>
    <row r="243" spans="3:13" ht="5.25" customHeight="1" thickBot="1" x14ac:dyDescent="0.25"/>
    <row r="244" spans="3:13" ht="28.5" customHeight="1" thickBot="1" x14ac:dyDescent="0.25">
      <c r="C244" s="220" t="s">
        <v>67</v>
      </c>
      <c r="D244" s="221"/>
      <c r="E244" s="221"/>
      <c r="F244" s="221"/>
      <c r="G244" s="221"/>
      <c r="H244" s="221"/>
      <c r="I244" s="221"/>
      <c r="J244" s="221"/>
      <c r="K244" s="221"/>
      <c r="L244" s="221"/>
      <c r="M244" s="222"/>
    </row>
    <row r="245" spans="3:13" ht="5.25" customHeight="1" thickBot="1" x14ac:dyDescent="0.25">
      <c r="C245" s="223"/>
      <c r="D245" s="224"/>
      <c r="E245" s="224"/>
      <c r="F245" s="224"/>
      <c r="G245" s="225"/>
      <c r="H245" s="225"/>
      <c r="I245" s="225"/>
      <c r="J245" s="224"/>
      <c r="K245" s="224"/>
      <c r="L245" s="224"/>
      <c r="M245" s="226"/>
    </row>
    <row r="246" spans="3:13" ht="32.25" customHeight="1" thickTop="1" thickBot="1" x14ac:dyDescent="0.25">
      <c r="C246" s="173"/>
      <c r="D246" s="174" t="s">
        <v>7</v>
      </c>
      <c r="E246" s="175"/>
      <c r="F246" s="174" t="s">
        <v>30</v>
      </c>
      <c r="G246" s="175"/>
      <c r="H246" s="174" t="s">
        <v>31</v>
      </c>
      <c r="I246" s="175"/>
      <c r="J246" s="174" t="s">
        <v>32</v>
      </c>
      <c r="K246" s="175"/>
      <c r="L246" s="174" t="s">
        <v>33</v>
      </c>
      <c r="M246" s="227"/>
    </row>
    <row r="247" spans="3:13" ht="31.5" customHeight="1" thickBot="1" x14ac:dyDescent="0.25">
      <c r="C247" s="176"/>
      <c r="D247" s="228" t="s">
        <v>68</v>
      </c>
      <c r="E247" s="229" t="s">
        <v>69</v>
      </c>
      <c r="F247" s="228" t="s">
        <v>68</v>
      </c>
      <c r="G247" s="229" t="s">
        <v>69</v>
      </c>
      <c r="H247" s="228" t="s">
        <v>68</v>
      </c>
      <c r="I247" s="229" t="s">
        <v>69</v>
      </c>
      <c r="J247" s="228" t="s">
        <v>68</v>
      </c>
      <c r="K247" s="229" t="s">
        <v>69</v>
      </c>
      <c r="L247" s="228" t="s">
        <v>68</v>
      </c>
      <c r="M247" s="230" t="s">
        <v>69</v>
      </c>
    </row>
    <row r="248" spans="3:13" ht="18.75" thickBot="1" x14ac:dyDescent="0.25">
      <c r="C248" s="179" t="s">
        <v>36</v>
      </c>
      <c r="D248" s="231">
        <v>0.34737056020954232</v>
      </c>
      <c r="E248" s="232">
        <v>0.25051262694499543</v>
      </c>
      <c r="F248" s="231">
        <v>0.73816014708679389</v>
      </c>
      <c r="G248" s="232">
        <v>0.7061056479912472</v>
      </c>
      <c r="H248" s="231">
        <v>0.71520223152022311</v>
      </c>
      <c r="I248" s="232">
        <v>0.58926682046034029</v>
      </c>
      <c r="J248" s="231">
        <v>0.60648404078890294</v>
      </c>
      <c r="K248" s="232">
        <v>0.51120380624573125</v>
      </c>
      <c r="L248" s="231">
        <v>0.25714200369019802</v>
      </c>
      <c r="M248" s="233">
        <v>0.15803544341192421</v>
      </c>
    </row>
    <row r="249" spans="3:13" ht="26.25" thickBot="1" x14ac:dyDescent="0.25">
      <c r="C249" s="234" t="s">
        <v>70</v>
      </c>
      <c r="D249" s="235">
        <v>0.1173220148188749</v>
      </c>
      <c r="E249" s="236">
        <v>7.4011658566161945E-2</v>
      </c>
      <c r="F249" s="235"/>
      <c r="G249" s="236"/>
      <c r="H249" s="235"/>
      <c r="I249" s="236"/>
      <c r="J249" s="235"/>
      <c r="K249" s="236"/>
      <c r="L249" s="235"/>
      <c r="M249" s="237"/>
    </row>
    <row r="250" spans="3:13" ht="26.25" thickBot="1" x14ac:dyDescent="0.25">
      <c r="C250" s="234" t="s">
        <v>39</v>
      </c>
      <c r="D250" s="235">
        <v>4.0059117007209155E-2</v>
      </c>
      <c r="E250" s="236">
        <v>3.1860816698102042E-2</v>
      </c>
      <c r="F250" s="235"/>
      <c r="G250" s="236"/>
      <c r="H250" s="235"/>
      <c r="I250" s="236"/>
      <c r="J250" s="235"/>
      <c r="K250" s="236"/>
      <c r="L250" s="235"/>
      <c r="M250" s="237"/>
    </row>
    <row r="251" spans="3:13" ht="18.75" thickBot="1" x14ac:dyDescent="0.25">
      <c r="C251" s="234" t="s">
        <v>40</v>
      </c>
      <c r="D251" s="235">
        <v>0.18998942838345825</v>
      </c>
      <c r="E251" s="236">
        <v>0.14464015168073149</v>
      </c>
      <c r="F251" s="235"/>
      <c r="G251" s="236"/>
      <c r="H251" s="235"/>
      <c r="I251" s="236"/>
      <c r="J251" s="235"/>
      <c r="K251" s="236"/>
      <c r="L251" s="235"/>
      <c r="M251" s="237"/>
    </row>
    <row r="252" spans="3:13" ht="18.75" thickBot="1" x14ac:dyDescent="0.25">
      <c r="C252" s="238" t="s">
        <v>41</v>
      </c>
      <c r="D252" s="239">
        <v>3.015644458957395E-2</v>
      </c>
      <c r="E252" s="240">
        <v>2.8348433643256239E-2</v>
      </c>
      <c r="F252" s="239">
        <v>6.847143853420402E-3</v>
      </c>
      <c r="G252" s="240">
        <v>6.918222210361989E-3</v>
      </c>
      <c r="H252" s="239">
        <v>1.1157601115760111E-2</v>
      </c>
      <c r="I252" s="240">
        <v>1.4778068790869512E-2</v>
      </c>
      <c r="J252" s="239">
        <v>1.933135455558296E-2</v>
      </c>
      <c r="K252" s="240">
        <v>1.3346041398967662E-2</v>
      </c>
      <c r="L252" s="239">
        <v>3.4238879429788587E-2</v>
      </c>
      <c r="M252" s="241">
        <v>3.3333131717584723E-2</v>
      </c>
    </row>
    <row r="253" spans="3:13" ht="24" customHeight="1" thickBot="1" x14ac:dyDescent="0.25">
      <c r="C253" s="242" t="s">
        <v>42</v>
      </c>
      <c r="D253" s="235">
        <v>2.1298140972085922E-2</v>
      </c>
      <c r="E253" s="236">
        <v>2.6277083921532513E-2</v>
      </c>
      <c r="F253" s="235">
        <v>4.8183604894439869E-3</v>
      </c>
      <c r="G253" s="236">
        <v>5.8374584706525944E-3</v>
      </c>
      <c r="H253" s="235">
        <v>5.0209205020920501E-3</v>
      </c>
      <c r="I253" s="236">
        <v>1.1742667337345846E-2</v>
      </c>
      <c r="J253" s="235">
        <v>7.6542978882642608E-3</v>
      </c>
      <c r="K253" s="236">
        <v>8.4158778790907295E-3</v>
      </c>
      <c r="L253" s="235">
        <v>2.5849768041414777E-2</v>
      </c>
      <c r="M253" s="237">
        <v>3.1939754667590282E-2</v>
      </c>
    </row>
    <row r="254" spans="3:13" ht="24" customHeight="1" thickBot="1" x14ac:dyDescent="0.25">
      <c r="C254" s="238" t="s">
        <v>43</v>
      </c>
      <c r="D254" s="239">
        <v>7.0974118121136437E-2</v>
      </c>
      <c r="E254" s="240">
        <v>9.125135260566683E-2</v>
      </c>
      <c r="F254" s="239">
        <v>2.3457807645977304E-2</v>
      </c>
      <c r="G254" s="240">
        <v>3.8673996290712102E-2</v>
      </c>
      <c r="H254" s="239">
        <v>5.8856345885634591E-2</v>
      </c>
      <c r="I254" s="240">
        <v>0.12713995802473418</v>
      </c>
      <c r="J254" s="239">
        <v>0.12409317831962648</v>
      </c>
      <c r="K254" s="240">
        <v>0.17453139007973412</v>
      </c>
      <c r="L254" s="239">
        <v>5.8544554660196181E-2</v>
      </c>
      <c r="M254" s="241">
        <v>7.2489987390526631E-2</v>
      </c>
    </row>
    <row r="255" spans="3:13" ht="24" customHeight="1" thickBot="1" x14ac:dyDescent="0.25">
      <c r="C255" s="242" t="s">
        <v>44</v>
      </c>
      <c r="D255" s="235">
        <v>3.867604836286391E-2</v>
      </c>
      <c r="E255" s="236">
        <v>3.538477011459433E-2</v>
      </c>
      <c r="F255" s="235">
        <v>3.7659291193812214E-2</v>
      </c>
      <c r="G255" s="236">
        <v>2.7686231603666591E-2</v>
      </c>
      <c r="H255" s="235">
        <v>6.6806136680613665E-2</v>
      </c>
      <c r="I255" s="236">
        <v>7.5954416942743658E-2</v>
      </c>
      <c r="J255" s="235">
        <v>4.5381481701975659E-2</v>
      </c>
      <c r="K255" s="236">
        <v>4.053332715937432E-2</v>
      </c>
      <c r="L255" s="235">
        <v>3.6437833031178264E-2</v>
      </c>
      <c r="M255" s="237">
        <v>3.3733285921798348E-2</v>
      </c>
    </row>
    <row r="256" spans="3:13" ht="24" customHeight="1" thickBot="1" x14ac:dyDescent="0.25">
      <c r="C256" s="238" t="s">
        <v>45</v>
      </c>
      <c r="D256" s="239">
        <v>0.33394415100107516</v>
      </c>
      <c r="E256" s="240">
        <v>0.35599466349352143</v>
      </c>
      <c r="F256" s="239">
        <v>3.1319343181385913E-2</v>
      </c>
      <c r="G256" s="240">
        <v>4.1335877353329685E-2</v>
      </c>
      <c r="H256" s="239">
        <v>1.7991631799163181E-2</v>
      </c>
      <c r="I256" s="240">
        <v>3.8436854977191126E-2</v>
      </c>
      <c r="J256" s="239">
        <v>7.2077971781155117E-2</v>
      </c>
      <c r="K256" s="240">
        <v>8.2563839379311318E-2</v>
      </c>
      <c r="L256" s="239">
        <v>0.42086639231446188</v>
      </c>
      <c r="M256" s="241">
        <v>0.44451083615674969</v>
      </c>
    </row>
    <row r="257" spans="3:13" ht="24" customHeight="1" thickBot="1" x14ac:dyDescent="0.25">
      <c r="C257" s="242" t="s">
        <v>46</v>
      </c>
      <c r="D257" s="235">
        <v>2.3344235415497863E-2</v>
      </c>
      <c r="E257" s="236">
        <v>2.3075180034389204E-2</v>
      </c>
      <c r="F257" s="235">
        <v>2.3457807645977302E-3</v>
      </c>
      <c r="G257" s="236">
        <v>4.1762845744325993E-3</v>
      </c>
      <c r="H257" s="235">
        <v>2.2315202231520223E-3</v>
      </c>
      <c r="I257" s="236">
        <v>3.4516850814354846E-3</v>
      </c>
      <c r="J257" s="235">
        <v>6.2510099420824789E-3</v>
      </c>
      <c r="K257" s="236">
        <v>6.5714076240676357E-3</v>
      </c>
      <c r="L257" s="235">
        <v>2.9071223578664866E-2</v>
      </c>
      <c r="M257" s="237">
        <v>2.8421772081460826E-2</v>
      </c>
    </row>
    <row r="258" spans="3:13" ht="24" customHeight="1" thickBot="1" x14ac:dyDescent="0.25">
      <c r="C258" s="238" t="s">
        <v>47</v>
      </c>
      <c r="D258" s="239">
        <v>2.8565423782981984E-2</v>
      </c>
      <c r="E258" s="240">
        <v>2.4798033102335144E-2</v>
      </c>
      <c r="F258" s="239">
        <v>4.7105813732327396E-2</v>
      </c>
      <c r="G258" s="240">
        <v>2.9694317317571082E-2</v>
      </c>
      <c r="H258" s="239">
        <v>3.2914923291492329E-2</v>
      </c>
      <c r="I258" s="240">
        <v>2.327719286073578E-2</v>
      </c>
      <c r="J258" s="239">
        <v>2.0641089972019289E-2</v>
      </c>
      <c r="K258" s="240">
        <v>1.5301128419633703E-2</v>
      </c>
      <c r="L258" s="239">
        <v>2.9962753356448771E-2</v>
      </c>
      <c r="M258" s="241">
        <v>2.6942761395083357E-2</v>
      </c>
    </row>
    <row r="259" spans="3:13" ht="24" customHeight="1" thickBot="1" x14ac:dyDescent="0.25">
      <c r="C259" s="242" t="s">
        <v>48</v>
      </c>
      <c r="D259" s="235">
        <v>8.7523513585337602E-3</v>
      </c>
      <c r="E259" s="236">
        <v>6.0309066608179987E-2</v>
      </c>
      <c r="F259" s="235">
        <v>7.3543396944145065E-3</v>
      </c>
      <c r="G259" s="236">
        <v>2.9814402177538793E-2</v>
      </c>
      <c r="H259" s="235">
        <v>4.1841004184100415E-3</v>
      </c>
      <c r="I259" s="236">
        <v>1.5749397255997086E-2</v>
      </c>
      <c r="J259" s="235">
        <v>8.0795366598344978E-3</v>
      </c>
      <c r="K259" s="236">
        <v>4.9839284129452488E-2</v>
      </c>
      <c r="L259" s="235">
        <v>9.0600564788709745E-3</v>
      </c>
      <c r="M259" s="237">
        <v>6.5173245759941212E-2</v>
      </c>
    </row>
    <row r="260" spans="3:13" ht="24" customHeight="1" thickBot="1" x14ac:dyDescent="0.25">
      <c r="C260" s="243" t="s">
        <v>49</v>
      </c>
      <c r="D260" s="239">
        <v>2.7842864115359429E-3</v>
      </c>
      <c r="E260" s="240">
        <v>1.7791263106491418E-2</v>
      </c>
      <c r="F260" s="239">
        <v>2.2189818043492045E-3</v>
      </c>
      <c r="G260" s="240">
        <v>1.0774280491547361E-2</v>
      </c>
      <c r="H260" s="239">
        <v>1.3947001394700139E-3</v>
      </c>
      <c r="I260" s="240">
        <v>5.775935337276464E-3</v>
      </c>
      <c r="J260" s="239">
        <v>2.7725567906379434E-3</v>
      </c>
      <c r="K260" s="240">
        <v>1.2364639164251748E-2</v>
      </c>
      <c r="L260" s="239">
        <v>2.8308368201798223E-3</v>
      </c>
      <c r="M260" s="241">
        <v>1.9689687895637745E-2</v>
      </c>
    </row>
    <row r="261" spans="3:13" ht="24" customHeight="1" thickBot="1" x14ac:dyDescent="0.25">
      <c r="C261" s="234" t="s">
        <v>50</v>
      </c>
      <c r="D261" s="235">
        <v>2.3570035311629911E-3</v>
      </c>
      <c r="E261" s="236">
        <v>1.1657915878530255E-2</v>
      </c>
      <c r="F261" s="235">
        <v>2.2823812844734673E-3</v>
      </c>
      <c r="G261" s="236">
        <v>6.524610724912271E-3</v>
      </c>
      <c r="H261" s="235">
        <v>9.7629009762900979E-4</v>
      </c>
      <c r="I261" s="236">
        <v>3.2088529651535915E-3</v>
      </c>
      <c r="J261" s="235">
        <v>1.4543165987702094E-3</v>
      </c>
      <c r="K261" s="236">
        <v>6.0800633859791967E-3</v>
      </c>
      <c r="L261" s="235">
        <v>2.6263364330077412E-3</v>
      </c>
      <c r="M261" s="237">
        <v>1.3438432439676833E-2</v>
      </c>
    </row>
    <row r="262" spans="3:13" ht="24" customHeight="1" thickBot="1" x14ac:dyDescent="0.25">
      <c r="C262" s="243" t="s">
        <v>51</v>
      </c>
      <c r="D262" s="239">
        <v>2.9579786393298261E-3</v>
      </c>
      <c r="E262" s="240">
        <v>1.5582259630007065E-2</v>
      </c>
      <c r="F262" s="239">
        <v>2.2823812844734673E-3</v>
      </c>
      <c r="G262" s="240">
        <v>6.524610724912271E-3</v>
      </c>
      <c r="H262" s="239">
        <v>1.3947001394700139E-3</v>
      </c>
      <c r="I262" s="240">
        <v>3.9026590116732866E-3</v>
      </c>
      <c r="J262" s="239">
        <v>3.6230343337784166E-3</v>
      </c>
      <c r="K262" s="240">
        <v>1.0884175242681607E-2</v>
      </c>
      <c r="L262" s="239">
        <v>2.8285390630205854E-3</v>
      </c>
      <c r="M262" s="241">
        <v>1.7391586702146793E-2</v>
      </c>
    </row>
    <row r="263" spans="3:13" ht="24" customHeight="1" thickBot="1" x14ac:dyDescent="0.25">
      <c r="C263" s="234" t="s">
        <v>52</v>
      </c>
      <c r="D263" s="235">
        <v>6.5308277650499976E-4</v>
      </c>
      <c r="E263" s="236">
        <v>1.527762799315124E-2</v>
      </c>
      <c r="F263" s="235">
        <v>5.7059532111836684E-4</v>
      </c>
      <c r="G263" s="236">
        <v>5.9909002361668911E-3</v>
      </c>
      <c r="H263" s="235">
        <v>4.1841004184100416E-4</v>
      </c>
      <c r="I263" s="236">
        <v>2.8619499418937435E-3</v>
      </c>
      <c r="J263" s="235">
        <v>2.2962893664792782E-4</v>
      </c>
      <c r="K263" s="236">
        <v>2.0510406336539933E-2</v>
      </c>
      <c r="L263" s="235">
        <v>7.7434416266282478E-4</v>
      </c>
      <c r="M263" s="237">
        <v>1.4653538722479847E-2</v>
      </c>
    </row>
    <row r="264" spans="3:13" ht="24" customHeight="1" thickBot="1" x14ac:dyDescent="0.25">
      <c r="C264" s="238" t="s">
        <v>53</v>
      </c>
      <c r="D264" s="239">
        <v>4.1842457675546393E-3</v>
      </c>
      <c r="E264" s="240">
        <v>7.4837111743101259E-3</v>
      </c>
      <c r="F264" s="239">
        <v>2.1555823242249412E-3</v>
      </c>
      <c r="G264" s="240">
        <v>5.5439177018426359E-3</v>
      </c>
      <c r="H264" s="239">
        <v>1.6596931659693167E-2</v>
      </c>
      <c r="I264" s="240">
        <v>1.3858775779230916E-2</v>
      </c>
      <c r="J264" s="239">
        <v>2.6449851591668723E-3</v>
      </c>
      <c r="K264" s="240">
        <v>6.4569321340417953E-3</v>
      </c>
      <c r="L264" s="239">
        <v>4.4691376747157101E-3</v>
      </c>
      <c r="M264" s="241">
        <v>7.7133940875863376E-3</v>
      </c>
    </row>
    <row r="265" spans="3:13" ht="24" customHeight="1" thickBot="1" x14ac:dyDescent="0.25">
      <c r="C265" s="242" t="s">
        <v>54</v>
      </c>
      <c r="D265" s="235">
        <v>4.2658811146177641E-3</v>
      </c>
      <c r="E265" s="236">
        <v>5.3917618590042645E-3</v>
      </c>
      <c r="F265" s="235">
        <v>1.5215875229823116E-3</v>
      </c>
      <c r="G265" s="236">
        <v>3.3423619357679426E-3</v>
      </c>
      <c r="H265" s="235">
        <v>2.7894002789400278E-3</v>
      </c>
      <c r="I265" s="236">
        <v>7.4757601512497182E-3</v>
      </c>
      <c r="J265" s="235">
        <v>4.2438829402709618E-3</v>
      </c>
      <c r="K265" s="236">
        <v>6.7540539115245948E-3</v>
      </c>
      <c r="L265" s="235">
        <v>4.3956094456201302E-3</v>
      </c>
      <c r="M265" s="237">
        <v>5.1141426338041484E-3</v>
      </c>
    </row>
    <row r="266" spans="3:13" ht="24" customHeight="1" thickBot="1" x14ac:dyDescent="0.25">
      <c r="C266" s="238" t="s">
        <v>55</v>
      </c>
      <c r="D266" s="239">
        <v>1.5283179123583757E-2</v>
      </c>
      <c r="E266" s="240">
        <v>1.5947478306810346E-2</v>
      </c>
      <c r="F266" s="239">
        <v>9.1295251378938694E-3</v>
      </c>
      <c r="G266" s="240">
        <v>1.0994436068154829E-2</v>
      </c>
      <c r="H266" s="239">
        <v>2.7894002789400278E-3</v>
      </c>
      <c r="I266" s="240">
        <v>1.032036494198047E-2</v>
      </c>
      <c r="J266" s="239">
        <v>8.2666417193254012E-3</v>
      </c>
      <c r="K266" s="240">
        <v>1.0018534739452498E-2</v>
      </c>
      <c r="L266" s="239">
        <v>1.7607713111232125E-2</v>
      </c>
      <c r="M266" s="241">
        <v>1.7754495049643635E-2</v>
      </c>
    </row>
    <row r="267" spans="3:13" ht="24" customHeight="1" thickBot="1" x14ac:dyDescent="0.25">
      <c r="C267" s="242" t="s">
        <v>56</v>
      </c>
      <c r="D267" s="235">
        <v>2.428391036786277E-2</v>
      </c>
      <c r="E267" s="236">
        <v>2.6961475124779009E-2</v>
      </c>
      <c r="F267" s="235">
        <v>1.4201483547834909E-2</v>
      </c>
      <c r="G267" s="236">
        <v>1.0994436068154829E-2</v>
      </c>
      <c r="H267" s="235">
        <v>1.7573221757322177E-2</v>
      </c>
      <c r="I267" s="236">
        <v>1.170797703501986E-2</v>
      </c>
      <c r="J267" s="235">
        <v>1.7604885143007797E-2</v>
      </c>
      <c r="K267" s="236">
        <v>1.9687211801522653E-2</v>
      </c>
      <c r="L267" s="235">
        <v>2.656437051793744E-2</v>
      </c>
      <c r="M267" s="237">
        <v>2.980368886785011E-2</v>
      </c>
    </row>
    <row r="268" spans="3:13" ht="24" customHeight="1" thickBot="1" x14ac:dyDescent="0.25">
      <c r="C268" s="238" t="s">
        <v>57</v>
      </c>
      <c r="D268" s="239">
        <v>2.9315774207051556E-2</v>
      </c>
      <c r="E268" s="240">
        <v>2.6663629236397302E-2</v>
      </c>
      <c r="F268" s="239">
        <v>1.7942052875166422E-2</v>
      </c>
      <c r="G268" s="240">
        <v>2.3016264827144514E-2</v>
      </c>
      <c r="H268" s="239">
        <v>8.9260808926080893E-3</v>
      </c>
      <c r="I268" s="240">
        <v>1.1361074011760012E-2</v>
      </c>
      <c r="J268" s="239">
        <v>4.1061055782822056E-2</v>
      </c>
      <c r="K268" s="240">
        <v>3.3958060810923792E-2</v>
      </c>
      <c r="L268" s="239">
        <v>2.6890652034549076E-2</v>
      </c>
      <c r="M268" s="241">
        <v>2.5313175578560266E-2</v>
      </c>
    </row>
    <row r="269" spans="3:13" ht="24" customHeight="1" thickBot="1" x14ac:dyDescent="0.25">
      <c r="C269" s="242" t="s">
        <v>58</v>
      </c>
      <c r="D269" s="235">
        <v>3.1177754889001983E-3</v>
      </c>
      <c r="E269" s="236">
        <v>4.3690526246911573E-3</v>
      </c>
      <c r="F269" s="235">
        <v>1.0460914220503392E-2</v>
      </c>
      <c r="G269" s="236">
        <v>1.0594153201595794E-2</v>
      </c>
      <c r="H269" s="235">
        <v>7.6708507670850768E-3</v>
      </c>
      <c r="I269" s="236">
        <v>1.0875409779196226E-2</v>
      </c>
      <c r="J269" s="235">
        <v>1.9901174509487076E-3</v>
      </c>
      <c r="K269" s="236">
        <v>2.8876120798653048E-3</v>
      </c>
      <c r="L269" s="235">
        <v>3.0812923505366412E-3</v>
      </c>
      <c r="M269" s="237">
        <v>4.3192460165237898E-3</v>
      </c>
    </row>
    <row r="270" spans="3:13" ht="24" customHeight="1" thickBot="1" x14ac:dyDescent="0.25">
      <c r="C270" s="238" t="s">
        <v>59</v>
      </c>
      <c r="D270" s="239">
        <v>4.1251904101047192E-3</v>
      </c>
      <c r="E270" s="240">
        <v>3.9449433450589452E-3</v>
      </c>
      <c r="F270" s="239">
        <v>2.2887212324858935E-2</v>
      </c>
      <c r="G270" s="240">
        <v>2.1288377119831347E-2</v>
      </c>
      <c r="H270" s="239">
        <v>1.5620641562064157E-2</v>
      </c>
      <c r="I270" s="240">
        <v>1.3980191837371862E-2</v>
      </c>
      <c r="J270" s="239">
        <v>5.0858557079800307E-3</v>
      </c>
      <c r="K270" s="240">
        <v>5.4356564140359814E-3</v>
      </c>
      <c r="L270" s="239">
        <v>2.996275335644877E-3</v>
      </c>
      <c r="M270" s="241">
        <v>2.5642339816553013E-3</v>
      </c>
    </row>
    <row r="271" spans="3:13" ht="24" customHeight="1" thickBot="1" x14ac:dyDescent="0.25">
      <c r="C271" s="242" t="s">
        <v>60</v>
      </c>
      <c r="D271" s="235">
        <v>1.234256970703332E-2</v>
      </c>
      <c r="E271" s="236">
        <v>1.3286737860477741E-2</v>
      </c>
      <c r="F271" s="235">
        <v>2.2633614404361884E-2</v>
      </c>
      <c r="G271" s="236">
        <v>2.3983615087995517E-2</v>
      </c>
      <c r="H271" s="235">
        <v>1.3668061366806136E-2</v>
      </c>
      <c r="I271" s="236">
        <v>2.0623384732797945E-2</v>
      </c>
      <c r="J271" s="235">
        <v>9.1086144870344693E-3</v>
      </c>
      <c r="K271" s="236">
        <v>1.2495835793270127E-2</v>
      </c>
      <c r="L271" s="235">
        <v>1.2821484948541729E-2</v>
      </c>
      <c r="M271" s="237">
        <v>1.2837405281717154E-2</v>
      </c>
    </row>
    <row r="272" spans="3:13" ht="30.75" customHeight="1" thickBot="1" x14ac:dyDescent="0.25">
      <c r="C272" s="244" t="s">
        <v>61</v>
      </c>
      <c r="D272" s="245">
        <v>0.65262943979045773</v>
      </c>
      <c r="E272" s="246">
        <v>0.74948737305500457</v>
      </c>
      <c r="F272" s="245">
        <v>0.26183985291320611</v>
      </c>
      <c r="G272" s="246">
        <v>0.2938943520087528</v>
      </c>
      <c r="H272" s="245">
        <v>0.28479776847977689</v>
      </c>
      <c r="I272" s="246">
        <v>0.41073317953965971</v>
      </c>
      <c r="J272" s="245">
        <v>0.39351595921109706</v>
      </c>
      <c r="K272" s="246">
        <v>0.48879619375426875</v>
      </c>
      <c r="L272" s="245">
        <v>0.74285799630980198</v>
      </c>
      <c r="M272" s="247">
        <v>0.84196455658807579</v>
      </c>
    </row>
    <row r="273" spans="3:18" ht="24" customHeight="1" thickBot="1" x14ac:dyDescent="0.25">
      <c r="C273" s="248" t="s">
        <v>8</v>
      </c>
      <c r="D273" s="249">
        <v>1</v>
      </c>
      <c r="E273" s="250">
        <v>1</v>
      </c>
      <c r="F273" s="249">
        <v>1</v>
      </c>
      <c r="G273" s="250">
        <v>1</v>
      </c>
      <c r="H273" s="249">
        <v>1</v>
      </c>
      <c r="I273" s="250">
        <v>1</v>
      </c>
      <c r="J273" s="249">
        <v>1</v>
      </c>
      <c r="K273" s="250">
        <v>1</v>
      </c>
      <c r="L273" s="249">
        <v>1</v>
      </c>
      <c r="M273" s="251">
        <v>1</v>
      </c>
    </row>
    <row r="274" spans="3:18" ht="18" customHeight="1" x14ac:dyDescent="0.2">
      <c r="C274" s="252"/>
      <c r="D274" s="253"/>
      <c r="E274" s="254"/>
      <c r="F274" s="253"/>
      <c r="G274" s="254"/>
      <c r="H274" s="253"/>
      <c r="I274" s="254"/>
      <c r="J274" s="253"/>
      <c r="K274" s="254"/>
      <c r="L274" s="253"/>
      <c r="M274" s="254"/>
    </row>
    <row r="275" spans="3:18" ht="5.25" customHeight="1" thickBot="1" x14ac:dyDescent="0.25"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3:18" ht="20.100000000000001" customHeight="1" thickBot="1" x14ac:dyDescent="0.25">
      <c r="C276" s="25" t="s">
        <v>71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3:18" ht="5.2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149"/>
    </row>
    <row r="278" spans="3:18" ht="45.75" customHeight="1" thickBot="1" x14ac:dyDescent="0.25">
      <c r="C278" s="255" t="s">
        <v>7</v>
      </c>
      <c r="D278" s="256" t="s">
        <v>72</v>
      </c>
      <c r="E278" s="257" t="s">
        <v>73</v>
      </c>
      <c r="F278" s="258">
        <v>1080.3552278862205</v>
      </c>
      <c r="G278" s="259">
        <v>-3.0152611766917969E-2</v>
      </c>
      <c r="H278" s="260" t="s">
        <v>96</v>
      </c>
      <c r="I278" s="261"/>
      <c r="J278" s="261"/>
      <c r="K278" s="261"/>
      <c r="L278" s="262"/>
      <c r="M278" s="263" t="s">
        <v>100</v>
      </c>
      <c r="N278" s="264"/>
      <c r="O278" s="265"/>
      <c r="P278" s="266"/>
      <c r="R278" s="143"/>
    </row>
    <row r="279" spans="3:18" ht="45.75" customHeight="1" thickTop="1" thickBot="1" x14ac:dyDescent="0.25">
      <c r="C279" s="255"/>
      <c r="D279" s="267"/>
      <c r="E279" s="268" t="s">
        <v>74</v>
      </c>
      <c r="F279" s="269">
        <v>697.95859261945543</v>
      </c>
      <c r="G279" s="259">
        <v>-5.8287409467781881E-2</v>
      </c>
      <c r="H279" s="260" t="s">
        <v>97</v>
      </c>
      <c r="I279" s="261"/>
      <c r="J279" s="261"/>
      <c r="K279" s="261"/>
      <c r="L279" s="262"/>
      <c r="M279" s="263"/>
      <c r="N279" s="264"/>
      <c r="O279" s="265"/>
      <c r="P279" s="266"/>
    </row>
    <row r="280" spans="3:18" ht="45.75" customHeight="1" thickTop="1" thickBot="1" x14ac:dyDescent="0.25">
      <c r="C280" s="255"/>
      <c r="D280" s="270"/>
      <c r="E280" s="271" t="s">
        <v>75</v>
      </c>
      <c r="F280" s="272">
        <v>386.54134147306428</v>
      </c>
      <c r="G280" s="259">
        <v>2.4098489428483694E-2</v>
      </c>
      <c r="H280" s="260" t="str">
        <f>CONCATENATE("El gasto medio por turista en destino ascendió a ",FIXED($F$280,0),"€. Experimenta un ",IF(G280&gt;0,"incremento del ","descenso del "),FIXED(G280*100,1),"% respecto al mismo periodo del año anterior.")</f>
        <v>El gasto medio por turista en destino ascendió a 387€. Experimenta un incremento del 2,4% respecto al mismo periodo del año anterior.</v>
      </c>
      <c r="I280" s="261"/>
      <c r="J280" s="261"/>
      <c r="K280" s="261"/>
      <c r="L280" s="262"/>
      <c r="M280" s="263"/>
      <c r="N280" s="264"/>
      <c r="O280" s="265"/>
      <c r="P280" s="266"/>
      <c r="R280" s="143"/>
    </row>
    <row r="281" spans="3:18" ht="45.75" customHeight="1" thickTop="1" thickBot="1" x14ac:dyDescent="0.25">
      <c r="C281" s="255"/>
      <c r="D281" s="273" t="s">
        <v>76</v>
      </c>
      <c r="E281" s="274" t="s">
        <v>73</v>
      </c>
      <c r="F281" s="275">
        <v>124.17620442718672</v>
      </c>
      <c r="G281" s="259">
        <v>2.8606809236152664E-2</v>
      </c>
      <c r="H281" s="276" t="s">
        <v>98</v>
      </c>
      <c r="I281" s="277"/>
      <c r="J281" s="277"/>
      <c r="K281" s="277"/>
      <c r="L281" s="278"/>
      <c r="M281" s="263"/>
      <c r="N281" s="264"/>
      <c r="O281" s="265"/>
      <c r="P281" s="266"/>
      <c r="R281" s="143"/>
    </row>
    <row r="282" spans="3:18" ht="45.75" customHeight="1" thickTop="1" thickBot="1" x14ac:dyDescent="0.25">
      <c r="C282" s="255"/>
      <c r="D282" s="279"/>
      <c r="E282" s="280" t="s">
        <v>74</v>
      </c>
      <c r="F282" s="281">
        <v>80.169206249700792</v>
      </c>
      <c r="G282" s="259">
        <v>-7.6741626248921779E-4</v>
      </c>
      <c r="H282" s="276" t="str">
        <f>CONCATENATE("La media del gasto diario por turista en origen fue de ",FIXED($F$282,0),"€, ",IF(G282&gt;0,"aumentando un ","disminuyendo un "),FIXED(G282*100,1),"% respecto al mismo período del año anterior.")</f>
        <v>La media del gasto diario por turista en origen fue de 80€, disminuyendo un -0,1% respecto al mismo período del año anterior.</v>
      </c>
      <c r="I282" s="277"/>
      <c r="J282" s="277"/>
      <c r="K282" s="277"/>
      <c r="L282" s="278"/>
      <c r="M282" s="263"/>
      <c r="N282" s="264"/>
      <c r="O282" s="265"/>
      <c r="P282" s="266"/>
      <c r="R282" s="143"/>
    </row>
    <row r="283" spans="3:18" ht="45.75" customHeight="1" thickTop="1" thickBot="1" x14ac:dyDescent="0.25">
      <c r="C283" s="255"/>
      <c r="D283" s="282"/>
      <c r="E283" s="283" t="s">
        <v>75</v>
      </c>
      <c r="F283" s="284">
        <v>44.010355565493548</v>
      </c>
      <c r="G283" s="259">
        <v>7.8310537461745877E-2</v>
      </c>
      <c r="H283" s="276" t="s">
        <v>99</v>
      </c>
      <c r="I283" s="277"/>
      <c r="J283" s="277"/>
      <c r="K283" s="277"/>
      <c r="L283" s="278"/>
      <c r="M283" s="263"/>
      <c r="N283" s="264"/>
      <c r="O283" s="265"/>
      <c r="P283" s="266"/>
    </row>
    <row r="284" spans="3:18" ht="5.25" customHeight="1" thickTop="1" thickBot="1" x14ac:dyDescent="0.25"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  <c r="M284" s="286"/>
      <c r="O284" s="143"/>
      <c r="R284" s="143"/>
    </row>
    <row r="285" spans="3:18" ht="19.5" customHeight="1" thickBot="1" x14ac:dyDescent="0.25">
      <c r="C285" s="25" t="s">
        <v>77</v>
      </c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O285" s="143"/>
      <c r="P285" s="143"/>
      <c r="Q285" s="143"/>
    </row>
    <row r="286" spans="3:18" ht="5.25" customHeight="1" x14ac:dyDescent="0.2"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149"/>
      <c r="O286" s="143"/>
      <c r="P286" s="143"/>
      <c r="Q286" s="143"/>
    </row>
    <row r="287" spans="3:18" s="143" customFormat="1" ht="47.25" customHeight="1" thickBot="1" x14ac:dyDescent="0.25">
      <c r="C287" s="255" t="s">
        <v>7</v>
      </c>
      <c r="D287" s="287"/>
      <c r="E287" s="288" t="s">
        <v>8</v>
      </c>
      <c r="F287" s="289">
        <v>168107</v>
      </c>
      <c r="G287" s="259">
        <v>0.11172319840225375</v>
      </c>
      <c r="H287" s="290" t="s">
        <v>101</v>
      </c>
      <c r="I287" s="290"/>
      <c r="J287" s="290"/>
      <c r="K287" s="290"/>
      <c r="L287" s="291"/>
      <c r="M287" s="263" t="s">
        <v>107</v>
      </c>
      <c r="Q287" s="292"/>
    </row>
    <row r="288" spans="3:18" s="143" customFormat="1" ht="47.25" customHeight="1" thickTop="1" thickBot="1" x14ac:dyDescent="0.25">
      <c r="C288" s="255"/>
      <c r="D288" s="287"/>
      <c r="E288" s="293" t="s">
        <v>78</v>
      </c>
      <c r="F288" s="294">
        <v>89513</v>
      </c>
      <c r="G288" s="295">
        <v>2.2106260776231235E-2</v>
      </c>
      <c r="H288" s="296" t="s">
        <v>102</v>
      </c>
      <c r="I288" s="297"/>
      <c r="J288" s="297"/>
      <c r="K288" s="297"/>
      <c r="L288" s="298"/>
      <c r="M288" s="263"/>
      <c r="O288" s="299"/>
      <c r="Q288" s="292"/>
    </row>
    <row r="289" spans="3:20" s="143" customFormat="1" ht="47.25" customHeight="1" thickTop="1" thickBot="1" x14ac:dyDescent="0.25">
      <c r="C289" s="255"/>
      <c r="D289" s="287"/>
      <c r="E289" s="300" t="s">
        <v>79</v>
      </c>
      <c r="F289" s="301">
        <v>48930</v>
      </c>
      <c r="G289" s="295">
        <v>5.2594814480009244E-3</v>
      </c>
      <c r="H289" s="302" t="s">
        <v>103</v>
      </c>
      <c r="I289" s="297"/>
      <c r="J289" s="297"/>
      <c r="K289" s="297"/>
      <c r="L289" s="298"/>
      <c r="M289" s="263"/>
      <c r="O289" s="299"/>
      <c r="Q289" s="292"/>
    </row>
    <row r="290" spans="3:20" s="143" customFormat="1" ht="47.25" customHeight="1" thickTop="1" thickBot="1" x14ac:dyDescent="0.25">
      <c r="C290" s="255"/>
      <c r="D290" s="287"/>
      <c r="E290" s="293" t="s">
        <v>80</v>
      </c>
      <c r="F290" s="294">
        <v>28157</v>
      </c>
      <c r="G290" s="295">
        <v>1.096106603141517</v>
      </c>
      <c r="H290" s="296" t="s">
        <v>104</v>
      </c>
      <c r="I290" s="297"/>
      <c r="J290" s="297"/>
      <c r="K290" s="297"/>
      <c r="L290" s="298"/>
      <c r="M290" s="263"/>
      <c r="O290" s="299"/>
      <c r="Q290" s="292"/>
    </row>
    <row r="291" spans="3:20" s="143" customFormat="1" ht="47.25" customHeight="1" thickTop="1" thickBot="1" x14ac:dyDescent="0.25">
      <c r="C291" s="255"/>
      <c r="D291" s="287"/>
      <c r="E291" s="300" t="s">
        <v>81</v>
      </c>
      <c r="F291" s="301">
        <v>527</v>
      </c>
      <c r="G291" s="295">
        <v>-5.3859964093357249E-2</v>
      </c>
      <c r="H291" s="302" t="s">
        <v>105</v>
      </c>
      <c r="I291" s="297"/>
      <c r="J291" s="297"/>
      <c r="K291" s="297"/>
      <c r="L291" s="298"/>
      <c r="M291" s="263"/>
      <c r="O291" s="299"/>
      <c r="Q291" s="292"/>
    </row>
    <row r="292" spans="3:20" s="143" customFormat="1" ht="47.25" customHeight="1" thickTop="1" thickBot="1" x14ac:dyDescent="0.25">
      <c r="C292" s="255"/>
      <c r="D292" s="287"/>
      <c r="E292" s="293" t="s">
        <v>82</v>
      </c>
      <c r="F292" s="294">
        <v>980</v>
      </c>
      <c r="G292" s="295">
        <v>8.2304526748970819E-3</v>
      </c>
      <c r="H292" s="296" t="s">
        <v>106</v>
      </c>
      <c r="I292" s="297"/>
      <c r="J292" s="297"/>
      <c r="K292" s="297"/>
      <c r="L292" s="298"/>
      <c r="M292" s="263"/>
      <c r="O292" s="299"/>
      <c r="Q292" s="292"/>
    </row>
    <row r="293" spans="3:20" ht="5.25" customHeight="1" thickTop="1" x14ac:dyDescent="0.2">
      <c r="C293" s="94" t="s">
        <v>83</v>
      </c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303"/>
      <c r="P293" s="143"/>
      <c r="Q293" s="143"/>
      <c r="R293" s="143"/>
    </row>
    <row r="294" spans="3:20" ht="18.75" customHeight="1" thickBot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303"/>
      <c r="P294" s="143"/>
      <c r="Q294" s="143"/>
      <c r="R294" s="143"/>
    </row>
    <row r="295" spans="3:20" ht="50.25" customHeight="1" thickBot="1" x14ac:dyDescent="0.25">
      <c r="C295" s="1"/>
      <c r="D295" s="1"/>
      <c r="E295" s="2" t="str">
        <f>E242</f>
        <v>INDICADORES TURÍSTICOS DE TENERIFE definitivo</v>
      </c>
      <c r="F295" s="2"/>
      <c r="G295" s="2"/>
      <c r="H295" s="2"/>
      <c r="I295" s="2"/>
      <c r="J295" s="2"/>
      <c r="K295" s="2"/>
      <c r="L295" s="1"/>
      <c r="M295" s="1"/>
      <c r="O295" s="143"/>
      <c r="P295" s="143"/>
      <c r="Q295" s="143"/>
      <c r="R295" s="143"/>
      <c r="S295" s="143"/>
      <c r="T295" s="143"/>
    </row>
    <row r="296" spans="3:20" ht="5.25" customHeight="1" thickBot="1" x14ac:dyDescent="0.25">
      <c r="O296" s="143"/>
      <c r="P296" s="143"/>
      <c r="Q296" s="143"/>
      <c r="R296" s="143"/>
      <c r="S296" s="143"/>
      <c r="T296" s="143"/>
    </row>
    <row r="297" spans="3:20" ht="18" customHeight="1" thickBot="1" x14ac:dyDescent="0.25">
      <c r="C297" s="220" t="s">
        <v>84</v>
      </c>
      <c r="D297" s="221"/>
      <c r="E297" s="221"/>
      <c r="F297" s="221"/>
      <c r="G297" s="221"/>
      <c r="H297" s="221"/>
      <c r="I297" s="221"/>
      <c r="J297" s="221"/>
      <c r="K297" s="221"/>
      <c r="L297" s="221"/>
      <c r="M297" s="222"/>
      <c r="O297" s="143"/>
      <c r="P297" s="143"/>
      <c r="Q297" s="143"/>
      <c r="R297" s="143"/>
      <c r="S297" s="143"/>
      <c r="T297" s="143"/>
    </row>
    <row r="298" spans="3:20" ht="5.25" customHeight="1" x14ac:dyDescent="0.2"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149"/>
      <c r="O298" s="143"/>
      <c r="P298" s="143"/>
      <c r="Q298" s="143"/>
      <c r="R298" s="143"/>
      <c r="S298" s="143"/>
      <c r="T298" s="143"/>
    </row>
    <row r="299" spans="3:20" ht="27.75" customHeight="1" x14ac:dyDescent="0.2">
      <c r="C299" s="304" t="s">
        <v>7</v>
      </c>
      <c r="D299" s="305"/>
      <c r="E299" s="306" t="s">
        <v>8</v>
      </c>
      <c r="F299" s="33">
        <v>177274</v>
      </c>
      <c r="G299" s="307">
        <v>3.6514275356810844E-2</v>
      </c>
      <c r="H299" s="308" t="s">
        <v>108</v>
      </c>
      <c r="I299" s="308"/>
      <c r="J299" s="308"/>
      <c r="K299" s="308"/>
      <c r="L299" s="309"/>
      <c r="M299" s="263" t="s">
        <v>9</v>
      </c>
      <c r="O299" s="143"/>
      <c r="P299" s="143"/>
      <c r="Q299" s="143"/>
      <c r="R299" s="143"/>
      <c r="S299" s="143"/>
      <c r="T299" s="143"/>
    </row>
    <row r="300" spans="3:20" ht="34.5" customHeight="1" x14ac:dyDescent="0.2">
      <c r="C300" s="310"/>
      <c r="D300" s="311"/>
      <c r="E300" s="312" t="s">
        <v>85</v>
      </c>
      <c r="F300" s="44">
        <v>100563</v>
      </c>
      <c r="G300" s="138">
        <v>5.0562560722083427E-2</v>
      </c>
      <c r="H300" s="313" t="str">
        <f>CONCATENATE("La oferta hotelera estimada por el STDE del Cabildo de Tenerife se sitúa en ",FIXED(F300,0)," plazas, un ",FIXED(F300/F299*100,1),"% del total de plazas. ",IF(G300&gt;0,"Aumentan un ","Disminuyen un"),FIXED(G300*100,1),"% respecto al mismo periodo del año anterior.")</f>
        <v>La oferta hotelera estimada por el STDE del Cabildo de Tenerife se sitúa en 100.563 plazas, un 56,7% del total de plazas. Aumentan un 5,1% respecto al mismo periodo del año anterior.</v>
      </c>
      <c r="I300" s="313"/>
      <c r="J300" s="313"/>
      <c r="K300" s="313"/>
      <c r="L300" s="314"/>
      <c r="M300" s="263"/>
      <c r="O300" s="143"/>
      <c r="P300" s="143"/>
      <c r="Q300" s="143"/>
      <c r="R300" s="143"/>
      <c r="S300" s="143"/>
      <c r="T300" s="143"/>
    </row>
    <row r="301" spans="3:20" ht="41.25" customHeight="1" thickBot="1" x14ac:dyDescent="0.25">
      <c r="C301" s="315"/>
      <c r="D301" s="316"/>
      <c r="E301" s="317" t="s">
        <v>86</v>
      </c>
      <c r="F301" s="318">
        <v>76711</v>
      </c>
      <c r="G301" s="319">
        <v>1.8657211908745586E-2</v>
      </c>
      <c r="H301" s="320" t="s">
        <v>109</v>
      </c>
      <c r="I301" s="320"/>
      <c r="J301" s="320"/>
      <c r="K301" s="320"/>
      <c r="L301" s="321"/>
      <c r="M301" s="263"/>
      <c r="Q301" s="322"/>
    </row>
    <row r="302" spans="3:20" ht="18.75" hidden="1" customHeight="1" x14ac:dyDescent="0.2">
      <c r="C302" s="323" t="s">
        <v>12</v>
      </c>
      <c r="D302" s="324"/>
      <c r="E302" s="325" t="s">
        <v>8</v>
      </c>
      <c r="F302" s="326">
        <v>4283</v>
      </c>
      <c r="G302" s="327">
        <v>0.10386597938144337</v>
      </c>
      <c r="H302" s="328" t="str">
        <f>CONCATENATE("Las plazas estimadas por el STDE  del Cabildo de Tenerife en la zona de Santa Cruz, ascienden a ",FIXED(F303,0),", todas ellas pertenecientes a la tipología hotelera. Se registra un ",IF(G303&gt;0,"incremento ","descenso "),"con respecto al año anterior del ",FIXED(G303*100,1),"%.")</f>
        <v>Las plazas estimadas por el STDE  del Cabildo de Tenerife en la zona de Santa Cruz, ascienden a 2.680, todas ellas pertenecientes a la tipología hotelera. Se registra un incremento con respecto al año anterior del 5,1%.</v>
      </c>
      <c r="I302" s="328"/>
      <c r="J302" s="328"/>
      <c r="K302" s="328"/>
      <c r="L302" s="329"/>
      <c r="M302" s="263"/>
      <c r="Q302" s="322"/>
    </row>
    <row r="303" spans="3:20" ht="48.75" customHeight="1" thickTop="1" thickBot="1" x14ac:dyDescent="0.25">
      <c r="C303" s="330"/>
      <c r="D303" s="331"/>
      <c r="E303" s="332" t="s">
        <v>85</v>
      </c>
      <c r="F303" s="333">
        <v>2680</v>
      </c>
      <c r="G303" s="319">
        <v>5.0568404547236323E-2</v>
      </c>
      <c r="H303" s="334"/>
      <c r="I303" s="334"/>
      <c r="J303" s="334"/>
      <c r="K303" s="334"/>
      <c r="L303" s="335"/>
      <c r="M303" s="263"/>
    </row>
    <row r="304" spans="3:20" ht="42" customHeight="1" thickTop="1" x14ac:dyDescent="0.2">
      <c r="C304" s="336" t="s">
        <v>13</v>
      </c>
      <c r="D304" s="337"/>
      <c r="E304" s="338" t="s">
        <v>8</v>
      </c>
      <c r="F304" s="339">
        <v>2346</v>
      </c>
      <c r="G304" s="327">
        <v>0.13994169096209919</v>
      </c>
      <c r="H304" s="340" t="s">
        <v>110</v>
      </c>
      <c r="I304" s="340"/>
      <c r="J304" s="340"/>
      <c r="K304" s="340"/>
      <c r="L304" s="341"/>
      <c r="M304" s="263"/>
    </row>
    <row r="305" spans="3:18" ht="34.5" customHeight="1" x14ac:dyDescent="0.2">
      <c r="C305" s="342"/>
      <c r="D305" s="343"/>
      <c r="E305" s="344" t="s">
        <v>85</v>
      </c>
      <c r="F305" s="77">
        <v>846</v>
      </c>
      <c r="G305" s="138">
        <v>1.1961722488038173E-2</v>
      </c>
      <c r="H305" s="345" t="str">
        <f>CONCATENATE("Las plazas hoteleras estimadas se sitúan en ",FIXED(F305,0)," plazas, registrando un ",IF(G305&gt;0,"incremento del ","descenso del "),FIXED(G305*100,1),"%.")</f>
        <v>Las plazas hoteleras estimadas se sitúan en 846 plazas, registrando un incremento del 1,2%.</v>
      </c>
      <c r="I305" s="345"/>
      <c r="J305" s="345"/>
      <c r="K305" s="345"/>
      <c r="L305" s="346"/>
      <c r="M305" s="263"/>
    </row>
    <row r="306" spans="3:18" ht="34.5" customHeight="1" thickBot="1" x14ac:dyDescent="0.25">
      <c r="C306" s="347"/>
      <c r="D306" s="348"/>
      <c r="E306" s="349" t="s">
        <v>86</v>
      </c>
      <c r="F306" s="350">
        <v>1500</v>
      </c>
      <c r="G306" s="319">
        <v>0.22749590834697209</v>
      </c>
      <c r="H306" s="351" t="s">
        <v>111</v>
      </c>
      <c r="I306" s="351"/>
      <c r="J306" s="351"/>
      <c r="K306" s="351"/>
      <c r="L306" s="352"/>
      <c r="M306" s="263"/>
    </row>
    <row r="307" spans="3:18" ht="39.75" customHeight="1" thickTop="1" x14ac:dyDescent="0.2">
      <c r="C307" s="353" t="s">
        <v>14</v>
      </c>
      <c r="D307" s="354"/>
      <c r="E307" s="325" t="s">
        <v>8</v>
      </c>
      <c r="F307" s="326">
        <v>31621</v>
      </c>
      <c r="G307" s="327">
        <v>2.2836810609736302E-2</v>
      </c>
      <c r="H307" s="328" t="s">
        <v>112</v>
      </c>
      <c r="I307" s="328"/>
      <c r="J307" s="328"/>
      <c r="K307" s="328"/>
      <c r="L307" s="329"/>
      <c r="M307" s="263"/>
    </row>
    <row r="308" spans="3:18" ht="34.5" customHeight="1" x14ac:dyDescent="0.2">
      <c r="C308" s="355"/>
      <c r="D308" s="356"/>
      <c r="E308" s="357" t="s">
        <v>85</v>
      </c>
      <c r="F308" s="64">
        <v>20120</v>
      </c>
      <c r="G308" s="138">
        <v>-8.2807570977917466E-3</v>
      </c>
      <c r="H308" s="358" t="str">
        <f>CONCATENATE("La oferta hotelera asciende a ",FIXED(F308,0),", cifra que se ",IF(G308&gt;0,"incrementa un ","reduce un "),FIXED(G308*100,1),"% respecto al año anterior.")</f>
        <v>La oferta hotelera asciende a 20.120, cifra que se reduce un -0,8% respecto al año anterior.</v>
      </c>
      <c r="I308" s="358"/>
      <c r="J308" s="358"/>
      <c r="K308" s="358"/>
      <c r="L308" s="359"/>
      <c r="M308" s="263"/>
    </row>
    <row r="309" spans="3:18" ht="34.5" customHeight="1" thickBot="1" x14ac:dyDescent="0.25">
      <c r="C309" s="360"/>
      <c r="D309" s="361"/>
      <c r="E309" s="332" t="s">
        <v>86</v>
      </c>
      <c r="F309" s="333">
        <v>11501</v>
      </c>
      <c r="G309" s="319">
        <v>8.2243342429660249E-2</v>
      </c>
      <c r="H309" s="334" t="str">
        <f>CONCATENATE("Las plazas extrahoteras estimadas ascienden a ",FIXED(F309,0),", las cuales ",IF(G309&gt;0,"se incrementan un ","descienden un "),FIXED(G309*100,1),"%.")</f>
        <v>Las plazas extrahoteras estimadas ascienden a 11.501, las cuales se incrementan un 8,2%.</v>
      </c>
      <c r="I309" s="334"/>
      <c r="J309" s="334"/>
      <c r="K309" s="334"/>
      <c r="L309" s="335"/>
      <c r="M309" s="263"/>
    </row>
    <row r="310" spans="3:18" ht="34.5" customHeight="1" thickTop="1" x14ac:dyDescent="0.2">
      <c r="C310" s="362" t="s">
        <v>15</v>
      </c>
      <c r="D310" s="363"/>
      <c r="E310" s="364" t="s">
        <v>8</v>
      </c>
      <c r="F310" s="365">
        <v>139024</v>
      </c>
      <c r="G310" s="327">
        <v>3.6131647984736448E-2</v>
      </c>
      <c r="H310" s="340" t="str">
        <f>CONCATENATE("Las plazas estimadas para la zona Sur por el STDE del Cabildo ascienden a ",FIXED(F310,0)," experimentando un ",IF(G310&gt;0,"incremento interanual del ","descenso interanual del "),FIXED(G310*100,1),"%.")</f>
        <v>Las plazas estimadas para la zona Sur por el STDE del Cabildo ascienden a 139.024 experimentando un incremento interanual del 3,6%.</v>
      </c>
      <c r="I310" s="340"/>
      <c r="J310" s="340"/>
      <c r="K310" s="340"/>
      <c r="L310" s="341"/>
      <c r="M310" s="263"/>
    </row>
    <row r="311" spans="3:18" ht="34.5" customHeight="1" x14ac:dyDescent="0.2">
      <c r="C311" s="366"/>
      <c r="D311" s="367"/>
      <c r="E311" s="368" t="s">
        <v>85</v>
      </c>
      <c r="F311" s="89">
        <v>76917</v>
      </c>
      <c r="G311" s="138">
        <v>6.7579946702198468E-2</v>
      </c>
      <c r="H311" s="345" t="str">
        <f>CONCATENATE("Las plazas hoteleras, con un oferta de ",FIXED(F311,0)," plazas, se ",IF(G311&gt;0,"incrementan un ","reducen un "),FIXED(G311*100,1),"% respecto al mismo período del año anterior.")</f>
        <v>Las plazas hoteleras, con un oferta de 76.917 plazas, se incrementan un 6,8% respecto al mismo período del año anterior.</v>
      </c>
      <c r="I311" s="345"/>
      <c r="J311" s="345"/>
      <c r="K311" s="345"/>
      <c r="L311" s="346"/>
      <c r="M311" s="263"/>
    </row>
    <row r="312" spans="3:18" ht="34.5" customHeight="1" x14ac:dyDescent="0.2">
      <c r="C312" s="366"/>
      <c r="D312" s="367"/>
      <c r="E312" s="369" t="s">
        <v>86</v>
      </c>
      <c r="F312" s="370">
        <v>62107</v>
      </c>
      <c r="G312" s="371">
        <v>-3.3801184651038874E-4</v>
      </c>
      <c r="H312" s="372" t="s">
        <v>113</v>
      </c>
      <c r="I312" s="372"/>
      <c r="J312" s="372"/>
      <c r="K312" s="372"/>
      <c r="L312" s="373"/>
      <c r="M312" s="263"/>
    </row>
    <row r="313" spans="3:18" ht="5.25" customHeight="1" thickBot="1" x14ac:dyDescent="0.25">
      <c r="C313" s="285"/>
      <c r="D313" s="285"/>
      <c r="E313" s="285"/>
      <c r="F313" s="285"/>
      <c r="G313" s="285"/>
      <c r="H313" s="285"/>
      <c r="I313" s="285"/>
      <c r="J313" s="285"/>
      <c r="K313" s="285"/>
      <c r="L313" s="285"/>
      <c r="M313" s="286"/>
      <c r="O313" s="143"/>
      <c r="R313" s="143"/>
    </row>
    <row r="314" spans="3:18" ht="19.5" customHeight="1" thickBot="1" x14ac:dyDescent="0.25">
      <c r="C314" s="25" t="s">
        <v>87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O314" s="143"/>
      <c r="P314" s="143"/>
      <c r="Q314" s="143"/>
    </row>
    <row r="315" spans="3:18" ht="5.25" customHeight="1" x14ac:dyDescent="0.2"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149"/>
      <c r="O315" s="143"/>
      <c r="P315" s="143"/>
      <c r="Q315" s="143"/>
    </row>
    <row r="316" spans="3:18" ht="44.25" customHeight="1" thickBot="1" x14ac:dyDescent="0.25">
      <c r="C316" s="374" t="s">
        <v>88</v>
      </c>
      <c r="D316" s="375"/>
      <c r="E316" s="376" t="s">
        <v>89</v>
      </c>
      <c r="F316" s="377">
        <v>403964</v>
      </c>
      <c r="G316" s="259">
        <v>8.22648141499982E-2</v>
      </c>
      <c r="H316" s="378" t="s">
        <v>114</v>
      </c>
      <c r="I316" s="378"/>
      <c r="J316" s="378"/>
      <c r="K316" s="378"/>
      <c r="L316" s="379"/>
      <c r="M316" s="263" t="s">
        <v>116</v>
      </c>
    </row>
    <row r="317" spans="3:18" ht="40.5" customHeight="1" thickTop="1" thickBot="1" x14ac:dyDescent="0.25">
      <c r="C317" s="374"/>
      <c r="D317" s="375"/>
      <c r="E317" s="380" t="s">
        <v>90</v>
      </c>
      <c r="F317" s="381">
        <v>150</v>
      </c>
      <c r="G317" s="382">
        <v>-0.1124260355029586</v>
      </c>
      <c r="H317" s="383" t="s">
        <v>115</v>
      </c>
      <c r="I317" s="383"/>
      <c r="J317" s="383"/>
      <c r="K317" s="383"/>
      <c r="L317" s="384"/>
      <c r="M317" s="263"/>
    </row>
    <row r="318" spans="3:18" ht="13.5" thickTop="1" x14ac:dyDescent="0.2">
      <c r="C318" s="385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</row>
    <row r="319" spans="3:18" ht="29.25" customHeight="1" x14ac:dyDescent="0.2"/>
    <row r="320" spans="3:18" ht="18" customHeight="1" x14ac:dyDescent="0.2">
      <c r="C320" s="386" t="s">
        <v>91</v>
      </c>
      <c r="D320" s="386"/>
      <c r="E320" s="386"/>
      <c r="F320" s="386"/>
      <c r="G320" s="386"/>
      <c r="H320" s="386"/>
      <c r="I320" s="386"/>
      <c r="J320" s="386"/>
      <c r="K320" s="386"/>
      <c r="L320" s="386"/>
      <c r="M320" s="386"/>
    </row>
    <row r="322" spans="5:6" ht="6.75" customHeight="1" x14ac:dyDescent="0.2"/>
    <row r="324" spans="5:6" ht="8.25" customHeight="1" x14ac:dyDescent="0.2"/>
    <row r="327" spans="5:6" x14ac:dyDescent="0.2">
      <c r="E327" s="387"/>
      <c r="F327" s="387"/>
    </row>
    <row r="328" spans="5:6" x14ac:dyDescent="0.2">
      <c r="E328" s="387"/>
      <c r="F328" s="387"/>
    </row>
    <row r="331" spans="5:6" ht="21.75" customHeight="1" x14ac:dyDescent="0.2"/>
    <row r="333" spans="5:6" ht="6" customHeight="1" x14ac:dyDescent="0.2"/>
  </sheetData>
  <mergeCells count="163"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H283:L283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82" priority="281" stopIfTrue="1" operator="greaterThan">
      <formula>0</formula>
    </cfRule>
    <cfRule type="cellIs" dxfId="281" priority="282" stopIfTrue="1" operator="lessThan">
      <formula>0</formula>
    </cfRule>
    <cfRule type="cellIs" dxfId="280" priority="283" stopIfTrue="1" operator="equal">
      <formula>0</formula>
    </cfRule>
  </conditionalFormatting>
  <conditionalFormatting sqref="G9:G10 G15:G23">
    <cfRule type="cellIs" dxfId="279" priority="278" operator="equal">
      <formula>0</formula>
    </cfRule>
    <cfRule type="cellIs" dxfId="278" priority="279" operator="lessThan">
      <formula>0</formula>
    </cfRule>
    <cfRule type="cellIs" dxfId="277" priority="280" operator="greaterThan">
      <formula>0</formula>
    </cfRule>
  </conditionalFormatting>
  <conditionalFormatting sqref="G10 G15:G23">
    <cfRule type="cellIs" dxfId="276" priority="275" stopIfTrue="1" operator="greaterThan">
      <formula>0</formula>
    </cfRule>
    <cfRule type="cellIs" dxfId="275" priority="276" stopIfTrue="1" operator="lessThan">
      <formula>0</formula>
    </cfRule>
    <cfRule type="cellIs" dxfId="274" priority="277" stopIfTrue="1" operator="equal">
      <formula>0</formula>
    </cfRule>
  </conditionalFormatting>
  <conditionalFormatting sqref="G10 G15:G23">
    <cfRule type="cellIs" dxfId="273" priority="272" operator="equal">
      <formula>0</formula>
    </cfRule>
    <cfRule type="cellIs" dxfId="272" priority="273" operator="lessThan">
      <formula>0</formula>
    </cfRule>
    <cfRule type="cellIs" dxfId="271" priority="274" operator="greaterThan">
      <formula>0</formula>
    </cfRule>
  </conditionalFormatting>
  <conditionalFormatting sqref="G316:G317 G299:G312 G287:G289 L110:L114 G110:G114 L102:L106 G102:G106 L94:L98 G94:G98 L87:L90 G86:G90 L9:L11 L15:L23">
    <cfRule type="cellIs" dxfId="270" priority="266" operator="equal">
      <formula>0</formula>
    </cfRule>
    <cfRule type="cellIs" dxfId="269" priority="267" operator="lessThan">
      <formula>0</formula>
    </cfRule>
    <cfRule type="cellIs" dxfId="268" priority="268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7" priority="269" stopIfTrue="1" operator="greaterThan">
      <formula>0</formula>
    </cfRule>
    <cfRule type="cellIs" dxfId="266" priority="270" stopIfTrue="1" operator="lessThan">
      <formula>0</formula>
    </cfRule>
    <cfRule type="cellIs" dxfId="265" priority="271" stopIfTrue="1" operator="equal">
      <formula>0</formula>
    </cfRule>
  </conditionalFormatting>
  <conditionalFormatting sqref="G27:G28 G33:G41">
    <cfRule type="cellIs" dxfId="264" priority="215" stopIfTrue="1" operator="greaterThan">
      <formula>0</formula>
    </cfRule>
    <cfRule type="cellIs" dxfId="263" priority="216" stopIfTrue="1" operator="lessThan">
      <formula>0</formula>
    </cfRule>
    <cfRule type="cellIs" dxfId="262" priority="217" stopIfTrue="1" operator="equal">
      <formula>0</formula>
    </cfRule>
  </conditionalFormatting>
  <conditionalFormatting sqref="G27:G28 G33:G41">
    <cfRule type="cellIs" dxfId="261" priority="212" operator="equal">
      <formula>0</formula>
    </cfRule>
    <cfRule type="cellIs" dxfId="260" priority="213" operator="lessThan">
      <formula>0</formula>
    </cfRule>
    <cfRule type="cellIs" dxfId="259" priority="214" operator="greaterThan">
      <formula>0</formula>
    </cfRule>
  </conditionalFormatting>
  <conditionalFormatting sqref="G45:G47 G51:G59">
    <cfRule type="cellIs" dxfId="258" priority="257" stopIfTrue="1" operator="greaterThan">
      <formula>0</formula>
    </cfRule>
    <cfRule type="cellIs" dxfId="257" priority="258" stopIfTrue="1" operator="lessThan">
      <formula>0</formula>
    </cfRule>
    <cfRule type="cellIs" dxfId="256" priority="259" stopIfTrue="1" operator="equal">
      <formula>0</formula>
    </cfRule>
  </conditionalFormatting>
  <conditionalFormatting sqref="G45:G47 G51:G59">
    <cfRule type="cellIs" dxfId="255" priority="254" operator="equal">
      <formula>0</formula>
    </cfRule>
    <cfRule type="cellIs" dxfId="254" priority="255" operator="lessThan">
      <formula>0</formula>
    </cfRule>
    <cfRule type="cellIs" dxfId="253" priority="256" operator="greaterThan">
      <formula>0</formula>
    </cfRule>
  </conditionalFormatting>
  <conditionalFormatting sqref="G46:G47 G51:G59">
    <cfRule type="cellIs" dxfId="252" priority="251" stopIfTrue="1" operator="greaterThan">
      <formula>0</formula>
    </cfRule>
    <cfRule type="cellIs" dxfId="251" priority="252" stopIfTrue="1" operator="lessThan">
      <formula>0</formula>
    </cfRule>
    <cfRule type="cellIs" dxfId="250" priority="253" stopIfTrue="1" operator="equal">
      <formula>0</formula>
    </cfRule>
  </conditionalFormatting>
  <conditionalFormatting sqref="G46:G47 G51:G59">
    <cfRule type="cellIs" dxfId="249" priority="248" operator="equal">
      <formula>0</formula>
    </cfRule>
    <cfRule type="cellIs" dxfId="248" priority="249" operator="lessThan">
      <formula>0</formula>
    </cfRule>
    <cfRule type="cellIs" dxfId="247" priority="250" operator="greaterThan">
      <formula>0</formula>
    </cfRule>
  </conditionalFormatting>
  <conditionalFormatting sqref="L27:L29 L33:L41">
    <cfRule type="cellIs" dxfId="246" priority="260" operator="equal">
      <formula>0</formula>
    </cfRule>
    <cfRule type="cellIs" dxfId="245" priority="261" operator="lessThan">
      <formula>0</formula>
    </cfRule>
    <cfRule type="cellIs" dxfId="244" priority="262" operator="greaterThan">
      <formula>0</formula>
    </cfRule>
  </conditionalFormatting>
  <conditionalFormatting sqref="L27:L29 L33:L41">
    <cfRule type="cellIs" dxfId="243" priority="263" stopIfTrue="1" operator="greaterThan">
      <formula>0</formula>
    </cfRule>
    <cfRule type="cellIs" dxfId="242" priority="264" stopIfTrue="1" operator="lessThan">
      <formula>0</formula>
    </cfRule>
    <cfRule type="cellIs" dxfId="241" priority="265" stopIfTrue="1" operator="equal">
      <formula>0</formula>
    </cfRule>
  </conditionalFormatting>
  <conditionalFormatting sqref="L45:L47 L51:L59">
    <cfRule type="cellIs" dxfId="240" priority="242" operator="equal">
      <formula>0</formula>
    </cfRule>
    <cfRule type="cellIs" dxfId="239" priority="243" operator="lessThan">
      <formula>0</formula>
    </cfRule>
    <cfRule type="cellIs" dxfId="238" priority="244" operator="greaterThan">
      <formula>0</formula>
    </cfRule>
  </conditionalFormatting>
  <conditionalFormatting sqref="L45:L47 L51:L59">
    <cfRule type="cellIs" dxfId="237" priority="245" stopIfTrue="1" operator="greaterThan">
      <formula>0</formula>
    </cfRule>
    <cfRule type="cellIs" dxfId="236" priority="246" stopIfTrue="1" operator="lessThan">
      <formula>0</formula>
    </cfRule>
    <cfRule type="cellIs" dxfId="235" priority="247" stopIfTrue="1" operator="equal">
      <formula>0</formula>
    </cfRule>
  </conditionalFormatting>
  <conditionalFormatting sqref="G68:G70 G74:G82">
    <cfRule type="cellIs" dxfId="234" priority="239" stopIfTrue="1" operator="greaterThan">
      <formula>0</formula>
    </cfRule>
    <cfRule type="cellIs" dxfId="233" priority="240" stopIfTrue="1" operator="lessThan">
      <formula>0</formula>
    </cfRule>
    <cfRule type="cellIs" dxfId="232" priority="241" stopIfTrue="1" operator="equal">
      <formula>0</formula>
    </cfRule>
  </conditionalFormatting>
  <conditionalFormatting sqref="G68:G70 G74:G82">
    <cfRule type="cellIs" dxfId="231" priority="236" operator="equal">
      <formula>0</formula>
    </cfRule>
    <cfRule type="cellIs" dxfId="230" priority="237" operator="lessThan">
      <formula>0</formula>
    </cfRule>
    <cfRule type="cellIs" dxfId="229" priority="238" operator="greaterThan">
      <formula>0</formula>
    </cfRule>
  </conditionalFormatting>
  <conditionalFormatting sqref="G69:G70 G74:G82">
    <cfRule type="cellIs" dxfId="228" priority="233" stopIfTrue="1" operator="greaterThan">
      <formula>0</formula>
    </cfRule>
    <cfRule type="cellIs" dxfId="227" priority="234" stopIfTrue="1" operator="lessThan">
      <formula>0</formula>
    </cfRule>
    <cfRule type="cellIs" dxfId="226" priority="235" stopIfTrue="1" operator="equal">
      <formula>0</formula>
    </cfRule>
  </conditionalFormatting>
  <conditionalFormatting sqref="G69:G70 G74:G82">
    <cfRule type="cellIs" dxfId="225" priority="230" operator="equal">
      <formula>0</formula>
    </cfRule>
    <cfRule type="cellIs" dxfId="224" priority="231" operator="lessThan">
      <formula>0</formula>
    </cfRule>
    <cfRule type="cellIs" dxfId="223" priority="232" operator="greaterThan">
      <formula>0</formula>
    </cfRule>
  </conditionalFormatting>
  <conditionalFormatting sqref="L68:L70 L74:L82">
    <cfRule type="cellIs" dxfId="222" priority="224" operator="equal">
      <formula>0</formula>
    </cfRule>
    <cfRule type="cellIs" dxfId="221" priority="225" operator="lessThan">
      <formula>0</formula>
    </cfRule>
    <cfRule type="cellIs" dxfId="220" priority="226" operator="greaterThan">
      <formula>0</formula>
    </cfRule>
  </conditionalFormatting>
  <conditionalFormatting sqref="L68:L70 L74:L82">
    <cfRule type="cellIs" dxfId="219" priority="227" stopIfTrue="1" operator="greaterThan">
      <formula>0</formula>
    </cfRule>
    <cfRule type="cellIs" dxfId="218" priority="228" stopIfTrue="1" operator="lessThan">
      <formula>0</formula>
    </cfRule>
    <cfRule type="cellIs" dxfId="217" priority="229" stopIfTrue="1" operator="equal">
      <formula>0</formula>
    </cfRule>
  </conditionalFormatting>
  <conditionalFormatting sqref="G11">
    <cfRule type="cellIs" dxfId="216" priority="221" stopIfTrue="1" operator="greaterThan">
      <formula>0</formula>
    </cfRule>
    <cfRule type="cellIs" dxfId="215" priority="222" stopIfTrue="1" operator="lessThan">
      <formula>0</formula>
    </cfRule>
    <cfRule type="cellIs" dxfId="214" priority="223" stopIfTrue="1" operator="equal">
      <formula>0</formula>
    </cfRule>
  </conditionalFormatting>
  <conditionalFormatting sqref="G11">
    <cfRule type="cellIs" dxfId="213" priority="218" operator="equal">
      <formula>0</formula>
    </cfRule>
    <cfRule type="cellIs" dxfId="212" priority="219" operator="lessThan">
      <formula>0</formula>
    </cfRule>
    <cfRule type="cellIs" dxfId="211" priority="220" operator="greaterThan">
      <formula>0</formula>
    </cfRule>
  </conditionalFormatting>
  <conditionalFormatting sqref="G28 G33:G41">
    <cfRule type="cellIs" dxfId="210" priority="209" stopIfTrue="1" operator="greaterThan">
      <formula>0</formula>
    </cfRule>
    <cfRule type="cellIs" dxfId="209" priority="210" stopIfTrue="1" operator="lessThan">
      <formula>0</formula>
    </cfRule>
    <cfRule type="cellIs" dxfId="208" priority="211" stopIfTrue="1" operator="equal">
      <formula>0</formula>
    </cfRule>
  </conditionalFormatting>
  <conditionalFormatting sqref="G28 G33:G41">
    <cfRule type="cellIs" dxfId="207" priority="206" operator="equal">
      <formula>0</formula>
    </cfRule>
    <cfRule type="cellIs" dxfId="206" priority="207" operator="lessThan">
      <formula>0</formula>
    </cfRule>
    <cfRule type="cellIs" dxfId="205" priority="208" operator="greaterThan">
      <formula>0</formula>
    </cfRule>
  </conditionalFormatting>
  <conditionalFormatting sqref="G29">
    <cfRule type="cellIs" dxfId="204" priority="203" stopIfTrue="1" operator="greaterThan">
      <formula>0</formula>
    </cfRule>
    <cfRule type="cellIs" dxfId="203" priority="204" stopIfTrue="1" operator="lessThan">
      <formula>0</formula>
    </cfRule>
    <cfRule type="cellIs" dxfId="202" priority="205" stopIfTrue="1" operator="equal">
      <formula>0</formula>
    </cfRule>
  </conditionalFormatting>
  <conditionalFormatting sqref="G29">
    <cfRule type="cellIs" dxfId="201" priority="200" operator="equal">
      <formula>0</formula>
    </cfRule>
    <cfRule type="cellIs" dxfId="200" priority="201" operator="lessThan">
      <formula>0</formula>
    </cfRule>
    <cfRule type="cellIs" dxfId="199" priority="202" operator="greaterThan">
      <formula>0</formula>
    </cfRule>
  </conditionalFormatting>
  <conditionalFormatting sqref="E124:E149">
    <cfRule type="cellIs" dxfId="198" priority="194" operator="equal">
      <formula>0</formula>
    </cfRule>
    <cfRule type="cellIs" dxfId="197" priority="195" operator="lessThan">
      <formula>0</formula>
    </cfRule>
    <cfRule type="cellIs" dxfId="196" priority="196" operator="greaterThan">
      <formula>0</formula>
    </cfRule>
  </conditionalFormatting>
  <conditionalFormatting sqref="E124:E149">
    <cfRule type="cellIs" dxfId="195" priority="197" stopIfTrue="1" operator="greaterThan">
      <formula>0</formula>
    </cfRule>
    <cfRule type="cellIs" dxfId="194" priority="198" stopIfTrue="1" operator="lessThan">
      <formula>0</formula>
    </cfRule>
    <cfRule type="cellIs" dxfId="193" priority="199" stopIfTrue="1" operator="equal">
      <formula>0</formula>
    </cfRule>
  </conditionalFormatting>
  <conditionalFormatting sqref="G124:G149 I124:I149 K124:K149 M124:M149">
    <cfRule type="cellIs" dxfId="192" priority="188" operator="equal">
      <formula>0</formula>
    </cfRule>
    <cfRule type="cellIs" dxfId="191" priority="189" operator="lessThan">
      <formula>0</formula>
    </cfRule>
    <cfRule type="cellIs" dxfId="190" priority="190" operator="greaterThan">
      <formula>0</formula>
    </cfRule>
  </conditionalFormatting>
  <conditionalFormatting sqref="G124:G149 I124:I149 K124:K149 M124:M149">
    <cfRule type="cellIs" dxfId="189" priority="191" stopIfTrue="1" operator="greaterThan">
      <formula>0</formula>
    </cfRule>
    <cfRule type="cellIs" dxfId="188" priority="192" stopIfTrue="1" operator="lessThan">
      <formula>0</formula>
    </cfRule>
    <cfRule type="cellIs" dxfId="187" priority="193" stopIfTrue="1" operator="equal">
      <formula>0</formula>
    </cfRule>
  </conditionalFormatting>
  <conditionalFormatting sqref="E156:E181">
    <cfRule type="cellIs" dxfId="186" priority="182" operator="equal">
      <formula>0</formula>
    </cfRule>
    <cfRule type="cellIs" dxfId="185" priority="183" operator="lessThan">
      <formula>0</formula>
    </cfRule>
    <cfRule type="cellIs" dxfId="184" priority="184" operator="greaterThan">
      <formula>0</formula>
    </cfRule>
  </conditionalFormatting>
  <conditionalFormatting sqref="E156:E181">
    <cfRule type="cellIs" dxfId="183" priority="185" stopIfTrue="1" operator="greaterThan">
      <formula>0</formula>
    </cfRule>
    <cfRule type="cellIs" dxfId="182" priority="186" stopIfTrue="1" operator="lessThan">
      <formula>0</formula>
    </cfRule>
    <cfRule type="cellIs" dxfId="181" priority="187" stopIfTrue="1" operator="equal">
      <formula>0</formula>
    </cfRule>
  </conditionalFormatting>
  <conditionalFormatting sqref="G156:G181 I156:I181 K156:K181 M156:M181">
    <cfRule type="cellIs" dxfId="180" priority="176" operator="equal">
      <formula>0</formula>
    </cfRule>
    <cfRule type="cellIs" dxfId="179" priority="177" operator="lessThan">
      <formula>0</formula>
    </cfRule>
    <cfRule type="cellIs" dxfId="178" priority="178" operator="greaterThan">
      <formula>0</formula>
    </cfRule>
  </conditionalFormatting>
  <conditionalFormatting sqref="G156:G181 I156:I181 K156:K181 M156:M181">
    <cfRule type="cellIs" dxfId="177" priority="179" stopIfTrue="1" operator="greaterThan">
      <formula>0</formula>
    </cfRule>
    <cfRule type="cellIs" dxfId="176" priority="180" stopIfTrue="1" operator="lessThan">
      <formula>0</formula>
    </cfRule>
    <cfRule type="cellIs" dxfId="175" priority="181" stopIfTrue="1" operator="equal">
      <formula>0</formula>
    </cfRule>
  </conditionalFormatting>
  <conditionalFormatting sqref="L86">
    <cfRule type="cellIs" dxfId="174" priority="170" operator="equal">
      <formula>0</formula>
    </cfRule>
    <cfRule type="cellIs" dxfId="173" priority="171" operator="lessThan">
      <formula>0</formula>
    </cfRule>
    <cfRule type="cellIs" dxfId="172" priority="172" operator="greaterThan">
      <formula>0</formula>
    </cfRule>
  </conditionalFormatting>
  <conditionalFormatting sqref="L86">
    <cfRule type="cellIs" dxfId="171" priority="173" stopIfTrue="1" operator="greaterThan">
      <formula>0</formula>
    </cfRule>
    <cfRule type="cellIs" dxfId="170" priority="174" stopIfTrue="1" operator="lessThan">
      <formula>0</formula>
    </cfRule>
    <cfRule type="cellIs" dxfId="169" priority="175" stopIfTrue="1" operator="equal">
      <formula>0</formula>
    </cfRule>
  </conditionalFormatting>
  <conditionalFormatting sqref="G12:G13">
    <cfRule type="cellIs" dxfId="168" priority="167" stopIfTrue="1" operator="greaterThan">
      <formula>0</formula>
    </cfRule>
    <cfRule type="cellIs" dxfId="167" priority="168" stopIfTrue="1" operator="lessThan">
      <formula>0</formula>
    </cfRule>
    <cfRule type="cellIs" dxfId="166" priority="169" stopIfTrue="1" operator="equal">
      <formula>0</formula>
    </cfRule>
  </conditionalFormatting>
  <conditionalFormatting sqref="G12:G13">
    <cfRule type="cellIs" dxfId="165" priority="164" operator="equal">
      <formula>0</formula>
    </cfRule>
    <cfRule type="cellIs" dxfId="164" priority="165" operator="lessThan">
      <formula>0</formula>
    </cfRule>
    <cfRule type="cellIs" dxfId="163" priority="166" operator="greaterThan">
      <formula>0</formula>
    </cfRule>
  </conditionalFormatting>
  <conditionalFormatting sqref="G12:G13">
    <cfRule type="cellIs" dxfId="162" priority="161" stopIfTrue="1" operator="greaterThan">
      <formula>0</formula>
    </cfRule>
    <cfRule type="cellIs" dxfId="161" priority="162" stopIfTrue="1" operator="lessThan">
      <formula>0</formula>
    </cfRule>
    <cfRule type="cellIs" dxfId="160" priority="163" stopIfTrue="1" operator="equal">
      <formula>0</formula>
    </cfRule>
  </conditionalFormatting>
  <conditionalFormatting sqref="G12:G13">
    <cfRule type="cellIs" dxfId="159" priority="158" operator="equal">
      <formula>0</formula>
    </cfRule>
    <cfRule type="cellIs" dxfId="158" priority="159" operator="lessThan">
      <formula>0</formula>
    </cfRule>
    <cfRule type="cellIs" dxfId="157" priority="160" operator="greaterThan">
      <formula>0</formula>
    </cfRule>
  </conditionalFormatting>
  <conditionalFormatting sqref="L12:L13">
    <cfRule type="cellIs" dxfId="156" priority="152" operator="equal">
      <formula>0</formula>
    </cfRule>
    <cfRule type="cellIs" dxfId="155" priority="153" operator="lessThan">
      <formula>0</formula>
    </cfRule>
    <cfRule type="cellIs" dxfId="154" priority="154" operator="greaterThan">
      <formula>0</formula>
    </cfRule>
  </conditionalFormatting>
  <conditionalFormatting sqref="L12:L13">
    <cfRule type="cellIs" dxfId="153" priority="155" stopIfTrue="1" operator="greaterThan">
      <formula>0</formula>
    </cfRule>
    <cfRule type="cellIs" dxfId="152" priority="156" stopIfTrue="1" operator="lessThan">
      <formula>0</formula>
    </cfRule>
    <cfRule type="cellIs" dxfId="151" priority="157" stopIfTrue="1" operator="equal">
      <formula>0</formula>
    </cfRule>
  </conditionalFormatting>
  <conditionalFormatting sqref="G30:G31">
    <cfRule type="cellIs" dxfId="150" priority="143" stopIfTrue="1" operator="greaterThan">
      <formula>0</formula>
    </cfRule>
    <cfRule type="cellIs" dxfId="149" priority="144" stopIfTrue="1" operator="lessThan">
      <formula>0</formula>
    </cfRule>
    <cfRule type="cellIs" dxfId="148" priority="145" stopIfTrue="1" operator="equal">
      <formula>0</formula>
    </cfRule>
  </conditionalFormatting>
  <conditionalFormatting sqref="G30:G31">
    <cfRule type="cellIs" dxfId="147" priority="140" operator="equal">
      <formula>0</formula>
    </cfRule>
    <cfRule type="cellIs" dxfId="146" priority="141" operator="lessThan">
      <formula>0</formula>
    </cfRule>
    <cfRule type="cellIs" dxfId="145" priority="142" operator="greaterThan">
      <formula>0</formula>
    </cfRule>
  </conditionalFormatting>
  <conditionalFormatting sqref="L30:L31">
    <cfRule type="cellIs" dxfId="144" priority="146" operator="equal">
      <formula>0</formula>
    </cfRule>
    <cfRule type="cellIs" dxfId="143" priority="147" operator="lessThan">
      <formula>0</formula>
    </cfRule>
    <cfRule type="cellIs" dxfId="142" priority="148" operator="greaterThan">
      <formula>0</formula>
    </cfRule>
  </conditionalFormatting>
  <conditionalFormatting sqref="L30:L31">
    <cfRule type="cellIs" dxfId="141" priority="149" stopIfTrue="1" operator="greaterThan">
      <formula>0</formula>
    </cfRule>
    <cfRule type="cellIs" dxfId="140" priority="150" stopIfTrue="1" operator="lessThan">
      <formula>0</formula>
    </cfRule>
    <cfRule type="cellIs" dxfId="139" priority="151" stopIfTrue="1" operator="equal">
      <formula>0</formula>
    </cfRule>
  </conditionalFormatting>
  <conditionalFormatting sqref="G30:G31">
    <cfRule type="cellIs" dxfId="138" priority="137" stopIfTrue="1" operator="greaterThan">
      <formula>0</formula>
    </cfRule>
    <cfRule type="cellIs" dxfId="137" priority="138" stopIfTrue="1" operator="lessThan">
      <formula>0</formula>
    </cfRule>
    <cfRule type="cellIs" dxfId="136" priority="139" stopIfTrue="1" operator="equal">
      <formula>0</formula>
    </cfRule>
  </conditionalFormatting>
  <conditionalFormatting sqref="G30:G31">
    <cfRule type="cellIs" dxfId="135" priority="134" operator="equal">
      <formula>0</formula>
    </cfRule>
    <cfRule type="cellIs" dxfId="134" priority="135" operator="lessThan">
      <formula>0</formula>
    </cfRule>
    <cfRule type="cellIs" dxfId="133" priority="136" operator="greaterThan">
      <formula>0</formula>
    </cfRule>
  </conditionalFormatting>
  <conditionalFormatting sqref="G48:G49">
    <cfRule type="cellIs" dxfId="132" priority="131" stopIfTrue="1" operator="greaterThan">
      <formula>0</formula>
    </cfRule>
    <cfRule type="cellIs" dxfId="131" priority="132" stopIfTrue="1" operator="lessThan">
      <formula>0</formula>
    </cfRule>
    <cfRule type="cellIs" dxfId="130" priority="133" stopIfTrue="1" operator="equal">
      <formula>0</formula>
    </cfRule>
  </conditionalFormatting>
  <conditionalFormatting sqref="G48:G49">
    <cfRule type="cellIs" dxfId="129" priority="128" operator="equal">
      <formula>0</formula>
    </cfRule>
    <cfRule type="cellIs" dxfId="128" priority="129" operator="lessThan">
      <formula>0</formula>
    </cfRule>
    <cfRule type="cellIs" dxfId="127" priority="130" operator="greaterThan">
      <formula>0</formula>
    </cfRule>
  </conditionalFormatting>
  <conditionalFormatting sqref="G48:G49">
    <cfRule type="cellIs" dxfId="126" priority="125" stopIfTrue="1" operator="greaterThan">
      <formula>0</formula>
    </cfRule>
    <cfRule type="cellIs" dxfId="125" priority="126" stopIfTrue="1" operator="lessThan">
      <formula>0</formula>
    </cfRule>
    <cfRule type="cellIs" dxfId="124" priority="127" stopIfTrue="1" operator="equal">
      <formula>0</formula>
    </cfRule>
  </conditionalFormatting>
  <conditionalFormatting sqref="G48:G49">
    <cfRule type="cellIs" dxfId="123" priority="122" operator="equal">
      <formula>0</formula>
    </cfRule>
    <cfRule type="cellIs" dxfId="122" priority="123" operator="lessThan">
      <formula>0</formula>
    </cfRule>
    <cfRule type="cellIs" dxfId="121" priority="124" operator="greaterThan">
      <formula>0</formula>
    </cfRule>
  </conditionalFormatting>
  <conditionalFormatting sqref="L48:L49">
    <cfRule type="cellIs" dxfId="120" priority="116" operator="equal">
      <formula>0</formula>
    </cfRule>
    <cfRule type="cellIs" dxfId="119" priority="117" operator="lessThan">
      <formula>0</formula>
    </cfRule>
    <cfRule type="cellIs" dxfId="118" priority="118" operator="greaterThan">
      <formula>0</formula>
    </cfRule>
  </conditionalFormatting>
  <conditionalFormatting sqref="L48:L49">
    <cfRule type="cellIs" dxfId="117" priority="119" stopIfTrue="1" operator="greaterThan">
      <formula>0</formula>
    </cfRule>
    <cfRule type="cellIs" dxfId="116" priority="120" stopIfTrue="1" operator="lessThan">
      <formula>0</formula>
    </cfRule>
    <cfRule type="cellIs" dxfId="115" priority="121" stopIfTrue="1" operator="equal">
      <formula>0</formula>
    </cfRule>
  </conditionalFormatting>
  <conditionalFormatting sqref="G71:G72">
    <cfRule type="cellIs" dxfId="114" priority="113" stopIfTrue="1" operator="greaterThan">
      <formula>0</formula>
    </cfRule>
    <cfRule type="cellIs" dxfId="113" priority="114" stopIfTrue="1" operator="lessThan">
      <formula>0</formula>
    </cfRule>
    <cfRule type="cellIs" dxfId="112" priority="115" stopIfTrue="1" operator="equal">
      <formula>0</formula>
    </cfRule>
  </conditionalFormatting>
  <conditionalFormatting sqref="G71:G72">
    <cfRule type="cellIs" dxfId="111" priority="110" operator="equal">
      <formula>0</formula>
    </cfRule>
    <cfRule type="cellIs" dxfId="110" priority="111" operator="lessThan">
      <formula>0</formula>
    </cfRule>
    <cfRule type="cellIs" dxfId="109" priority="112" operator="greaterThan">
      <formula>0</formula>
    </cfRule>
  </conditionalFormatting>
  <conditionalFormatting sqref="G71:G72">
    <cfRule type="cellIs" dxfId="108" priority="107" stopIfTrue="1" operator="greaterThan">
      <formula>0</formula>
    </cfRule>
    <cfRule type="cellIs" dxfId="107" priority="108" stopIfTrue="1" operator="lessThan">
      <formula>0</formula>
    </cfRule>
    <cfRule type="cellIs" dxfId="106" priority="109" stopIfTrue="1" operator="equal">
      <formula>0</formula>
    </cfRule>
  </conditionalFormatting>
  <conditionalFormatting sqref="G71:G72">
    <cfRule type="cellIs" dxfId="105" priority="104" operator="equal">
      <formula>0</formula>
    </cfRule>
    <cfRule type="cellIs" dxfId="104" priority="105" operator="lessThan">
      <formula>0</formula>
    </cfRule>
    <cfRule type="cellIs" dxfId="103" priority="106" operator="greaterThan">
      <formula>0</formula>
    </cfRule>
  </conditionalFormatting>
  <conditionalFormatting sqref="L71:L72">
    <cfRule type="cellIs" dxfId="102" priority="98" operator="equal">
      <formula>0</formula>
    </cfRule>
    <cfRule type="cellIs" dxfId="101" priority="99" operator="lessThan">
      <formula>0</formula>
    </cfRule>
    <cfRule type="cellIs" dxfId="100" priority="100" operator="greaterThan">
      <formula>0</formula>
    </cfRule>
  </conditionalFormatting>
  <conditionalFormatting sqref="L71:L72">
    <cfRule type="cellIs" dxfId="99" priority="101" stopIfTrue="1" operator="greaterThan">
      <formula>0</formula>
    </cfRule>
    <cfRule type="cellIs" dxfId="98" priority="102" stopIfTrue="1" operator="lessThan">
      <formula>0</formula>
    </cfRule>
    <cfRule type="cellIs" dxfId="97" priority="103" stopIfTrue="1" operator="equal">
      <formula>0</formula>
    </cfRule>
  </conditionalFormatting>
  <conditionalFormatting sqref="G14">
    <cfRule type="cellIs" dxfId="96" priority="95" stopIfTrue="1" operator="greaterThan">
      <formula>0</formula>
    </cfRule>
    <cfRule type="cellIs" dxfId="95" priority="96" stopIfTrue="1" operator="lessThan">
      <formula>0</formula>
    </cfRule>
    <cfRule type="cellIs" dxfId="94" priority="97" stopIfTrue="1" operator="equal">
      <formula>0</formula>
    </cfRule>
  </conditionalFormatting>
  <conditionalFormatting sqref="G14">
    <cfRule type="cellIs" dxfId="93" priority="92" operator="equal">
      <formula>0</formula>
    </cfRule>
    <cfRule type="cellIs" dxfId="92" priority="93" operator="lessThan">
      <formula>0</formula>
    </cfRule>
    <cfRule type="cellIs" dxfId="91" priority="94" operator="greaterThan">
      <formula>0</formula>
    </cfRule>
  </conditionalFormatting>
  <conditionalFormatting sqref="G14">
    <cfRule type="cellIs" dxfId="90" priority="89" stopIfTrue="1" operator="greaterThan">
      <formula>0</formula>
    </cfRule>
    <cfRule type="cellIs" dxfId="89" priority="90" stopIfTrue="1" operator="lessThan">
      <formula>0</formula>
    </cfRule>
    <cfRule type="cellIs" dxfId="88" priority="91" stopIfTrue="1" operator="equal">
      <formula>0</formula>
    </cfRule>
  </conditionalFormatting>
  <conditionalFormatting sqref="G14">
    <cfRule type="cellIs" dxfId="87" priority="86" operator="equal">
      <formula>0</formula>
    </cfRule>
    <cfRule type="cellIs" dxfId="86" priority="87" operator="lessThan">
      <formula>0</formula>
    </cfRule>
    <cfRule type="cellIs" dxfId="85" priority="88" operator="greaterThan">
      <formula>0</formula>
    </cfRule>
  </conditionalFormatting>
  <conditionalFormatting sqref="L14">
    <cfRule type="cellIs" dxfId="84" priority="80" operator="equal">
      <formula>0</formula>
    </cfRule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L14">
    <cfRule type="cellIs" dxfId="81" priority="83" stopIfTrue="1" operator="greaterThan">
      <formula>0</formula>
    </cfRule>
    <cfRule type="cellIs" dxfId="80" priority="84" stopIfTrue="1" operator="lessThan">
      <formula>0</formula>
    </cfRule>
    <cfRule type="cellIs" dxfId="79" priority="85" stopIfTrue="1" operator="equal">
      <formula>0</formula>
    </cfRule>
  </conditionalFormatting>
  <conditionalFormatting sqref="G32">
    <cfRule type="cellIs" dxfId="78" priority="77" stopIfTrue="1" operator="greaterThan">
      <formula>0</formula>
    </cfRule>
    <cfRule type="cellIs" dxfId="77" priority="78" stopIfTrue="1" operator="lessThan">
      <formula>0</formula>
    </cfRule>
    <cfRule type="cellIs" dxfId="76" priority="79" stopIfTrue="1" operator="equal">
      <formula>0</formula>
    </cfRule>
  </conditionalFormatting>
  <conditionalFormatting sqref="G32">
    <cfRule type="cellIs" dxfId="75" priority="74" operator="equal">
      <formula>0</formula>
    </cfRule>
    <cfRule type="cellIs" dxfId="74" priority="75" operator="lessThan">
      <formula>0</formula>
    </cfRule>
    <cfRule type="cellIs" dxfId="73" priority="76" operator="greaterThan">
      <formula>0</formula>
    </cfRule>
  </conditionalFormatting>
  <conditionalFormatting sqref="G32">
    <cfRule type="cellIs" dxfId="72" priority="71" stopIfTrue="1" operator="greaterThan">
      <formula>0</formula>
    </cfRule>
    <cfRule type="cellIs" dxfId="71" priority="72" stopIfTrue="1" operator="lessThan">
      <formula>0</formula>
    </cfRule>
    <cfRule type="cellIs" dxfId="70" priority="73" stopIfTrue="1" operator="equal">
      <formula>0</formula>
    </cfRule>
  </conditionalFormatting>
  <conditionalFormatting sqref="G32">
    <cfRule type="cellIs" dxfId="69" priority="68" operator="equal">
      <formula>0</formula>
    </cfRule>
    <cfRule type="cellIs" dxfId="68" priority="69" operator="lessThan">
      <formula>0</formula>
    </cfRule>
    <cfRule type="cellIs" dxfId="67" priority="70" operator="greaterThan">
      <formula>0</formula>
    </cfRule>
  </conditionalFormatting>
  <conditionalFormatting sqref="L32">
    <cfRule type="cellIs" dxfId="66" priority="62" operator="equal">
      <formula>0</formula>
    </cfRule>
    <cfRule type="cellIs" dxfId="65" priority="63" operator="lessThan">
      <formula>0</formula>
    </cfRule>
    <cfRule type="cellIs" dxfId="64" priority="64" operator="greaterThan">
      <formula>0</formula>
    </cfRule>
  </conditionalFormatting>
  <conditionalFormatting sqref="L32">
    <cfRule type="cellIs" dxfId="63" priority="65" stopIfTrue="1" operator="greaterThan">
      <formula>0</formula>
    </cfRule>
    <cfRule type="cellIs" dxfId="62" priority="66" stopIfTrue="1" operator="lessThan">
      <formula>0</formula>
    </cfRule>
    <cfRule type="cellIs" dxfId="61" priority="67" stopIfTrue="1" operator="equal">
      <formula>0</formula>
    </cfRule>
  </conditionalFormatting>
  <conditionalFormatting sqref="G50">
    <cfRule type="cellIs" dxfId="60" priority="59" stopIfTrue="1" operator="greaterThan">
      <formula>0</formula>
    </cfRule>
    <cfRule type="cellIs" dxfId="59" priority="60" stopIfTrue="1" operator="lessThan">
      <formula>0</formula>
    </cfRule>
    <cfRule type="cellIs" dxfId="58" priority="61" stopIfTrue="1" operator="equal">
      <formula>0</formula>
    </cfRule>
  </conditionalFormatting>
  <conditionalFormatting sqref="G50">
    <cfRule type="cellIs" dxfId="57" priority="56" operator="equal">
      <formula>0</formula>
    </cfRule>
    <cfRule type="cellIs" dxfId="56" priority="57" operator="lessThan">
      <formula>0</formula>
    </cfRule>
    <cfRule type="cellIs" dxfId="55" priority="58" operator="greaterThan">
      <formula>0</formula>
    </cfRule>
  </conditionalFormatting>
  <conditionalFormatting sqref="G50">
    <cfRule type="cellIs" dxfId="54" priority="53" stopIfTrue="1" operator="greaterThan">
      <formula>0</formula>
    </cfRule>
    <cfRule type="cellIs" dxfId="53" priority="54" stopIfTrue="1" operator="lessThan">
      <formula>0</formula>
    </cfRule>
    <cfRule type="cellIs" dxfId="52" priority="55" stopIfTrue="1" operator="equal">
      <formula>0</formula>
    </cfRule>
  </conditionalFormatting>
  <conditionalFormatting sqref="G50">
    <cfRule type="cellIs" dxfId="51" priority="50" operator="equal">
      <formula>0</formula>
    </cfRule>
    <cfRule type="cellIs" dxfId="50" priority="51" operator="lessThan">
      <formula>0</formula>
    </cfRule>
    <cfRule type="cellIs" dxfId="49" priority="52" operator="greaterThan">
      <formula>0</formula>
    </cfRule>
  </conditionalFormatting>
  <conditionalFormatting sqref="L50">
    <cfRule type="cellIs" dxfId="48" priority="44" operator="equal">
      <formula>0</formula>
    </cfRule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L50">
    <cfRule type="cellIs" dxfId="45" priority="47" stopIfTrue="1" operator="greaterThan">
      <formula>0</formula>
    </cfRule>
    <cfRule type="cellIs" dxfId="44" priority="48" stopIfTrue="1" operator="lessThan">
      <formula>0</formula>
    </cfRule>
    <cfRule type="cellIs" dxfId="43" priority="49" stopIfTrue="1" operator="equal">
      <formula>0</formula>
    </cfRule>
  </conditionalFormatting>
  <conditionalFormatting sqref="G73">
    <cfRule type="cellIs" dxfId="42" priority="41" stopIfTrue="1" operator="greaterThan">
      <formula>0</formula>
    </cfRule>
    <cfRule type="cellIs" dxfId="41" priority="42" stopIfTrue="1" operator="lessThan">
      <formula>0</formula>
    </cfRule>
    <cfRule type="cellIs" dxfId="40" priority="43" stopIfTrue="1" operator="equal">
      <formula>0</formula>
    </cfRule>
  </conditionalFormatting>
  <conditionalFormatting sqref="G73">
    <cfRule type="cellIs" dxfId="39" priority="38" operator="equal">
      <formula>0</formula>
    </cfRule>
    <cfRule type="cellIs" dxfId="38" priority="39" operator="lessThan">
      <formula>0</formula>
    </cfRule>
    <cfRule type="cellIs" dxfId="37" priority="40" operator="greaterThan">
      <formula>0</formula>
    </cfRule>
  </conditionalFormatting>
  <conditionalFormatting sqref="G73">
    <cfRule type="cellIs" dxfId="36" priority="35" stopIfTrue="1" operator="greaterThan">
      <formula>0</formula>
    </cfRule>
    <cfRule type="cellIs" dxfId="35" priority="36" stopIfTrue="1" operator="lessThan">
      <formula>0</formula>
    </cfRule>
    <cfRule type="cellIs" dxfId="34" priority="37" stopIfTrue="1" operator="equal">
      <formula>0</formula>
    </cfRule>
  </conditionalFormatting>
  <conditionalFormatting sqref="G73">
    <cfRule type="cellIs" dxfId="33" priority="32" operator="equal">
      <formula>0</formula>
    </cfRule>
    <cfRule type="cellIs" dxfId="32" priority="33" operator="lessThan">
      <formula>0</formula>
    </cfRule>
    <cfRule type="cellIs" dxfId="31" priority="34" operator="greaterThan">
      <formula>0</formula>
    </cfRule>
  </conditionalFormatting>
  <conditionalFormatting sqref="L73">
    <cfRule type="cellIs" dxfId="30" priority="26" operator="equal">
      <formula>0</formula>
    </cfRule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L73">
    <cfRule type="cellIs" dxfId="27" priority="29" stopIfTrue="1" operator="greaterThan">
      <formula>0</formula>
    </cfRule>
    <cfRule type="cellIs" dxfId="26" priority="30" stopIfTrue="1" operator="lessThan">
      <formula>0</formula>
    </cfRule>
    <cfRule type="cellIs" dxfId="25" priority="31" stopIfTrue="1" operator="equal">
      <formula>0</formula>
    </cfRule>
  </conditionalFormatting>
  <conditionalFormatting sqref="G290:G292">
    <cfRule type="cellIs" dxfId="24" priority="20" operator="equal">
      <formula>0</formula>
    </cfRule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290:G292">
    <cfRule type="cellIs" dxfId="21" priority="23" stopIfTrue="1" operator="greaterThan">
      <formula>0</formula>
    </cfRule>
    <cfRule type="cellIs" dxfId="20" priority="24" stopIfTrue="1" operator="lessThan">
      <formula>0</formula>
    </cfRule>
    <cfRule type="cellIs" dxfId="19" priority="25" stopIfTrue="1" operator="equal">
      <formula>0</formula>
    </cfRule>
  </conditionalFormatting>
  <conditionalFormatting sqref="G278">
    <cfRule type="cellIs" dxfId="18" priority="14" operator="equal">
      <formula>0</formula>
    </cfRule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G278">
    <cfRule type="cellIs" dxfId="15" priority="17" stopIfTrue="1" operator="greaterThan">
      <formula>0</formula>
    </cfRule>
    <cfRule type="cellIs" dxfId="14" priority="18" stopIfTrue="1" operator="lessThan">
      <formula>0</formula>
    </cfRule>
    <cfRule type="cellIs" dxfId="13" priority="19" stopIfTrue="1" operator="equal">
      <formula>0</formula>
    </cfRule>
  </conditionalFormatting>
  <conditionalFormatting sqref="G279">
    <cfRule type="cellIs" dxfId="12" priority="8" operator="equal">
      <formula>0</formula>
    </cfRule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279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G280:G283">
    <cfRule type="cellIs" dxfId="6" priority="2" operator="equal">
      <formula>0</formula>
    </cfRule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280:G283">
    <cfRule type="cellIs" dxfId="3" priority="5" stopIfTrue="1" operator="greaterThan">
      <formula>0</formula>
    </cfRule>
    <cfRule type="cellIs" dxfId="2" priority="6" stopIfTrue="1" operator="lessThan">
      <formula>0</formula>
    </cfRule>
    <cfRule type="cellIs" dxfId="1" priority="7" stopIfTrue="1" operator="equal">
      <formula>0</formula>
    </cfRule>
  </conditionalFormatting>
  <conditionalFormatting sqref="N278">
    <cfRule type="expression" dxfId="0" priority="1">
      <formula>$C283="Todos los países"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3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agosto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2019-10-04T08:54:58+00:00</PublishingStartDate>
    <Pagina xmlns="36c86fb7-c3ab-4219-b2b9-06651c03637a" xsi:nil="true"/>
    <_dlc_DocId xmlns="8b099203-c902-4a5b-992f-1f849b15ff82">Q5F7QW3RQ55V-2035-417</_dlc_DocId>
    <_dlc_DocIdUrl xmlns="8b099203-c902-4a5b-992f-1f849b15ff82">
      <Url>http://admin.webtenerife.com/es/investigacion/Situacion-turistica/indicadores-turisticos/_layouts/DocIdRedir.aspx?ID=Q5F7QW3RQ55V-2035-417</Url>
      <Description>Q5F7QW3RQ55V-2035-417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DDD6EA-5E7E-449E-B6C2-F87F008AFBF6}"/>
</file>

<file path=customXml/itemProps2.xml><?xml version="1.0" encoding="utf-8"?>
<ds:datastoreItem xmlns:ds="http://schemas.openxmlformats.org/officeDocument/2006/customXml" ds:itemID="{61690B35-9C8B-4A6B-83A5-7B90304E84AC}"/>
</file>

<file path=customXml/itemProps3.xml><?xml version="1.0" encoding="utf-8"?>
<ds:datastoreItem xmlns:ds="http://schemas.openxmlformats.org/officeDocument/2006/customXml" ds:itemID="{1C438DD8-698A-4E2F-B018-598248B44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(agosto y acumulado 2019)</dc:title>
  <dc:creator>Manuela Rabaneda</dc:creator>
  <cp:lastModifiedBy>Manuela Rabaneda Cárdenas</cp:lastModifiedBy>
  <cp:lastPrinted>2019-09-20T12:50:42Z</cp:lastPrinted>
  <dcterms:created xsi:type="dcterms:W3CDTF">2019-09-20T12:49:30Z</dcterms:created>
  <dcterms:modified xsi:type="dcterms:W3CDTF">2019-09-20T13:09:43Z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34b0151b-66f1-4865-a26c-6c2ff1102e64</vt:lpwstr>
  </property>
</Properties>
</file>