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TDT\Turismo de Tenerife S.A\INVESTIGACION365 - General\BOLETIN ESTADÍSTICO SPET\INDICADORES TURISTICOS DE TENERIFE\2019\abril\"/>
    </mc:Choice>
  </mc:AlternateContent>
  <xr:revisionPtr revIDLastSave="3" documentId="8_{7FB8E2F4-D96A-4B32-88B8-C5987DA86FE9}" xr6:coauthVersionLast="43" xr6:coauthVersionMax="43" xr10:uidLastSave="{888FC70B-B05B-4295-9A2A-9845578230C3}"/>
  <bookViews>
    <workbookView xWindow="-120" yWindow="-120" windowWidth="29040" windowHeight="15840" xr2:uid="{9978FBC1-DC9C-4277-863A-F38DBFBFEC58}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(vinculo)'!$C$1:$M$320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(vinculo)'!$C$1:$M$322</definedName>
    <definedName name="Z_B161D6A3_44F3_469D_B50D_76D907B3525C_.wvu.Cols" localSheetId="0" hidden="1">'Ind turísticos (vinculo)'!#REF!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H310" i="1" l="1"/>
  <c r="H280" i="1"/>
  <c r="H302" i="1"/>
  <c r="H305" i="1"/>
  <c r="H309" i="1"/>
  <c r="H282" i="1"/>
  <c r="H308" i="1"/>
  <c r="H300" i="1"/>
  <c r="H311" i="1"/>
  <c r="C215" i="1"/>
  <c r="G152" i="1"/>
  <c r="E184" i="1"/>
  <c r="E242" i="1"/>
  <c r="E295" i="1" s="1"/>
  <c r="E117" i="1"/>
  <c r="I62" i="1"/>
</calcChain>
</file>

<file path=xl/sharedStrings.xml><?xml version="1.0" encoding="utf-8"?>
<sst xmlns="http://schemas.openxmlformats.org/spreadsheetml/2006/main" count="594" uniqueCount="117">
  <si>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</si>
  <si>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</si>
  <si>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</si>
  <si>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</si>
  <si>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</si>
  <si>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</si>
  <si>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</si>
  <si>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</si>
  <si>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</si>
  <si>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</si>
  <si>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</si>
  <si>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</si>
  <si>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</si>
  <si>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</si>
  <si>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</si>
  <si>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</si>
  <si>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</si>
  <si>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</si>
  <si>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</si>
  <si>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</si>
  <si>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</si>
  <si>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</si>
  <si>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</si>
  <si>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</si>
  <si>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</si>
  <si>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</si>
  <si>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</si>
  <si>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</si>
  <si>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</si>
  <si>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</si>
  <si>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</si>
  <si>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</si>
  <si>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</si>
  <si>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</si>
  <si>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</si>
  <si>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</si>
  <si>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</si>
  <si>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</si>
  <si>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</si>
  <si>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</si>
  <si>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</si>
  <si>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</si>
  <si>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</si>
  <si>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</si>
  <si>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</si>
  <si>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</si>
  <si>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</si>
  <si>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</si>
  <si>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</si>
  <si>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</si>
  <si>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</si>
  <si>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</si>
  <si>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</si>
  <si>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</si>
  <si>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</si>
  <si>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</si>
  <si>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</si>
  <si>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</si>
  <si>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</si>
  <si>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</si>
  <si>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</si>
  <si>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</si>
  <si>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</si>
  <si>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</si>
  <si>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</si>
  <si>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</si>
  <si>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</si>
  <si>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</si>
  <si>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</si>
  <si>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</si>
  <si>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</si>
  <si>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</si>
  <si>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</si>
  <si>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</si>
  <si>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</si>
  <si>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</si>
  <si>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</si>
  <si>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</si>
  <si>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</si>
  <si>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</si>
  <si>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</si>
  <si>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</si>
  <si>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</si>
  <si>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</si>
  <si>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</si>
  <si>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</si>
  <si>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</si>
  <si>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</si>
  <si>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</si>
  <si>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</si>
  <si>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</si>
  <si>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</si>
  <si>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</si>
  <si>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abril 2019</t>
  </si>
  <si>
    <t>acumulado abril 2019</t>
  </si>
  <si>
    <t>Muestra hotelera= 91,1%;   Muestra extrahotelera= 56,8%;   Muestra total= 76,0%</t>
  </si>
  <si>
    <t>El gasto medio total por turista en los primeros tres meses del año 2018ha ascendido a 1.119€. Se reduce un -6,6% respecto al mismo periodo del año anterior.</t>
  </si>
  <si>
    <t>El gasto medio por turista en origen se situó en 714€, un -12,2% menos que en los primeros tres meses del año 2018.</t>
  </si>
  <si>
    <t>El gasto total diario por turista se situó en 121€, un -2,0% menos que en el primer trimestre del año 2018.</t>
  </si>
  <si>
    <t>El gasto medio en Tenerife, por turista y día fue de 44€, experimentando un incremento del 9,4% respecto al primer trimestre de 2018.</t>
  </si>
  <si>
    <t>I trimestre 2019 
Encuesta sobre el turista que visita Tenerife, Cabildo de Tenerife</t>
  </si>
  <si>
    <t>El número de plazas autorizadas por Policía Turística a fecha de abril 2019 asciendían a 156.642 plazas, registrando un incremento del 3,6% respecto al cierre del año 2018.</t>
  </si>
  <si>
    <t>Las plazas hoteleras autorizadas ascienden a 88.529 y representan el 57% del total. Con respecto al año 2018, las plazas hoteleras se incrementan un 1,1%.</t>
  </si>
  <si>
    <t>Las plazas extrahoteleras autorizadas, el 31% del total, ascienden a  48.816 (no incluye oferta rural). Aumentan un +0,3% respecto al cierre de 2018.</t>
  </si>
  <si>
    <t>Las plazas de vivienda vacacional autorizadas, el 11% del total, ascienden a  17.798 plazas. Aumentan un +32,5% respecto al cierre de 2018.</t>
  </si>
  <si>
    <t>Las plazas de hoteles rurales autorizadas por Policía Turística ascienden a 527, con un descenso del -5,4% respecto a 2018.</t>
  </si>
  <si>
    <t>Las plazas de casas rurales autorizadas por Policía Turística ascienden a 972, registrando un incremento del 0,0% respecto a 2018.</t>
  </si>
  <si>
    <t>abril 2019 Policía Turística Cabildo de Tenerife</t>
  </si>
  <si>
    <t>Las plazas estimadas por el STDE del Cabildo de Tenerife en el I semestre de 2019 ascienden a 176.060. Se incremantan un 7,1% respecto al mismo período del año anterior.</t>
  </si>
  <si>
    <t>La oferta extrahotelera estimada por el STDE del Cabildo de Tenerife en el I semestre de 2019, asciende a 78.505 plazas, incluyendo oferta rural. Supone el 44,6% del total de las plazas turísticas, registrando un incremento del 12,4%.</t>
  </si>
  <si>
    <t>Las plazas estimadas para la zona de La Laguna, Bajamar, La Punta ascienden a 2.346 en el I semestre de 2019, registrando un incremento respecto al mismo periodo del año anterior del 49,3%.</t>
  </si>
  <si>
    <t>Las plazas extrahoteleras se estiman en 1.500, registrándose un incremento del 100,8% respecto al II semestre del año anterior.</t>
  </si>
  <si>
    <t>Las plazas totales estimadas para la zona Norte se sitúan en las 31.577 plazas,  registrándose un incremento del 7,0% con respecto al incremento del 100,8% respecto al I semestre del año anterior.</t>
  </si>
  <si>
    <t>Las plazas extrahoteleras estimadas se sitúan en las 63.909 en el II semestre del  2019, con un incremento del 9,1%  respecto al I semestre del año anterior.</t>
  </si>
  <si>
    <t>Por el Puerto de Santa Cruz de Tenerife han pasado en los primeros tres meses del año 2019, 292.033 cruceristas, un 7,4% más en comparación al mismo período del año 2018</t>
  </si>
  <si>
    <t>El número de buques de crucero en el Puerto de Santa Cruz de Tenerife hasta marzo 2019 ascienden a un total de 103 cruceros, cifra que se reduce un -14,2% respecto al mismo período del año anterior.</t>
  </si>
  <si>
    <t>Acumulado marzo 2019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</si>
</sst>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8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hidden="1"/>
    </xf>
    <xf numFmtId="3" fontId="10" fillId="0" borderId="55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right" vertical="center" wrapText="1"/>
      <protection hidden="1"/>
    </xf>
    <xf numFmtId="3" fontId="10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right" vertical="center" wrapText="1"/>
      <protection hidden="1"/>
    </xf>
    <xf numFmtId="3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10" fontId="19" fillId="0" borderId="0" xfId="1" applyNumberFormat="1" applyFont="1" applyAlignment="1" applyProtection="1">
      <alignment horizontal="center" vertical="center" wrapText="1"/>
      <protection hidden="1"/>
    </xf>
    <xf numFmtId="164" fontId="19" fillId="0" borderId="0" xfId="0" applyNumberFormat="1" applyFont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3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3" fontId="10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2" xfId="0" applyFont="1" applyFill="1" applyBorder="1" applyAlignment="1" applyProtection="1">
      <alignment horizontal="center" vertical="center" wrapText="1"/>
      <protection hidden="1"/>
    </xf>
    <xf numFmtId="3" fontId="10" fillId="7" borderId="10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Border="1" applyAlignment="1" applyProtection="1">
      <alignment horizontal="center" vertical="center" wrapText="1"/>
      <protection hidden="1"/>
    </xf>
    <xf numFmtId="3" fontId="10" fillId="0" borderId="104" xfId="0" applyNumberFormat="1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3" fontId="10" fillId="0" borderId="100" xfId="0" applyNumberFormat="1" applyFont="1" applyBorder="1" applyAlignment="1" applyProtection="1">
      <alignment horizontal="center" vertical="center" wrapText="1"/>
      <protection hidden="1"/>
    </xf>
    <xf numFmtId="0" fontId="12" fillId="0" borderId="106" xfId="0" applyFont="1" applyBorder="1" applyAlignment="1" applyProtection="1">
      <alignment horizontal="center" vertical="center" wrapText="1"/>
      <protection hidden="1"/>
    </xf>
    <xf numFmtId="3" fontId="10" fillId="0" borderId="106" xfId="0" applyNumberFormat="1" applyFont="1" applyBorder="1" applyAlignment="1" applyProtection="1">
      <alignment horizontal="center" vertical="center" wrapText="1"/>
      <protection hidden="1"/>
    </xf>
    <xf numFmtId="0" fontId="6" fillId="4" borderId="107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5" borderId="108" xfId="0" applyFont="1" applyFill="1" applyBorder="1" applyAlignment="1" applyProtection="1">
      <alignment horizontal="center" vertical="center" wrapText="1"/>
      <protection hidden="1"/>
    </xf>
    <xf numFmtId="3" fontId="10" fillId="5" borderId="9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10" xfId="0" applyFont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0" xfId="0" applyFont="1" applyFill="1" applyBorder="1" applyAlignment="1" applyProtection="1">
      <alignment horizontal="center" vertical="center" wrapText="1"/>
      <protection hidden="1"/>
    </xf>
    <xf numFmtId="3" fontId="10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5" borderId="115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3" fontId="9" fillId="5" borderId="12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28" xfId="0" applyFont="1" applyBorder="1" applyAlignment="1" applyProtection="1">
      <alignment horizontal="center" vertical="center" wrapText="1"/>
      <protection hidden="1"/>
    </xf>
    <xf numFmtId="3" fontId="10" fillId="0" borderId="129" xfId="0" applyNumberFormat="1" applyFont="1" applyBorder="1" applyAlignment="1" applyProtection="1">
      <alignment horizontal="center" vertical="center" wrapText="1"/>
      <protection hidden="1"/>
    </xf>
    <xf numFmtId="164" fontId="10" fillId="6" borderId="1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3" fontId="10" fillId="0" borderId="124" xfId="0" applyNumberFormat="1" applyFont="1" applyBorder="1" applyAlignment="1" applyProtection="1">
      <alignment horizontal="center" vertical="center" wrapText="1"/>
      <protection hidden="1"/>
    </xf>
    <xf numFmtId="0" fontId="12" fillId="7" borderId="128" xfId="0" applyFont="1" applyFill="1" applyBorder="1" applyAlignment="1" applyProtection="1">
      <alignment horizontal="center" vertical="center" wrapText="1"/>
      <protection hidden="1"/>
    </xf>
    <xf numFmtId="3" fontId="10" fillId="7" borderId="12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19" xfId="0" applyFont="1" applyFill="1" applyBorder="1" applyAlignment="1" applyProtection="1">
      <alignment horizontal="center" vertical="center" wrapText="1"/>
      <protection hidden="1"/>
    </xf>
    <xf numFmtId="0" fontId="12" fillId="7" borderId="123" xfId="0" applyFont="1" applyFill="1" applyBorder="1" applyAlignment="1" applyProtection="1">
      <alignment horizontal="center" vertical="center" wrapText="1"/>
      <protection hidden="1"/>
    </xf>
    <xf numFmtId="3" fontId="10" fillId="7" borderId="12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0" fontId="12" fillId="6" borderId="128" xfId="0" applyFont="1" applyFill="1" applyBorder="1" applyAlignment="1" applyProtection="1">
      <alignment horizontal="center" vertical="center" wrapText="1"/>
      <protection hidden="1"/>
    </xf>
    <xf numFmtId="3" fontId="10" fillId="6" borderId="12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19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Border="1" applyAlignment="1" applyProtection="1">
      <alignment horizontal="center" vertical="center" wrapText="1"/>
      <protection hidden="1"/>
    </xf>
    <xf numFmtId="3" fontId="10" fillId="0" borderId="95" xfId="0" applyNumberFormat="1" applyFont="1" applyBorder="1" applyAlignment="1" applyProtection="1">
      <alignment horizontal="center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3" fontId="10" fillId="7" borderId="14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4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3" xfId="0" applyFont="1" applyBorder="1" applyAlignment="1" applyProtection="1">
      <alignment vertical="center" wrapText="1"/>
      <protection hidden="1"/>
    </xf>
    <xf numFmtId="0" fontId="2" fillId="0" borderId="0" xfId="0" applyFont="1"/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Alignment="1" applyProtection="1">
      <alignment horizontal="center"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Alignment="1" applyProtection="1">
      <alignment horizontal="left" vertical="center" wrapText="1"/>
      <protection hidden="1"/>
    </xf>
    <xf numFmtId="0" fontId="2" fillId="7" borderId="97" xfId="0" applyFont="1" applyFill="1" applyBorder="1" applyAlignment="1" applyProtection="1">
      <alignment horizontal="left" vertical="center" wrapText="1"/>
      <protection hidden="1"/>
    </xf>
    <xf numFmtId="0" fontId="12" fillId="0" borderId="98" xfId="0" applyFont="1" applyBorder="1" applyAlignment="1" applyProtection="1">
      <alignment horizontal="center" vertical="center" wrapText="1"/>
      <protection hidden="1"/>
    </xf>
    <xf numFmtId="0" fontId="12" fillId="0" borderId="103" xfId="0" applyFont="1" applyBorder="1" applyAlignment="1" applyProtection="1">
      <alignment horizontal="center" vertical="center" wrapText="1"/>
      <protection hidden="1"/>
    </xf>
    <xf numFmtId="0" fontId="12" fillId="0" borderId="99" xfId="0" applyFont="1" applyBorder="1" applyAlignment="1" applyProtection="1">
      <alignment horizontal="center" vertical="center" wrapText="1"/>
      <protection hidden="1"/>
    </xf>
    <xf numFmtId="0" fontId="12" fillId="0" borderId="105" xfId="0" applyFont="1" applyBorder="1" applyAlignment="1" applyProtection="1">
      <alignment horizontal="center" vertical="center" wrapText="1"/>
      <protection hidden="1"/>
    </xf>
    <xf numFmtId="0" fontId="2" fillId="0" borderId="96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2" fillId="5" borderId="95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0" fontId="2" fillId="0" borderId="111" xfId="0" applyFont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2" fillId="7" borderId="129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0" xfId="0" applyFont="1" applyFill="1" applyBorder="1" applyAlignment="1" applyProtection="1">
      <alignment horizontal="justify" vertical="center" wrapText="1"/>
      <protection hidden="1"/>
    </xf>
    <xf numFmtId="0" fontId="2" fillId="7" borderId="124" xfId="0" applyFont="1" applyFill="1" applyBorder="1" applyAlignment="1" applyProtection="1">
      <alignment horizontal="justify" vertical="center" wrapText="1"/>
      <protection hidden="1"/>
    </xf>
    <xf numFmtId="0" fontId="2" fillId="7" borderId="125" xfId="0" applyFont="1" applyFill="1" applyBorder="1" applyAlignment="1" applyProtection="1">
      <alignment horizontal="justify" vertical="center" wrapText="1"/>
      <protection hidden="1"/>
    </xf>
    <xf numFmtId="0" fontId="12" fillId="0" borderId="135" xfId="0" applyFont="1" applyBorder="1" applyAlignment="1" applyProtection="1">
      <alignment horizontal="center" vertical="center" wrapText="1"/>
      <protection hidden="1"/>
    </xf>
    <xf numFmtId="0" fontId="12" fillId="0" borderId="136" xfId="0" applyFont="1" applyBorder="1" applyAlignment="1" applyProtection="1">
      <alignment horizontal="center" vertical="center" wrapText="1"/>
      <protection hidden="1"/>
    </xf>
    <xf numFmtId="0" fontId="12" fillId="0" borderId="117" xfId="0" applyFont="1" applyBorder="1" applyAlignment="1" applyProtection="1">
      <alignment horizontal="center" vertical="center" wrapText="1"/>
      <protection hidden="1"/>
    </xf>
    <xf numFmtId="0" fontId="12" fillId="0" borderId="118" xfId="0" applyFont="1" applyBorder="1" applyAlignment="1" applyProtection="1">
      <alignment horizontal="center" vertical="center" wrapText="1"/>
      <protection hidden="1"/>
    </xf>
    <xf numFmtId="0" fontId="12" fillId="0" borderId="121" xfId="0" applyFont="1" applyBorder="1" applyAlignment="1" applyProtection="1">
      <alignment horizontal="center" vertical="center" wrapText="1"/>
      <protection hidden="1"/>
    </xf>
    <xf numFmtId="0" fontId="12" fillId="0" borderId="122" xfId="0" applyFont="1" applyBorder="1" applyAlignment="1" applyProtection="1">
      <alignment horizontal="center" vertical="center" wrapText="1"/>
      <protection hidden="1"/>
    </xf>
    <xf numFmtId="0" fontId="2" fillId="0" borderId="129" xfId="0" applyFont="1" applyBorder="1" applyAlignment="1" applyProtection="1">
      <alignment horizontal="justify" vertical="center" wrapText="1"/>
      <protection hidden="1"/>
    </xf>
    <xf numFmtId="0" fontId="2" fillId="0" borderId="130" xfId="0" applyFont="1" applyBorder="1" applyAlignment="1" applyProtection="1">
      <alignment horizontal="justify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20" xfId="0" applyFont="1" applyBorder="1" applyAlignment="1" applyProtection="1">
      <alignment horizontal="justify" vertical="center" wrapText="1"/>
      <protection hidden="1"/>
    </xf>
    <xf numFmtId="0" fontId="2" fillId="0" borderId="124" xfId="0" applyFont="1" applyBorder="1" applyAlignment="1" applyProtection="1">
      <alignment horizontal="justify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8" fillId="5" borderId="113" xfId="0" applyFont="1" applyFill="1" applyBorder="1" applyAlignment="1" applyProtection="1">
      <alignment horizontal="center" vertical="center" wrapText="1"/>
      <protection hidden="1"/>
    </xf>
    <xf numFmtId="0" fontId="8" fillId="5" borderId="114" xfId="0" applyFont="1" applyFill="1" applyBorder="1" applyAlignment="1" applyProtection="1">
      <alignment horizontal="center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16" xfId="0" applyFont="1" applyFill="1" applyBorder="1" applyAlignment="1" applyProtection="1">
      <alignment horizontal="justify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0" xfId="0" applyFont="1" applyFill="1" applyBorder="1" applyAlignment="1" applyProtection="1">
      <alignment horizontal="justify" vertical="center" wrapText="1"/>
      <protection hidden="1"/>
    </xf>
    <xf numFmtId="0" fontId="20" fillId="5" borderId="124" xfId="0" applyFont="1" applyFill="1" applyBorder="1" applyAlignment="1" applyProtection="1">
      <alignment horizontal="justify" vertical="center" wrapText="1"/>
      <protection hidden="1"/>
    </xf>
    <xf numFmtId="0" fontId="20" fillId="5" borderId="125" xfId="0" applyFont="1" applyFill="1" applyBorder="1" applyAlignment="1" applyProtection="1">
      <alignment horizontal="justify" vertical="center" wrapText="1"/>
      <protection hidden="1"/>
    </xf>
    <xf numFmtId="0" fontId="12" fillId="0" borderId="126" xfId="0" applyFont="1" applyBorder="1" applyAlignment="1" applyProtection="1">
      <alignment horizontal="center" vertical="center" wrapText="1"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131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7" borderId="126" xfId="0" applyFont="1" applyFill="1" applyBorder="1" applyAlignment="1" applyProtection="1">
      <alignment horizontal="center" vertical="center" wrapText="1"/>
      <protection hidden="1"/>
    </xf>
    <xf numFmtId="0" fontId="12" fillId="7" borderId="127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12" fillId="6" borderId="126" xfId="0" applyFont="1" applyFill="1" applyBorder="1" applyAlignment="1" applyProtection="1">
      <alignment horizontal="center" vertical="center" wrapText="1"/>
      <protection hidden="1"/>
    </xf>
    <xf numFmtId="0" fontId="12" fillId="6" borderId="127" xfId="0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38" xfId="0" applyFont="1" applyFill="1" applyBorder="1" applyAlignment="1" applyProtection="1">
      <alignment horizontal="justify" vertical="center" wrapText="1"/>
      <protection hidden="1"/>
    </xf>
    <xf numFmtId="0" fontId="12" fillId="0" borderId="133" xfId="0" applyFont="1" applyBorder="1" applyAlignment="1" applyProtection="1">
      <alignment horizontal="center" vertical="center" wrapText="1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justify" vertical="center" wrapText="1"/>
      <protection hidden="1"/>
    </xf>
    <xf numFmtId="0" fontId="2" fillId="0" borderId="109" xfId="0" applyFont="1" applyBorder="1" applyAlignment="1" applyProtection="1">
      <alignment horizontal="justify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</cellXfs>
  <cellStyles count="3">
    <cellStyle name="Normal" xfId="0" builtinId="0"/>
    <cellStyle name="Normal 2" xfId="2" xr:uid="{C732550D-4635-42A0-AFDA-9FA2459AAF70}"/>
    <cellStyle name="Porcentaje" xfId="1" builtinId="5"/>
  </cellStyles>
  <dxfs count="283">
    <dxf>
      <font>
        <b/>
        <i val="0"/>
        <color theme="9"/>
      </font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1952FFC8-3F70-4800-8CC7-0DF2ADBE3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>
          <a:extLst>
            <a:ext uri="{FF2B5EF4-FFF2-40B4-BE49-F238E27FC236}">
              <a16:creationId xmlns:a16="http://schemas.microsoft.com/office/drawing/2014/main" id="{48B668D0-1B33-4E26-B474-8EA68DD89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>
          <a:extLst>
            <a:ext uri="{FF2B5EF4-FFF2-40B4-BE49-F238E27FC236}">
              <a16:creationId xmlns:a16="http://schemas.microsoft.com/office/drawing/2014/main" id="{F4FDE52D-4419-41DF-8AA2-943F4827C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>
          <a:extLst>
            <a:ext uri="{FF2B5EF4-FFF2-40B4-BE49-F238E27FC236}">
              <a16:creationId xmlns:a16="http://schemas.microsoft.com/office/drawing/2014/main" id="{B3B98FA0-1B8B-4849-8BFF-BA27F3BB8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2463700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1200149</xdr:colOff>
      <xdr:row>295</xdr:row>
      <xdr:rowOff>16755</xdr:rowOff>
    </xdr:to>
    <xdr:pic>
      <xdr:nvPicPr>
        <xdr:cNvPr id="6" name="2298 Imagen">
          <a:extLst>
            <a:ext uri="{FF2B5EF4-FFF2-40B4-BE49-F238E27FC236}">
              <a16:creationId xmlns:a16="http://schemas.microsoft.com/office/drawing/2014/main" id="{D8CBEE36-CFD1-4D90-9385-36EC4929B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0656450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317</xdr:row>
      <xdr:rowOff>47625</xdr:rowOff>
    </xdr:from>
    <xdr:to>
      <xdr:col>9</xdr:col>
      <xdr:colOff>390525</xdr:colOff>
      <xdr:row>318</xdr:row>
      <xdr:rowOff>314325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407BB50-0392-4708-8F66-616768D0D94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79200375"/>
          <a:ext cx="50768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T\Turismo%20de%20Tenerife%20S.A\INVESTIGACION365%20-%20General\BOLETIN%20ESTAD&#205;STICO%20SPET\INDICADORES%20TURISTICOS%20DE%20TENERIFE\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E638F-16DF-4560-B261-B117E34892AF}">
  <sheetPr published="0" codeName="Hoja2">
    <tabColor theme="5" tint="0.39997558519241921"/>
  </sheetPr>
  <dimension ref="C1:T333"/>
  <sheetViews>
    <sheetView showGridLines="0" tabSelected="1" showRuler="0" zoomScaleNormal="100" workbookViewId="0">
      <selection activeCell="B1" sqref="B1"/>
    </sheetView>
  </sheetViews>
  <sheetFormatPr baseColWidth="10" defaultRowHeight="12.75" x14ac:dyDescent="0.2"/>
  <cols>
    <col min="1" max="2" width="2.85546875" style="2" customWidth="1"/>
    <col min="3" max="3" width="20.7109375" style="2" customWidth="1"/>
    <col min="4" max="4" width="16.42578125" style="2" customWidth="1"/>
    <col min="5" max="5" width="16.140625" style="2" customWidth="1"/>
    <col min="6" max="6" width="16" style="2" customWidth="1"/>
    <col min="7" max="7" width="16.7109375" style="2" customWidth="1"/>
    <col min="8" max="9" width="16.140625" style="2" customWidth="1"/>
    <col min="10" max="10" width="16.7109375" style="2" customWidth="1"/>
    <col min="11" max="11" width="16.140625" style="2" customWidth="1"/>
    <col min="12" max="13" width="15.7109375" style="2" customWidth="1"/>
    <col min="14" max="14" width="12.140625" style="2" bestFit="1" customWidth="1"/>
    <col min="15" max="17" width="8.85546875" style="2" customWidth="1"/>
    <col min="18" max="18" width="23.28515625" style="2" customWidth="1"/>
    <col min="19" max="19" width="2.7109375" style="2" customWidth="1"/>
    <col min="20" max="20" width="23.28515625" style="2" customWidth="1"/>
    <col min="21" max="21" width="2.7109375" style="2" customWidth="1"/>
    <col min="22" max="22" width="23.28515625" style="2" customWidth="1"/>
    <col min="23" max="16384" width="11.42578125" style="2"/>
  </cols>
  <sheetData>
    <row r="1" spans="3:13" ht="50.25" customHeight="1" thickBot="1" x14ac:dyDescent="0.25">
      <c r="C1" s="1"/>
      <c r="D1" s="1"/>
      <c r="E1" s="261" t="s">
        <v>92</v>
      </c>
      <c r="F1" s="261"/>
      <c r="G1" s="261"/>
      <c r="H1" s="261"/>
      <c r="I1" s="261"/>
      <c r="J1" s="261"/>
      <c r="K1" s="261"/>
      <c r="L1" s="1"/>
      <c r="M1" s="1"/>
    </row>
    <row r="2" spans="3:13" ht="15" customHeight="1" x14ac:dyDescent="0.2">
      <c r="C2" s="262" t="s">
        <v>93</v>
      </c>
      <c r="D2" s="262"/>
      <c r="E2" s="262"/>
      <c r="F2" s="262"/>
      <c r="G2" s="262"/>
      <c r="H2" s="3"/>
      <c r="I2" s="264" t="s">
        <v>94</v>
      </c>
      <c r="J2" s="264"/>
      <c r="K2" s="264"/>
      <c r="L2" s="264"/>
      <c r="M2" s="264"/>
    </row>
    <row r="3" spans="3:13" ht="16.5" customHeight="1" thickBot="1" x14ac:dyDescent="0.25">
      <c r="C3" s="263"/>
      <c r="D3" s="263"/>
      <c r="E3" s="263"/>
      <c r="F3" s="263"/>
      <c r="G3" s="263"/>
      <c r="H3" s="4"/>
      <c r="I3" s="265"/>
      <c r="J3" s="265"/>
      <c r="K3" s="265"/>
      <c r="L3" s="265"/>
      <c r="M3" s="265"/>
    </row>
    <row r="4" spans="3:13" ht="5.25" customHeight="1" x14ac:dyDescent="0.2">
      <c r="C4" s="5"/>
      <c r="E4" s="6"/>
      <c r="F4" s="6"/>
      <c r="G4" s="7"/>
      <c r="H4" s="8"/>
      <c r="I4" s="9"/>
      <c r="J4" s="6"/>
      <c r="K4" s="10"/>
      <c r="L4" s="11"/>
      <c r="M4" s="12"/>
    </row>
    <row r="5" spans="3:13" ht="81.75" customHeight="1" x14ac:dyDescent="0.2">
      <c r="C5" s="266" t="s">
        <v>0</v>
      </c>
      <c r="D5" s="267"/>
      <c r="E5" s="13" t="s">
        <v>1</v>
      </c>
      <c r="F5" s="13" t="s">
        <v>2</v>
      </c>
      <c r="G5" s="14" t="s">
        <v>3</v>
      </c>
      <c r="H5" s="15"/>
      <c r="I5" s="16" t="s">
        <v>0</v>
      </c>
      <c r="J5" s="13" t="s">
        <v>1</v>
      </c>
      <c r="K5" s="13" t="s">
        <v>4</v>
      </c>
      <c r="L5" s="13" t="s">
        <v>3</v>
      </c>
      <c r="M5" s="14" t="s">
        <v>5</v>
      </c>
    </row>
    <row r="6" spans="3:13" ht="5.25" customHeight="1" thickBot="1" x14ac:dyDescent="0.2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3:13" ht="18.75" thickBot="1" x14ac:dyDescent="0.25">
      <c r="C7" s="268" t="s">
        <v>6</v>
      </c>
      <c r="D7" s="269"/>
      <c r="E7" s="269"/>
      <c r="F7" s="269"/>
      <c r="G7" s="269"/>
      <c r="H7" s="269"/>
      <c r="I7" s="269"/>
      <c r="J7" s="269"/>
      <c r="K7" s="269"/>
      <c r="L7" s="269"/>
      <c r="M7" s="270"/>
    </row>
    <row r="8" spans="3:13" ht="5.25" customHeight="1" thickBot="1" x14ac:dyDescent="0.25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3:13" ht="24.75" customHeight="1" x14ac:dyDescent="0.2">
      <c r="C9" s="271" t="s">
        <v>7</v>
      </c>
      <c r="D9" s="272"/>
      <c r="E9" s="20" t="s">
        <v>8</v>
      </c>
      <c r="F9" s="21">
        <v>541371</v>
      </c>
      <c r="G9" s="22">
        <v>0.16819802168208819</v>
      </c>
      <c r="H9" s="23"/>
      <c r="I9" s="277" t="s">
        <v>7</v>
      </c>
      <c r="J9" s="24" t="s">
        <v>8</v>
      </c>
      <c r="K9" s="25">
        <v>1976613</v>
      </c>
      <c r="L9" s="26">
        <v>8.3990920552641901E-2</v>
      </c>
      <c r="M9" s="279" t="s">
        <v>9</v>
      </c>
    </row>
    <row r="10" spans="3:13" ht="24.75" customHeight="1" x14ac:dyDescent="0.2">
      <c r="C10" s="273"/>
      <c r="D10" s="274"/>
      <c r="E10" s="27" t="s">
        <v>10</v>
      </c>
      <c r="F10" s="28">
        <v>360222</v>
      </c>
      <c r="G10" s="29">
        <v>0.14803011084411066</v>
      </c>
      <c r="H10" s="30"/>
      <c r="I10" s="273"/>
      <c r="J10" s="27" t="s">
        <v>10</v>
      </c>
      <c r="K10" s="28">
        <v>1309019</v>
      </c>
      <c r="L10" s="31">
        <v>6.2878629791511598E-2</v>
      </c>
      <c r="M10" s="279"/>
    </row>
    <row r="11" spans="3:13" ht="24.75" customHeight="1" thickBot="1" x14ac:dyDescent="0.25">
      <c r="C11" s="275"/>
      <c r="D11" s="276"/>
      <c r="E11" s="32" t="s">
        <v>11</v>
      </c>
      <c r="F11" s="21">
        <v>181149</v>
      </c>
      <c r="G11" s="22">
        <v>0.21048446374874707</v>
      </c>
      <c r="H11" s="30"/>
      <c r="I11" s="278"/>
      <c r="J11" s="33" t="s">
        <v>11</v>
      </c>
      <c r="K11" s="34">
        <v>667594</v>
      </c>
      <c r="L11" s="35">
        <v>0.12792120024329257</v>
      </c>
      <c r="M11" s="279"/>
    </row>
    <row r="12" spans="3:13" ht="24.75" hidden="1" customHeight="1" x14ac:dyDescent="0.2">
      <c r="C12" s="249" t="s">
        <v>12</v>
      </c>
      <c r="D12" s="250"/>
      <c r="E12" s="36" t="s">
        <v>8</v>
      </c>
      <c r="F12" s="37">
        <v>17392</v>
      </c>
      <c r="G12" s="38">
        <v>-6.9448903156768327E-2</v>
      </c>
      <c r="H12" s="39"/>
      <c r="I12" s="249" t="s">
        <v>12</v>
      </c>
      <c r="J12" s="36" t="s">
        <v>8</v>
      </c>
      <c r="K12" s="37">
        <v>82481</v>
      </c>
      <c r="L12" s="26">
        <v>1.0425088815386507E-2</v>
      </c>
      <c r="M12" s="279"/>
    </row>
    <row r="13" spans="3:13" ht="46.5" customHeight="1" thickBot="1" x14ac:dyDescent="0.25">
      <c r="C13" s="251"/>
      <c r="D13" s="252"/>
      <c r="E13" s="40" t="s">
        <v>10</v>
      </c>
      <c r="F13" s="41">
        <v>17392</v>
      </c>
      <c r="G13" s="29">
        <v>-6.9448903156768327E-2</v>
      </c>
      <c r="H13" s="39"/>
      <c r="I13" s="251"/>
      <c r="J13" s="40" t="s">
        <v>10</v>
      </c>
      <c r="K13" s="41">
        <v>82481</v>
      </c>
      <c r="L13" s="31">
        <v>1.0425088815386507E-2</v>
      </c>
      <c r="M13" s="279"/>
    </row>
    <row r="14" spans="3:13" ht="24.75" hidden="1" customHeight="1" x14ac:dyDescent="0.2">
      <c r="C14" s="253"/>
      <c r="D14" s="254"/>
      <c r="E14" s="42" t="s">
        <v>11</v>
      </c>
      <c r="F14" s="43">
        <v>0</v>
      </c>
      <c r="G14" s="44" t="s">
        <v>38</v>
      </c>
      <c r="H14" s="39"/>
      <c r="I14" s="253"/>
      <c r="J14" s="42" t="s">
        <v>11</v>
      </c>
      <c r="K14" s="43">
        <v>0</v>
      </c>
      <c r="L14" s="35" t="s">
        <v>38</v>
      </c>
      <c r="M14" s="279"/>
    </row>
    <row r="15" spans="3:13" ht="24.75" customHeight="1" x14ac:dyDescent="0.2">
      <c r="C15" s="243" t="s">
        <v>13</v>
      </c>
      <c r="D15" s="244"/>
      <c r="E15" s="45" t="s">
        <v>8</v>
      </c>
      <c r="F15" s="46">
        <v>7086</v>
      </c>
      <c r="G15" s="38">
        <v>0.23514031723897499</v>
      </c>
      <c r="H15" s="39"/>
      <c r="I15" s="243" t="s">
        <v>13</v>
      </c>
      <c r="J15" s="45" t="s">
        <v>8</v>
      </c>
      <c r="K15" s="46">
        <v>28996</v>
      </c>
      <c r="L15" s="26">
        <v>0.21383121232417945</v>
      </c>
      <c r="M15" s="279"/>
    </row>
    <row r="16" spans="3:13" ht="24.75" customHeight="1" x14ac:dyDescent="0.2">
      <c r="C16" s="245"/>
      <c r="D16" s="246"/>
      <c r="E16" s="47" t="s">
        <v>10</v>
      </c>
      <c r="F16" s="48">
        <v>4698</v>
      </c>
      <c r="G16" s="29">
        <v>9.1035764050162671E-2</v>
      </c>
      <c r="H16" s="39"/>
      <c r="I16" s="245"/>
      <c r="J16" s="47" t="s">
        <v>10</v>
      </c>
      <c r="K16" s="48">
        <v>20105</v>
      </c>
      <c r="L16" s="31">
        <v>6.8505527210884321E-2</v>
      </c>
      <c r="M16" s="279"/>
    </row>
    <row r="17" spans="3:13" ht="24.75" customHeight="1" thickBot="1" x14ac:dyDescent="0.25">
      <c r="C17" s="247"/>
      <c r="D17" s="248"/>
      <c r="E17" s="49" t="s">
        <v>11</v>
      </c>
      <c r="F17" s="50">
        <v>2388</v>
      </c>
      <c r="G17" s="44">
        <v>0.66876310272536688</v>
      </c>
      <c r="H17" s="39"/>
      <c r="I17" s="247"/>
      <c r="J17" s="49" t="s">
        <v>11</v>
      </c>
      <c r="K17" s="50">
        <v>8891</v>
      </c>
      <c r="L17" s="35">
        <v>0.75295741324921139</v>
      </c>
      <c r="M17" s="279"/>
    </row>
    <row r="18" spans="3:13" ht="24.75" customHeight="1" x14ac:dyDescent="0.2">
      <c r="C18" s="249" t="s">
        <v>14</v>
      </c>
      <c r="D18" s="250"/>
      <c r="E18" s="36" t="s">
        <v>8</v>
      </c>
      <c r="F18" s="37">
        <v>94696</v>
      </c>
      <c r="G18" s="38">
        <v>6.1352581201945755E-2</v>
      </c>
      <c r="H18" s="39"/>
      <c r="I18" s="249" t="s">
        <v>14</v>
      </c>
      <c r="J18" s="36" t="s">
        <v>8</v>
      </c>
      <c r="K18" s="37">
        <v>353244</v>
      </c>
      <c r="L18" s="26">
        <v>5.9628156440668878E-2</v>
      </c>
      <c r="M18" s="279"/>
    </row>
    <row r="19" spans="3:13" ht="24.75" customHeight="1" x14ac:dyDescent="0.2">
      <c r="C19" s="251"/>
      <c r="D19" s="252"/>
      <c r="E19" s="40" t="s">
        <v>10</v>
      </c>
      <c r="F19" s="41">
        <v>65364</v>
      </c>
      <c r="G19" s="29">
        <v>8.205824284303942E-3</v>
      </c>
      <c r="H19" s="39"/>
      <c r="I19" s="251"/>
      <c r="J19" s="40" t="s">
        <v>10</v>
      </c>
      <c r="K19" s="41">
        <v>251879</v>
      </c>
      <c r="L19" s="31">
        <v>2.6824406132923473E-2</v>
      </c>
      <c r="M19" s="279"/>
    </row>
    <row r="20" spans="3:13" ht="24.75" customHeight="1" thickBot="1" x14ac:dyDescent="0.25">
      <c r="C20" s="253"/>
      <c r="D20" s="254"/>
      <c r="E20" s="42" t="s">
        <v>11</v>
      </c>
      <c r="F20" s="43">
        <v>29332</v>
      </c>
      <c r="G20" s="44">
        <v>0.20262402624026232</v>
      </c>
      <c r="H20" s="39"/>
      <c r="I20" s="253"/>
      <c r="J20" s="42" t="s">
        <v>11</v>
      </c>
      <c r="K20" s="43">
        <v>101365</v>
      </c>
      <c r="L20" s="35">
        <v>0.15099867146604296</v>
      </c>
      <c r="M20" s="279"/>
    </row>
    <row r="21" spans="3:13" ht="24.75" customHeight="1" x14ac:dyDescent="0.2">
      <c r="C21" s="255" t="s">
        <v>15</v>
      </c>
      <c r="D21" s="256"/>
      <c r="E21" s="51" t="s">
        <v>8</v>
      </c>
      <c r="F21" s="52">
        <v>422197</v>
      </c>
      <c r="G21" s="38">
        <v>0.20705310556786505</v>
      </c>
      <c r="H21" s="39"/>
      <c r="I21" s="255" t="s">
        <v>15</v>
      </c>
      <c r="J21" s="51" t="s">
        <v>8</v>
      </c>
      <c r="K21" s="52">
        <v>1511892</v>
      </c>
      <c r="L21" s="26">
        <v>9.195384865391909E-2</v>
      </c>
      <c r="M21" s="279"/>
    </row>
    <row r="22" spans="3:13" ht="24.75" customHeight="1" x14ac:dyDescent="0.2">
      <c r="C22" s="257"/>
      <c r="D22" s="258"/>
      <c r="E22" s="53" t="s">
        <v>10</v>
      </c>
      <c r="F22" s="54">
        <v>272768</v>
      </c>
      <c r="G22" s="29">
        <v>0.20722650544820453</v>
      </c>
      <c r="H22" s="39"/>
      <c r="I22" s="257"/>
      <c r="J22" s="53" t="s">
        <v>10</v>
      </c>
      <c r="K22" s="54">
        <v>954554</v>
      </c>
      <c r="L22" s="31">
        <v>7.7576611419295283E-2</v>
      </c>
      <c r="M22" s="279"/>
    </row>
    <row r="23" spans="3:13" ht="24.75" customHeight="1" thickBot="1" x14ac:dyDescent="0.25">
      <c r="C23" s="259"/>
      <c r="D23" s="260"/>
      <c r="E23" s="55" t="s">
        <v>11</v>
      </c>
      <c r="F23" s="56">
        <v>149429</v>
      </c>
      <c r="G23" s="44">
        <v>0.20673670949454492</v>
      </c>
      <c r="H23" s="39"/>
      <c r="I23" s="259"/>
      <c r="J23" s="55" t="s">
        <v>11</v>
      </c>
      <c r="K23" s="56">
        <v>557338</v>
      </c>
      <c r="L23" s="35">
        <v>0.1174898394156485</v>
      </c>
      <c r="M23" s="279"/>
    </row>
    <row r="24" spans="3:13" ht="5.25" customHeight="1" thickBot="1" x14ac:dyDescent="0.2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3:13" ht="20.100000000000001" customHeight="1" thickBot="1" x14ac:dyDescent="0.25">
      <c r="C25" s="268" t="s">
        <v>16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70"/>
    </row>
    <row r="26" spans="3:13" ht="5.25" customHeight="1" thickBot="1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8"/>
    </row>
    <row r="27" spans="3:13" ht="24.95" customHeight="1" x14ac:dyDescent="0.2">
      <c r="C27" s="277" t="s">
        <v>7</v>
      </c>
      <c r="D27" s="280"/>
      <c r="E27" s="24" t="s">
        <v>8</v>
      </c>
      <c r="F27" s="21">
        <v>3451288</v>
      </c>
      <c r="G27" s="22">
        <v>6.9453521077879499E-2</v>
      </c>
      <c r="H27" s="23"/>
      <c r="I27" s="277" t="s">
        <v>7</v>
      </c>
      <c r="J27" s="24" t="s">
        <v>8</v>
      </c>
      <c r="K27" s="25">
        <v>14125098</v>
      </c>
      <c r="L27" s="26">
        <v>4.2781888011982128E-2</v>
      </c>
      <c r="M27" s="279" t="s">
        <v>9</v>
      </c>
    </row>
    <row r="28" spans="3:13" ht="24.95" customHeight="1" x14ac:dyDescent="0.2">
      <c r="C28" s="273"/>
      <c r="D28" s="274"/>
      <c r="E28" s="27" t="s">
        <v>10</v>
      </c>
      <c r="F28" s="28">
        <v>2173812</v>
      </c>
      <c r="G28" s="29">
        <v>4.5802812076940036E-2</v>
      </c>
      <c r="H28" s="30"/>
      <c r="I28" s="273"/>
      <c r="J28" s="27" t="s">
        <v>10</v>
      </c>
      <c r="K28" s="28">
        <v>8755316</v>
      </c>
      <c r="L28" s="31">
        <v>2.4348427351397417E-2</v>
      </c>
      <c r="M28" s="279"/>
    </row>
    <row r="29" spans="3:13" ht="24.95" customHeight="1" thickBot="1" x14ac:dyDescent="0.25">
      <c r="C29" s="278"/>
      <c r="D29" s="281"/>
      <c r="E29" s="33" t="s">
        <v>11</v>
      </c>
      <c r="F29" s="21">
        <v>1277476</v>
      </c>
      <c r="G29" s="22">
        <v>0.11225594121257765</v>
      </c>
      <c r="H29" s="30"/>
      <c r="I29" s="278"/>
      <c r="J29" s="33" t="s">
        <v>11</v>
      </c>
      <c r="K29" s="34">
        <v>5369782</v>
      </c>
      <c r="L29" s="35">
        <v>7.4302970138166557E-2</v>
      </c>
      <c r="M29" s="279"/>
    </row>
    <row r="30" spans="3:13" ht="24.95" hidden="1" customHeight="1" x14ac:dyDescent="0.2">
      <c r="C30" s="249" t="s">
        <v>12</v>
      </c>
      <c r="D30" s="250"/>
      <c r="E30" s="36" t="s">
        <v>8</v>
      </c>
      <c r="F30" s="37">
        <v>42116</v>
      </c>
      <c r="G30" s="38">
        <v>5.8137782021004059E-2</v>
      </c>
      <c r="H30" s="39"/>
      <c r="I30" s="249" t="s">
        <v>12</v>
      </c>
      <c r="J30" s="36" t="s">
        <v>8</v>
      </c>
      <c r="K30" s="37">
        <v>204482</v>
      </c>
      <c r="L30" s="26">
        <v>8.0343415665037554E-2</v>
      </c>
      <c r="M30" s="279"/>
    </row>
    <row r="31" spans="3:13" ht="48" customHeight="1" thickBot="1" x14ac:dyDescent="0.25">
      <c r="C31" s="251"/>
      <c r="D31" s="252"/>
      <c r="E31" s="40" t="s">
        <v>10</v>
      </c>
      <c r="F31" s="41">
        <v>42116</v>
      </c>
      <c r="G31" s="29">
        <v>5.8137782021004059E-2</v>
      </c>
      <c r="H31" s="39"/>
      <c r="I31" s="251"/>
      <c r="J31" s="40" t="s">
        <v>10</v>
      </c>
      <c r="K31" s="41">
        <v>204482</v>
      </c>
      <c r="L31" s="31">
        <v>8.0343415665037554E-2</v>
      </c>
      <c r="M31" s="279"/>
    </row>
    <row r="32" spans="3:13" ht="24.95" hidden="1" customHeight="1" x14ac:dyDescent="0.2">
      <c r="C32" s="253"/>
      <c r="D32" s="254"/>
      <c r="E32" s="42" t="s">
        <v>11</v>
      </c>
      <c r="F32" s="43">
        <v>0</v>
      </c>
      <c r="G32" s="44" t="s">
        <v>38</v>
      </c>
      <c r="H32" s="39"/>
      <c r="I32" s="253"/>
      <c r="J32" s="42" t="s">
        <v>11</v>
      </c>
      <c r="K32" s="43">
        <v>0</v>
      </c>
      <c r="L32" s="35" t="s">
        <v>38</v>
      </c>
      <c r="M32" s="279"/>
    </row>
    <row r="33" spans="3:13" ht="24.95" customHeight="1" x14ac:dyDescent="0.2">
      <c r="C33" s="243" t="s">
        <v>13</v>
      </c>
      <c r="D33" s="244"/>
      <c r="E33" s="45" t="s">
        <v>8</v>
      </c>
      <c r="F33" s="46">
        <v>31856</v>
      </c>
      <c r="G33" s="38">
        <v>0.55228535230484366</v>
      </c>
      <c r="H33" s="39"/>
      <c r="I33" s="243" t="s">
        <v>13</v>
      </c>
      <c r="J33" s="45" t="s">
        <v>8</v>
      </c>
      <c r="K33" s="46">
        <v>114045</v>
      </c>
      <c r="L33" s="26">
        <v>0.29874049104905942</v>
      </c>
      <c r="M33" s="279"/>
    </row>
    <row r="34" spans="3:13" ht="24.95" customHeight="1" x14ac:dyDescent="0.2">
      <c r="C34" s="245"/>
      <c r="D34" s="246"/>
      <c r="E34" s="47" t="s">
        <v>10</v>
      </c>
      <c r="F34" s="48">
        <v>12434</v>
      </c>
      <c r="G34" s="29">
        <v>6.6106490611334889E-2</v>
      </c>
      <c r="H34" s="39"/>
      <c r="I34" s="245"/>
      <c r="J34" s="47" t="s">
        <v>10</v>
      </c>
      <c r="K34" s="48">
        <v>54689</v>
      </c>
      <c r="L34" s="31">
        <v>4.3344716408798778E-2</v>
      </c>
      <c r="M34" s="279"/>
    </row>
    <row r="35" spans="3:13" ht="24.95" customHeight="1" thickBot="1" x14ac:dyDescent="0.25">
      <c r="C35" s="247"/>
      <c r="D35" s="248"/>
      <c r="E35" s="49" t="s">
        <v>11</v>
      </c>
      <c r="F35" s="50">
        <v>19422</v>
      </c>
      <c r="G35" s="44">
        <v>1.1923467660006772</v>
      </c>
      <c r="H35" s="39"/>
      <c r="I35" s="247"/>
      <c r="J35" s="49" t="s">
        <v>11</v>
      </c>
      <c r="K35" s="50">
        <v>59356</v>
      </c>
      <c r="L35" s="35">
        <v>0.67696002260206245</v>
      </c>
      <c r="M35" s="279"/>
    </row>
    <row r="36" spans="3:13" ht="24.95" customHeight="1" x14ac:dyDescent="0.2">
      <c r="C36" s="249" t="s">
        <v>14</v>
      </c>
      <c r="D36" s="250"/>
      <c r="E36" s="36" t="s">
        <v>8</v>
      </c>
      <c r="F36" s="37">
        <v>611210</v>
      </c>
      <c r="G36" s="38">
        <v>2.7355929639372389E-2</v>
      </c>
      <c r="H36" s="39"/>
      <c r="I36" s="249" t="s">
        <v>14</v>
      </c>
      <c r="J36" s="36" t="s">
        <v>8</v>
      </c>
      <c r="K36" s="37">
        <v>2564824</v>
      </c>
      <c r="L36" s="26">
        <v>1.6353114414738634E-2</v>
      </c>
      <c r="M36" s="279"/>
    </row>
    <row r="37" spans="3:13" ht="24.95" customHeight="1" x14ac:dyDescent="0.2">
      <c r="C37" s="251"/>
      <c r="D37" s="252"/>
      <c r="E37" s="40" t="s">
        <v>10</v>
      </c>
      <c r="F37" s="41">
        <v>420494</v>
      </c>
      <c r="G37" s="29">
        <v>-5.3717436775047034E-4</v>
      </c>
      <c r="H37" s="39"/>
      <c r="I37" s="251"/>
      <c r="J37" s="40" t="s">
        <v>10</v>
      </c>
      <c r="K37" s="41">
        <v>1771930</v>
      </c>
      <c r="L37" s="31">
        <v>1.553101704405746E-2</v>
      </c>
      <c r="M37" s="279"/>
    </row>
    <row r="38" spans="3:13" ht="24.95" customHeight="1" thickBot="1" x14ac:dyDescent="0.25">
      <c r="C38" s="253"/>
      <c r="D38" s="254"/>
      <c r="E38" s="42" t="s">
        <v>11</v>
      </c>
      <c r="F38" s="43">
        <v>190716</v>
      </c>
      <c r="G38" s="44">
        <v>9.471629882616317E-2</v>
      </c>
      <c r="H38" s="39"/>
      <c r="I38" s="253"/>
      <c r="J38" s="42" t="s">
        <v>11</v>
      </c>
      <c r="K38" s="43">
        <v>792894</v>
      </c>
      <c r="L38" s="35">
        <v>1.819512664933054E-2</v>
      </c>
      <c r="M38" s="279"/>
    </row>
    <row r="39" spans="3:13" ht="24.95" customHeight="1" x14ac:dyDescent="0.2">
      <c r="C39" s="255" t="s">
        <v>15</v>
      </c>
      <c r="D39" s="256"/>
      <c r="E39" s="51" t="s">
        <v>8</v>
      </c>
      <c r="F39" s="52">
        <v>2766106</v>
      </c>
      <c r="G39" s="38">
        <v>7.5514057355441144E-2</v>
      </c>
      <c r="H39" s="39"/>
      <c r="I39" s="255" t="s">
        <v>15</v>
      </c>
      <c r="J39" s="51" t="s">
        <v>8</v>
      </c>
      <c r="K39" s="52">
        <v>11241747</v>
      </c>
      <c r="L39" s="26">
        <v>4.6235491671481999E-2</v>
      </c>
      <c r="M39" s="279"/>
    </row>
    <row r="40" spans="3:13" ht="24.95" customHeight="1" x14ac:dyDescent="0.2">
      <c r="C40" s="257"/>
      <c r="D40" s="258"/>
      <c r="E40" s="53" t="s">
        <v>10</v>
      </c>
      <c r="F40" s="54">
        <v>1698768</v>
      </c>
      <c r="G40" s="29">
        <v>5.7486175790779637E-2</v>
      </c>
      <c r="H40" s="39"/>
      <c r="I40" s="257"/>
      <c r="J40" s="53" t="s">
        <v>10</v>
      </c>
      <c r="K40" s="54">
        <v>6724215</v>
      </c>
      <c r="L40" s="31">
        <v>2.4926219560710283E-2</v>
      </c>
      <c r="M40" s="279"/>
    </row>
    <row r="41" spans="3:13" ht="24.95" customHeight="1" thickBot="1" x14ac:dyDescent="0.25">
      <c r="C41" s="259"/>
      <c r="D41" s="260"/>
      <c r="E41" s="55" t="s">
        <v>11</v>
      </c>
      <c r="F41" s="56">
        <v>1067338</v>
      </c>
      <c r="G41" s="44">
        <v>0.10551016032589278</v>
      </c>
      <c r="H41" s="39"/>
      <c r="I41" s="259"/>
      <c r="J41" s="55" t="s">
        <v>11</v>
      </c>
      <c r="K41" s="56">
        <v>4517532</v>
      </c>
      <c r="L41" s="35">
        <v>7.9647164007459414E-2</v>
      </c>
      <c r="M41" s="279"/>
    </row>
    <row r="42" spans="3:13" ht="5.25" customHeight="1" thickBot="1" x14ac:dyDescent="0.25">
      <c r="C42" s="57"/>
      <c r="D42" s="57"/>
      <c r="F42" s="57"/>
      <c r="G42" s="57"/>
      <c r="H42" s="57"/>
      <c r="I42" s="57"/>
      <c r="J42" s="57"/>
      <c r="K42" s="57"/>
      <c r="L42" s="57"/>
      <c r="M42" s="57"/>
    </row>
    <row r="43" spans="3:13" ht="20.100000000000001" customHeight="1" thickBot="1" x14ac:dyDescent="0.25">
      <c r="C43" s="268" t="s">
        <v>17</v>
      </c>
      <c r="D43" s="269"/>
      <c r="E43" s="269"/>
      <c r="F43" s="269"/>
      <c r="G43" s="269"/>
      <c r="H43" s="269"/>
      <c r="I43" s="269"/>
      <c r="J43" s="269"/>
      <c r="K43" s="269"/>
      <c r="L43" s="269"/>
      <c r="M43" s="270"/>
    </row>
    <row r="44" spans="3:13" ht="5.25" customHeight="1" thickBot="1" x14ac:dyDescent="0.2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8"/>
    </row>
    <row r="45" spans="3:13" ht="24.75" customHeight="1" x14ac:dyDescent="0.2">
      <c r="C45" s="277" t="s">
        <v>7</v>
      </c>
      <c r="D45" s="280"/>
      <c r="E45" s="24" t="s">
        <v>8</v>
      </c>
      <c r="F45" s="59">
        <v>6.3750884328861357</v>
      </c>
      <c r="G45" s="60">
        <v>-0.58862298473574004</v>
      </c>
      <c r="H45" s="23"/>
      <c r="I45" s="277" t="s">
        <v>7</v>
      </c>
      <c r="J45" s="24" t="s">
        <v>8</v>
      </c>
      <c r="K45" s="59">
        <v>7.1461120613898625</v>
      </c>
      <c r="L45" s="61">
        <v>-0.28240264609739096</v>
      </c>
      <c r="M45" s="279" t="s">
        <v>9</v>
      </c>
    </row>
    <row r="46" spans="3:13" ht="24.75" customHeight="1" x14ac:dyDescent="0.2">
      <c r="C46" s="273"/>
      <c r="D46" s="274"/>
      <c r="E46" s="27" t="s">
        <v>10</v>
      </c>
      <c r="F46" s="62">
        <v>6.0346453020637272</v>
      </c>
      <c r="G46" s="63">
        <v>-0.5898870046283502</v>
      </c>
      <c r="H46" s="30"/>
      <c r="I46" s="273"/>
      <c r="J46" s="27" t="s">
        <v>10</v>
      </c>
      <c r="K46" s="62">
        <v>6.688456011715644</v>
      </c>
      <c r="L46" s="64">
        <v>-0.25158193956478581</v>
      </c>
      <c r="M46" s="279"/>
    </row>
    <row r="47" spans="3:13" ht="24.75" customHeight="1" thickBot="1" x14ac:dyDescent="0.25">
      <c r="C47" s="278"/>
      <c r="D47" s="281"/>
      <c r="E47" s="33" t="s">
        <v>11</v>
      </c>
      <c r="F47" s="65">
        <v>7.0520731552478901</v>
      </c>
      <c r="G47" s="66">
        <v>-0.62280155240329638</v>
      </c>
      <c r="H47" s="30"/>
      <c r="I47" s="278"/>
      <c r="J47" s="33" t="s">
        <v>11</v>
      </c>
      <c r="K47" s="65">
        <v>8.0434845130423582</v>
      </c>
      <c r="L47" s="67">
        <v>-0.40144858150383378</v>
      </c>
      <c r="M47" s="279"/>
    </row>
    <row r="48" spans="3:13" ht="24.75" hidden="1" customHeight="1" x14ac:dyDescent="0.2">
      <c r="C48" s="249" t="s">
        <v>12</v>
      </c>
      <c r="D48" s="250"/>
      <c r="E48" s="36" t="s">
        <v>8</v>
      </c>
      <c r="F48" s="68">
        <v>2.421573137074517</v>
      </c>
      <c r="G48" s="60">
        <v>0.29198512209324345</v>
      </c>
      <c r="H48" s="39"/>
      <c r="I48" s="249" t="s">
        <v>12</v>
      </c>
      <c r="J48" s="36" t="s">
        <v>8</v>
      </c>
      <c r="K48" s="68">
        <v>2.4791406505740716</v>
      </c>
      <c r="L48" s="61">
        <v>0.16044654301557593</v>
      </c>
      <c r="M48" s="279"/>
    </row>
    <row r="49" spans="3:13" ht="50.25" customHeight="1" thickBot="1" x14ac:dyDescent="0.25">
      <c r="C49" s="251"/>
      <c r="D49" s="252"/>
      <c r="E49" s="40" t="s">
        <v>10</v>
      </c>
      <c r="F49" s="69">
        <v>2.421573137074517</v>
      </c>
      <c r="G49" s="63">
        <v>0.29198512209324345</v>
      </c>
      <c r="H49" s="39"/>
      <c r="I49" s="251"/>
      <c r="J49" s="40" t="s">
        <v>10</v>
      </c>
      <c r="K49" s="69">
        <v>2.4791406505740716</v>
      </c>
      <c r="L49" s="64">
        <v>0.16044654301557593</v>
      </c>
      <c r="M49" s="279"/>
    </row>
    <row r="50" spans="3:13" ht="24.75" hidden="1" customHeight="1" x14ac:dyDescent="0.2">
      <c r="C50" s="253"/>
      <c r="D50" s="254"/>
      <c r="E50" s="42" t="s">
        <v>11</v>
      </c>
      <c r="F50" s="70" t="s">
        <v>38</v>
      </c>
      <c r="G50" s="66" t="s">
        <v>38</v>
      </c>
      <c r="H50" s="39"/>
      <c r="I50" s="253"/>
      <c r="J50" s="42" t="s">
        <v>11</v>
      </c>
      <c r="K50" s="70" t="e">
        <v>#DIV/0!</v>
      </c>
      <c r="L50" s="67" t="s">
        <v>38</v>
      </c>
      <c r="M50" s="279"/>
    </row>
    <row r="51" spans="3:13" ht="24.75" customHeight="1" x14ac:dyDescent="0.2">
      <c r="C51" s="243" t="s">
        <v>13</v>
      </c>
      <c r="D51" s="244"/>
      <c r="E51" s="45" t="s">
        <v>8</v>
      </c>
      <c r="F51" s="71">
        <v>4.495625176404177</v>
      </c>
      <c r="G51" s="60">
        <v>0.91849427175017651</v>
      </c>
      <c r="H51" s="39"/>
      <c r="I51" s="243" t="s">
        <v>13</v>
      </c>
      <c r="J51" s="45" t="s">
        <v>8</v>
      </c>
      <c r="K51" s="71">
        <v>3.9331287074079184</v>
      </c>
      <c r="L51" s="61">
        <v>0.25714076367047722</v>
      </c>
      <c r="M51" s="279"/>
    </row>
    <row r="52" spans="3:13" ht="24.75" customHeight="1" x14ac:dyDescent="0.2">
      <c r="C52" s="245"/>
      <c r="D52" s="246"/>
      <c r="E52" s="47" t="s">
        <v>10</v>
      </c>
      <c r="F52" s="72">
        <v>2.646658152405279</v>
      </c>
      <c r="G52" s="63">
        <v>-6.1888062179022096E-2</v>
      </c>
      <c r="H52" s="39"/>
      <c r="I52" s="245"/>
      <c r="J52" s="47" t="s">
        <v>10</v>
      </c>
      <c r="K52" s="72">
        <v>2.720169112161154</v>
      </c>
      <c r="L52" s="64">
        <v>-6.5598319811634997E-2</v>
      </c>
      <c r="M52" s="279"/>
    </row>
    <row r="53" spans="3:13" ht="24.75" customHeight="1" thickBot="1" x14ac:dyDescent="0.25">
      <c r="C53" s="247"/>
      <c r="D53" s="248"/>
      <c r="E53" s="49" t="s">
        <v>11</v>
      </c>
      <c r="F53" s="73">
        <v>8.1331658291457281</v>
      </c>
      <c r="G53" s="66">
        <v>1.9423901478040086</v>
      </c>
      <c r="H53" s="39"/>
      <c r="I53" s="247"/>
      <c r="J53" s="49" t="s">
        <v>11</v>
      </c>
      <c r="K53" s="73">
        <v>6.6759644584411202</v>
      </c>
      <c r="L53" s="67">
        <v>-0.30254500528127704</v>
      </c>
      <c r="M53" s="279"/>
    </row>
    <row r="54" spans="3:13" ht="24.75" customHeight="1" x14ac:dyDescent="0.2">
      <c r="C54" s="249" t="s">
        <v>14</v>
      </c>
      <c r="D54" s="250"/>
      <c r="E54" s="36" t="s">
        <v>8</v>
      </c>
      <c r="F54" s="68">
        <v>6.4544436935034213</v>
      </c>
      <c r="G54" s="60">
        <v>-0.21358661292324488</v>
      </c>
      <c r="H54" s="39"/>
      <c r="I54" s="249" t="s">
        <v>14</v>
      </c>
      <c r="J54" s="36" t="s">
        <v>8</v>
      </c>
      <c r="K54" s="68">
        <v>7.2607715913079911</v>
      </c>
      <c r="L54" s="61">
        <v>-0.30915455592957919</v>
      </c>
      <c r="M54" s="279"/>
    </row>
    <row r="55" spans="3:13" ht="24.75" customHeight="1" x14ac:dyDescent="0.2">
      <c r="C55" s="251"/>
      <c r="D55" s="252"/>
      <c r="E55" s="40" t="s">
        <v>10</v>
      </c>
      <c r="F55" s="69">
        <v>6.4331130285784219</v>
      </c>
      <c r="G55" s="63">
        <v>-5.6274927986237344E-2</v>
      </c>
      <c r="H55" s="39"/>
      <c r="I55" s="251"/>
      <c r="J55" s="40" t="s">
        <v>10</v>
      </c>
      <c r="K55" s="69">
        <v>7.0348460967369251</v>
      </c>
      <c r="L55" s="64">
        <v>-7.8232228082988797E-2</v>
      </c>
      <c r="M55" s="279"/>
    </row>
    <row r="56" spans="3:13" ht="24.75" customHeight="1" thickBot="1" x14ac:dyDescent="0.25">
      <c r="C56" s="253"/>
      <c r="D56" s="254"/>
      <c r="E56" s="42" t="s">
        <v>11</v>
      </c>
      <c r="F56" s="70">
        <v>6.5019773626073913</v>
      </c>
      <c r="G56" s="66">
        <v>-0.64090906625689748</v>
      </c>
      <c r="H56" s="39"/>
      <c r="I56" s="253"/>
      <c r="J56" s="42" t="s">
        <v>11</v>
      </c>
      <c r="K56" s="70">
        <v>7.8221674147881419</v>
      </c>
      <c r="L56" s="67">
        <v>-1.0202480189157423</v>
      </c>
      <c r="M56" s="279"/>
    </row>
    <row r="57" spans="3:13" ht="24.75" customHeight="1" x14ac:dyDescent="0.2">
      <c r="C57" s="255" t="s">
        <v>15</v>
      </c>
      <c r="D57" s="256"/>
      <c r="E57" s="51" t="s">
        <v>8</v>
      </c>
      <c r="F57" s="74">
        <v>6.5516950617839536</v>
      </c>
      <c r="G57" s="60">
        <v>-0.80129471735978175</v>
      </c>
      <c r="H57" s="39"/>
      <c r="I57" s="255" t="s">
        <v>15</v>
      </c>
      <c r="J57" s="51" t="s">
        <v>8</v>
      </c>
      <c r="K57" s="74">
        <v>7.4355489677834132</v>
      </c>
      <c r="L57" s="61">
        <v>-0.32491832362369699</v>
      </c>
      <c r="M57" s="279"/>
    </row>
    <row r="58" spans="3:13" ht="24.75" customHeight="1" x14ac:dyDescent="0.2">
      <c r="C58" s="257"/>
      <c r="D58" s="258"/>
      <c r="E58" s="53" t="s">
        <v>10</v>
      </c>
      <c r="F58" s="75">
        <v>6.227885969028625</v>
      </c>
      <c r="G58" s="63">
        <v>-0.88187034442680279</v>
      </c>
      <c r="H58" s="39"/>
      <c r="I58" s="257"/>
      <c r="J58" s="53" t="s">
        <v>10</v>
      </c>
      <c r="K58" s="75">
        <v>7.0443526505572231</v>
      </c>
      <c r="L58" s="64">
        <v>-0.36186792801618939</v>
      </c>
      <c r="M58" s="279"/>
    </row>
    <row r="59" spans="3:13" ht="24.75" customHeight="1" thickBot="1" x14ac:dyDescent="0.25">
      <c r="C59" s="282"/>
      <c r="D59" s="283"/>
      <c r="E59" s="76" t="s">
        <v>11</v>
      </c>
      <c r="F59" s="77">
        <v>7.142776837160123</v>
      </c>
      <c r="G59" s="78">
        <v>-0.65403166488705455</v>
      </c>
      <c r="H59" s="79"/>
      <c r="I59" s="282"/>
      <c r="J59" s="76" t="s">
        <v>11</v>
      </c>
      <c r="K59" s="77">
        <v>8.1055517477724468</v>
      </c>
      <c r="L59" s="80">
        <v>-0.28410741399688888</v>
      </c>
      <c r="M59" s="288"/>
    </row>
    <row r="60" spans="3:13" ht="13.5" thickBot="1" x14ac:dyDescent="0.25">
      <c r="C60" s="284" t="s">
        <v>95</v>
      </c>
      <c r="D60" s="285"/>
      <c r="E60" s="285"/>
      <c r="F60" s="285"/>
      <c r="G60" s="285"/>
      <c r="H60" s="285"/>
      <c r="I60" s="285"/>
      <c r="J60" s="285"/>
      <c r="K60" s="285"/>
      <c r="L60" s="285"/>
      <c r="M60" s="286"/>
    </row>
    <row r="61" spans="3:13" ht="50.25" customHeight="1" thickBot="1" x14ac:dyDescent="0.25">
      <c r="C61" s="81"/>
      <c r="D61" s="81"/>
      <c r="E61" s="287" t="s">
        <v>92</v>
      </c>
      <c r="F61" s="287"/>
      <c r="G61" s="287"/>
      <c r="H61" s="287"/>
      <c r="I61" s="287"/>
      <c r="J61" s="287"/>
      <c r="K61" s="287"/>
      <c r="L61" s="81"/>
      <c r="M61" s="81"/>
    </row>
    <row r="62" spans="3:13" ht="15" customHeight="1" x14ac:dyDescent="0.2">
      <c r="C62" s="262" t="s">
        <v>93</v>
      </c>
      <c r="D62" s="262"/>
      <c r="E62" s="262"/>
      <c r="F62" s="262"/>
      <c r="G62" s="262"/>
      <c r="H62" s="3"/>
      <c r="I62" s="264" t="str">
        <f>I2</f>
        <v>acumulado abril 2019</v>
      </c>
      <c r="J62" s="264"/>
      <c r="K62" s="264"/>
      <c r="L62" s="264"/>
      <c r="M62" s="264"/>
    </row>
    <row r="63" spans="3:13" ht="16.5" customHeight="1" thickBot="1" x14ac:dyDescent="0.25">
      <c r="C63" s="263"/>
      <c r="D63" s="263"/>
      <c r="E63" s="263"/>
      <c r="F63" s="263"/>
      <c r="G63" s="263"/>
      <c r="H63" s="4"/>
      <c r="I63" s="265"/>
      <c r="J63" s="265"/>
      <c r="K63" s="265"/>
      <c r="L63" s="265"/>
      <c r="M63" s="265"/>
    </row>
    <row r="64" spans="3:13" ht="81.75" customHeight="1" x14ac:dyDescent="0.2">
      <c r="C64" s="266" t="str">
        <f t="shared" ref="C64:G64" si="0">C5</f>
        <v>Ámbito</v>
      </c>
      <c r="D64" s="267">
        <f t="shared" si="0"/>
        <v>0</v>
      </c>
      <c r="E64" s="13" t="str">
        <f t="shared" si="0"/>
        <v>Variable</v>
      </c>
      <c r="F64" s="13" t="str">
        <f t="shared" si="0"/>
        <v>Valor absoluto
mensual</v>
      </c>
      <c r="G64" s="13" t="str">
        <f t="shared" si="0"/>
        <v>Variación respecto al período anterior</v>
      </c>
      <c r="H64" s="15"/>
      <c r="I64" s="13" t="str">
        <f>I5</f>
        <v>Ámbito</v>
      </c>
      <c r="J64" s="13" t="str">
        <f t="shared" ref="J64:M64" si="1">J5</f>
        <v>Variable</v>
      </c>
      <c r="K64" s="13" t="str">
        <f t="shared" si="1"/>
        <v>Valor absoluto
acumulado</v>
      </c>
      <c r="L64" s="13" t="str">
        <f t="shared" si="1"/>
        <v>Variación respecto al período anterior</v>
      </c>
      <c r="M64" s="14" t="str">
        <f t="shared" si="1"/>
        <v>Fuente</v>
      </c>
    </row>
    <row r="65" spans="3:13" ht="5.25" customHeight="1" thickBo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20.100000000000001" customHeight="1" thickBot="1" x14ac:dyDescent="0.25">
      <c r="C66" s="268" t="s">
        <v>18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70"/>
    </row>
    <row r="67" spans="3:13" ht="5.25" customHeight="1" thickBot="1" x14ac:dyDescent="0.2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58"/>
    </row>
    <row r="68" spans="3:13" ht="24.75" customHeight="1" x14ac:dyDescent="0.2">
      <c r="C68" s="277" t="s">
        <v>7</v>
      </c>
      <c r="D68" s="280"/>
      <c r="E68" s="24" t="s">
        <v>8</v>
      </c>
      <c r="F68" s="82">
        <v>0.65343026998371767</v>
      </c>
      <c r="G68" s="38">
        <v>-1.5801576423564168E-3</v>
      </c>
      <c r="H68" s="23"/>
      <c r="I68" s="277" t="s">
        <v>7</v>
      </c>
      <c r="J68" s="24" t="s">
        <v>8</v>
      </c>
      <c r="K68" s="82">
        <v>0.66857406565943434</v>
      </c>
      <c r="L68" s="26">
        <v>-2.6480246478601255E-2</v>
      </c>
      <c r="M68" s="279" t="s">
        <v>9</v>
      </c>
    </row>
    <row r="69" spans="3:13" ht="24.75" customHeight="1" x14ac:dyDescent="0.2">
      <c r="C69" s="273"/>
      <c r="D69" s="274"/>
      <c r="E69" s="27" t="s">
        <v>10</v>
      </c>
      <c r="F69" s="83">
        <v>0.74276459433140285</v>
      </c>
      <c r="G69" s="29">
        <v>1.3438723207478853E-2</v>
      </c>
      <c r="H69" s="30"/>
      <c r="I69" s="273"/>
      <c r="J69" s="27" t="s">
        <v>10</v>
      </c>
      <c r="K69" s="83">
        <v>0.74789571694599633</v>
      </c>
      <c r="L69" s="31">
        <v>-7.3517202799271431E-3</v>
      </c>
      <c r="M69" s="279"/>
    </row>
    <row r="70" spans="3:13" ht="24.75" customHeight="1" thickBot="1" x14ac:dyDescent="0.25">
      <c r="C70" s="278"/>
      <c r="D70" s="281"/>
      <c r="E70" s="33" t="s">
        <v>11</v>
      </c>
      <c r="F70" s="84">
        <v>0.54241810500392751</v>
      </c>
      <c r="G70" s="44">
        <v>-1.0651138464119692E-2</v>
      </c>
      <c r="H70" s="30"/>
      <c r="I70" s="278"/>
      <c r="J70" s="33" t="s">
        <v>11</v>
      </c>
      <c r="K70" s="84">
        <v>0.57000424601405431</v>
      </c>
      <c r="L70" s="35">
        <v>-4.4410210754115331E-2</v>
      </c>
      <c r="M70" s="279"/>
    </row>
    <row r="71" spans="3:13" ht="24.75" hidden="1" customHeight="1" x14ac:dyDescent="0.2">
      <c r="C71" s="249" t="s">
        <v>12</v>
      </c>
      <c r="D71" s="250"/>
      <c r="E71" s="36" t="s">
        <v>8</v>
      </c>
      <c r="F71" s="85">
        <v>0.3372247577868524</v>
      </c>
      <c r="G71" s="38">
        <v>-0.17951747288883002</v>
      </c>
      <c r="H71" s="39"/>
      <c r="I71" s="249" t="s">
        <v>12</v>
      </c>
      <c r="J71" s="36" t="s">
        <v>8</v>
      </c>
      <c r="K71" s="85">
        <v>0.4093242053006646</v>
      </c>
      <c r="L71" s="26">
        <v>-0.16229917228759505</v>
      </c>
      <c r="M71" s="279"/>
    </row>
    <row r="72" spans="3:13" ht="43.5" customHeight="1" thickBot="1" x14ac:dyDescent="0.25">
      <c r="C72" s="251"/>
      <c r="D72" s="252"/>
      <c r="E72" s="40" t="s">
        <v>10</v>
      </c>
      <c r="F72" s="86">
        <v>0.54838541666666663</v>
      </c>
      <c r="G72" s="29">
        <v>4.8631075385658917E-2</v>
      </c>
      <c r="H72" s="39"/>
      <c r="I72" s="251"/>
      <c r="J72" s="40" t="s">
        <v>10</v>
      </c>
      <c r="K72" s="86">
        <v>0.66563151041666668</v>
      </c>
      <c r="L72" s="31">
        <v>7.0637205289922234E-2</v>
      </c>
      <c r="M72" s="279"/>
    </row>
    <row r="73" spans="3:13" ht="24.75" hidden="1" customHeight="1" x14ac:dyDescent="0.2">
      <c r="C73" s="253"/>
      <c r="D73" s="254"/>
      <c r="E73" s="42" t="s">
        <v>11</v>
      </c>
      <c r="F73" s="87">
        <v>0</v>
      </c>
      <c r="G73" s="44" t="s">
        <v>38</v>
      </c>
      <c r="H73" s="39"/>
      <c r="I73" s="253"/>
      <c r="J73" s="42" t="s">
        <v>11</v>
      </c>
      <c r="K73" s="87">
        <v>0</v>
      </c>
      <c r="L73" s="35" t="s">
        <v>38</v>
      </c>
      <c r="M73" s="279"/>
    </row>
    <row r="74" spans="3:13" ht="24.75" customHeight="1" x14ac:dyDescent="0.2">
      <c r="C74" s="243" t="s">
        <v>13</v>
      </c>
      <c r="D74" s="244"/>
      <c r="E74" s="45" t="s">
        <v>8</v>
      </c>
      <c r="F74" s="88">
        <v>0.45262858766695085</v>
      </c>
      <c r="G74" s="38">
        <v>3.9488614011470302E-2</v>
      </c>
      <c r="H74" s="39"/>
      <c r="I74" s="243" t="s">
        <v>13</v>
      </c>
      <c r="J74" s="45" t="s">
        <v>8</v>
      </c>
      <c r="K74" s="88">
        <v>0.40510443307757887</v>
      </c>
      <c r="L74" s="26">
        <v>-0.13029782121139288</v>
      </c>
      <c r="M74" s="279"/>
    </row>
    <row r="75" spans="3:13" ht="24.75" customHeight="1" x14ac:dyDescent="0.2">
      <c r="C75" s="245"/>
      <c r="D75" s="246"/>
      <c r="E75" s="47" t="s">
        <v>10</v>
      </c>
      <c r="F75" s="89">
        <v>0.48991331757289203</v>
      </c>
      <c r="G75" s="29">
        <v>3.8382681162813181E-2</v>
      </c>
      <c r="H75" s="39"/>
      <c r="I75" s="245"/>
      <c r="J75" s="47" t="s">
        <v>10</v>
      </c>
      <c r="K75" s="89">
        <v>0.53870173364854212</v>
      </c>
      <c r="L75" s="31">
        <v>1.6212820710224785E-2</v>
      </c>
      <c r="M75" s="279"/>
    </row>
    <row r="76" spans="3:13" ht="24.75" customHeight="1" thickBot="1" x14ac:dyDescent="0.25">
      <c r="C76" s="247"/>
      <c r="D76" s="248"/>
      <c r="E76" s="49" t="s">
        <v>11</v>
      </c>
      <c r="F76" s="90">
        <v>0.43159999999999998</v>
      </c>
      <c r="G76" s="44">
        <v>9.1788689468337292E-2</v>
      </c>
      <c r="H76" s="39"/>
      <c r="I76" s="247"/>
      <c r="J76" s="49" t="s">
        <v>11</v>
      </c>
      <c r="K76" s="90">
        <v>0.32975555555555558</v>
      </c>
      <c r="L76" s="35">
        <v>-0.16487390874417285</v>
      </c>
      <c r="M76" s="279"/>
    </row>
    <row r="77" spans="3:13" ht="24.75" customHeight="1" x14ac:dyDescent="0.2">
      <c r="C77" s="249" t="s">
        <v>14</v>
      </c>
      <c r="D77" s="250"/>
      <c r="E77" s="36" t="s">
        <v>8</v>
      </c>
      <c r="F77" s="85">
        <v>0.64520589880820434</v>
      </c>
      <c r="G77" s="38">
        <v>-3.9926334745915004E-2</v>
      </c>
      <c r="H77" s="39"/>
      <c r="I77" s="249" t="s">
        <v>14</v>
      </c>
      <c r="J77" s="36" t="s">
        <v>8</v>
      </c>
      <c r="K77" s="85">
        <v>0.67687029589046876</v>
      </c>
      <c r="L77" s="26">
        <v>-5.0208567841640517E-2</v>
      </c>
      <c r="M77" s="279"/>
    </row>
    <row r="78" spans="3:13" ht="24.75" customHeight="1" x14ac:dyDescent="0.2">
      <c r="C78" s="251"/>
      <c r="D78" s="252"/>
      <c r="E78" s="40" t="s">
        <v>10</v>
      </c>
      <c r="F78" s="86">
        <v>0.69789218615149706</v>
      </c>
      <c r="G78" s="29">
        <v>-1.8800610785149274E-2</v>
      </c>
      <c r="H78" s="39"/>
      <c r="I78" s="251"/>
      <c r="J78" s="40" t="s">
        <v>10</v>
      </c>
      <c r="K78" s="86">
        <v>0.73521625838146454</v>
      </c>
      <c r="L78" s="31">
        <v>-3.026037489659239E-3</v>
      </c>
      <c r="M78" s="279"/>
    </row>
    <row r="79" spans="3:13" ht="24.75" customHeight="1" thickBot="1" x14ac:dyDescent="0.25">
      <c r="C79" s="253"/>
      <c r="D79" s="254"/>
      <c r="E79" s="42" t="s">
        <v>11</v>
      </c>
      <c r="F79" s="87">
        <v>0.55313669189941705</v>
      </c>
      <c r="G79" s="44">
        <v>-6.7305142425320708E-2</v>
      </c>
      <c r="H79" s="39"/>
      <c r="I79" s="253"/>
      <c r="J79" s="42" t="s">
        <v>11</v>
      </c>
      <c r="K79" s="87">
        <v>0.57491081527886545</v>
      </c>
      <c r="L79" s="35">
        <v>-0.13250094142954438</v>
      </c>
      <c r="M79" s="279"/>
    </row>
    <row r="80" spans="3:13" ht="24.75" customHeight="1" x14ac:dyDescent="0.2">
      <c r="C80" s="255" t="s">
        <v>15</v>
      </c>
      <c r="D80" s="256"/>
      <c r="E80" s="51" t="s">
        <v>8</v>
      </c>
      <c r="F80" s="91">
        <v>0.66826745135556942</v>
      </c>
      <c r="G80" s="38">
        <v>1.3808451386014386E-2</v>
      </c>
      <c r="H80" s="39"/>
      <c r="I80" s="255" t="s">
        <v>15</v>
      </c>
      <c r="J80" s="51" t="s">
        <v>8</v>
      </c>
      <c r="K80" s="91">
        <v>0.67897737979619344</v>
      </c>
      <c r="L80" s="26">
        <v>-1.3790311393381272E-2</v>
      </c>
      <c r="M80" s="279"/>
    </row>
    <row r="81" spans="3:13" ht="24.75" customHeight="1" x14ac:dyDescent="0.2">
      <c r="C81" s="257"/>
      <c r="D81" s="258"/>
      <c r="E81" s="53" t="s">
        <v>10</v>
      </c>
      <c r="F81" s="92">
        <v>0.76453925605886719</v>
      </c>
      <c r="G81" s="29">
        <v>2.026391885043588E-2</v>
      </c>
      <c r="H81" s="39"/>
      <c r="I81" s="257"/>
      <c r="J81" s="53" t="s">
        <v>10</v>
      </c>
      <c r="K81" s="92">
        <v>0.75656686694120034</v>
      </c>
      <c r="L81" s="31">
        <v>-1.1149965606301993E-2</v>
      </c>
      <c r="M81" s="279"/>
    </row>
    <row r="82" spans="3:13" ht="24.75" customHeight="1" thickBot="1" x14ac:dyDescent="0.25">
      <c r="C82" s="259"/>
      <c r="D82" s="260"/>
      <c r="E82" s="55" t="s">
        <v>11</v>
      </c>
      <c r="F82" s="93">
        <v>0.55669676154114967</v>
      </c>
      <c r="G82" s="44">
        <v>1.3674058350112261E-2</v>
      </c>
      <c r="H82" s="39"/>
      <c r="I82" s="259"/>
      <c r="J82" s="55" t="s">
        <v>11</v>
      </c>
      <c r="K82" s="93">
        <v>0.58905787917194763</v>
      </c>
      <c r="L82" s="35">
        <v>-1.004046674432213E-2</v>
      </c>
      <c r="M82" s="279"/>
    </row>
    <row r="83" spans="3:13" ht="5.25" customHeight="1" thickBot="1" x14ac:dyDescent="0.25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3:13" ht="20.100000000000001" customHeight="1" thickBot="1" x14ac:dyDescent="0.25">
      <c r="C84" s="268" t="s">
        <v>19</v>
      </c>
      <c r="D84" s="269"/>
      <c r="E84" s="269"/>
      <c r="F84" s="269"/>
      <c r="G84" s="269"/>
      <c r="H84" s="269"/>
      <c r="I84" s="269"/>
      <c r="J84" s="269"/>
      <c r="K84" s="269"/>
      <c r="L84" s="269"/>
      <c r="M84" s="270"/>
    </row>
    <row r="85" spans="3:13" ht="5.25" customHeight="1" thickBot="1" x14ac:dyDescent="0.25">
      <c r="C85" s="94"/>
      <c r="D85" s="18"/>
      <c r="E85" s="18"/>
      <c r="F85" s="18"/>
      <c r="G85" s="18"/>
      <c r="H85" s="18"/>
      <c r="I85" s="18"/>
      <c r="J85" s="18"/>
      <c r="K85" s="18"/>
      <c r="L85" s="18"/>
      <c r="M85" s="58"/>
    </row>
    <row r="86" spans="3:13" ht="33.75" customHeight="1" x14ac:dyDescent="0.2">
      <c r="C86" s="249" t="s">
        <v>7</v>
      </c>
      <c r="D86" s="250"/>
      <c r="E86" s="36" t="s">
        <v>20</v>
      </c>
      <c r="F86" s="37">
        <v>95328</v>
      </c>
      <c r="G86" s="38">
        <v>0.76880543288677772</v>
      </c>
      <c r="H86" s="95"/>
      <c r="I86" s="249" t="s">
        <v>7</v>
      </c>
      <c r="J86" s="36" t="s">
        <v>20</v>
      </c>
      <c r="K86" s="37">
        <v>283682</v>
      </c>
      <c r="L86" s="26">
        <v>0.33363107270795522</v>
      </c>
      <c r="M86" s="279" t="s">
        <v>9</v>
      </c>
    </row>
    <row r="87" spans="3:13" ht="33.75" customHeight="1" x14ac:dyDescent="0.2">
      <c r="C87" s="251"/>
      <c r="D87" s="252"/>
      <c r="E87" s="53" t="s">
        <v>21</v>
      </c>
      <c r="F87" s="54">
        <v>193057</v>
      </c>
      <c r="G87" s="29">
        <v>3.2655440968804905E-2</v>
      </c>
      <c r="H87" s="39"/>
      <c r="I87" s="251"/>
      <c r="J87" s="53" t="s">
        <v>21</v>
      </c>
      <c r="K87" s="54">
        <v>733082</v>
      </c>
      <c r="L87" s="31">
        <v>1.3176734646491939E-2</v>
      </c>
      <c r="M87" s="279"/>
    </row>
    <row r="88" spans="3:13" ht="33.75" customHeight="1" x14ac:dyDescent="0.2">
      <c r="C88" s="251"/>
      <c r="D88" s="252"/>
      <c r="E88" s="40" t="s">
        <v>22</v>
      </c>
      <c r="F88" s="41">
        <v>53615</v>
      </c>
      <c r="G88" s="29">
        <v>-3.4520636749981959E-2</v>
      </c>
      <c r="H88" s="39"/>
      <c r="I88" s="251"/>
      <c r="J88" s="40" t="s">
        <v>22</v>
      </c>
      <c r="K88" s="41">
        <v>211706</v>
      </c>
      <c r="L88" s="31">
        <v>-2.5962852371071432E-2</v>
      </c>
      <c r="M88" s="279"/>
    </row>
    <row r="89" spans="3:13" ht="33.75" customHeight="1" x14ac:dyDescent="0.2">
      <c r="C89" s="251"/>
      <c r="D89" s="252"/>
      <c r="E89" s="53" t="s">
        <v>23</v>
      </c>
      <c r="F89" s="54">
        <v>13173</v>
      </c>
      <c r="G89" s="29">
        <v>2.0538566864445329E-3</v>
      </c>
      <c r="H89" s="39"/>
      <c r="I89" s="251"/>
      <c r="J89" s="53" t="s">
        <v>23</v>
      </c>
      <c r="K89" s="54">
        <v>59526</v>
      </c>
      <c r="L89" s="31">
        <v>1.9752282733455528E-2</v>
      </c>
      <c r="M89" s="279"/>
    </row>
    <row r="90" spans="3:13" ht="33.75" customHeight="1" thickBot="1" x14ac:dyDescent="0.25">
      <c r="C90" s="253"/>
      <c r="D90" s="254"/>
      <c r="E90" s="42" t="s">
        <v>24</v>
      </c>
      <c r="F90" s="43">
        <v>5049</v>
      </c>
      <c r="G90" s="44">
        <v>0.18799999999999994</v>
      </c>
      <c r="H90" s="96"/>
      <c r="I90" s="253"/>
      <c r="J90" s="42" t="s">
        <v>24</v>
      </c>
      <c r="K90" s="43">
        <v>21023</v>
      </c>
      <c r="L90" s="35">
        <v>7.2875733605511694E-2</v>
      </c>
      <c r="M90" s="279"/>
    </row>
    <row r="91" spans="3:13" ht="5.25" customHeight="1" thickBot="1" x14ac:dyDescent="0.25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3:13" ht="20.100000000000001" customHeight="1" thickBot="1" x14ac:dyDescent="0.25">
      <c r="C92" s="268" t="s">
        <v>25</v>
      </c>
      <c r="D92" s="269"/>
      <c r="E92" s="269"/>
      <c r="F92" s="269"/>
      <c r="G92" s="269"/>
      <c r="H92" s="269"/>
      <c r="I92" s="269"/>
      <c r="J92" s="269"/>
      <c r="K92" s="269"/>
      <c r="L92" s="269"/>
      <c r="M92" s="270"/>
    </row>
    <row r="93" spans="3:13" ht="5.25" customHeight="1" thickBot="1" x14ac:dyDescent="0.25">
      <c r="C93" s="94"/>
      <c r="D93" s="18"/>
      <c r="E93" s="18"/>
      <c r="F93" s="18"/>
      <c r="G93" s="18"/>
      <c r="H93" s="18"/>
      <c r="I93" s="18"/>
      <c r="J93" s="18"/>
      <c r="K93" s="18"/>
      <c r="L93" s="18"/>
      <c r="M93" s="58"/>
    </row>
    <row r="94" spans="3:13" s="97" customFormat="1" ht="33.75" customHeight="1" x14ac:dyDescent="0.2">
      <c r="C94" s="249" t="s">
        <v>7</v>
      </c>
      <c r="D94" s="250"/>
      <c r="E94" s="36" t="s">
        <v>20</v>
      </c>
      <c r="F94" s="37">
        <v>462063</v>
      </c>
      <c r="G94" s="38">
        <v>0.29069679744130505</v>
      </c>
      <c r="H94" s="95"/>
      <c r="I94" s="249" t="s">
        <v>7</v>
      </c>
      <c r="J94" s="36" t="s">
        <v>20</v>
      </c>
      <c r="K94" s="37">
        <v>1697038</v>
      </c>
      <c r="L94" s="26">
        <v>0.21906643296362271</v>
      </c>
      <c r="M94" s="279" t="s">
        <v>9</v>
      </c>
    </row>
    <row r="95" spans="3:13" s="97" customFormat="1" ht="33.75" customHeight="1" x14ac:dyDescent="0.2">
      <c r="C95" s="251"/>
      <c r="D95" s="252"/>
      <c r="E95" s="53" t="s">
        <v>21</v>
      </c>
      <c r="F95" s="54">
        <v>1312555</v>
      </c>
      <c r="G95" s="29">
        <v>1.1389502332455503E-2</v>
      </c>
      <c r="H95" s="39"/>
      <c r="I95" s="251"/>
      <c r="J95" s="53" t="s">
        <v>21</v>
      </c>
      <c r="K95" s="54">
        <v>5368680</v>
      </c>
      <c r="L95" s="31">
        <v>8.5923545754718056E-4</v>
      </c>
      <c r="M95" s="279" t="s">
        <v>26</v>
      </c>
    </row>
    <row r="96" spans="3:13" s="97" customFormat="1" ht="33.75" customHeight="1" x14ac:dyDescent="0.2">
      <c r="C96" s="251"/>
      <c r="D96" s="252"/>
      <c r="E96" s="40" t="s">
        <v>22</v>
      </c>
      <c r="F96" s="41">
        <v>325415</v>
      </c>
      <c r="G96" s="29">
        <v>-8.4817787577269432E-2</v>
      </c>
      <c r="H96" s="39"/>
      <c r="I96" s="251"/>
      <c r="J96" s="40" t="s">
        <v>22</v>
      </c>
      <c r="K96" s="41">
        <v>1368598</v>
      </c>
      <c r="L96" s="31">
        <v>-7.9949580679316345E-2</v>
      </c>
      <c r="M96" s="279" t="s">
        <v>26</v>
      </c>
    </row>
    <row r="97" spans="3:15" s="97" customFormat="1" ht="33.75" customHeight="1" x14ac:dyDescent="0.2">
      <c r="C97" s="251"/>
      <c r="D97" s="252"/>
      <c r="E97" s="53" t="s">
        <v>23</v>
      </c>
      <c r="F97" s="54">
        <v>51988</v>
      </c>
      <c r="G97" s="29">
        <v>4.4963920323209505E-2</v>
      </c>
      <c r="H97" s="39"/>
      <c r="I97" s="251"/>
      <c r="J97" s="53" t="s">
        <v>23</v>
      </c>
      <c r="K97" s="54">
        <v>231721</v>
      </c>
      <c r="L97" s="31">
        <v>3.3191098507649119E-2</v>
      </c>
      <c r="M97" s="279" t="s">
        <v>26</v>
      </c>
    </row>
    <row r="98" spans="3:15" s="97" customFormat="1" ht="33.75" customHeight="1" thickBot="1" x14ac:dyDescent="0.25">
      <c r="C98" s="253"/>
      <c r="D98" s="254"/>
      <c r="E98" s="42" t="s">
        <v>24</v>
      </c>
      <c r="F98" s="43">
        <v>21791</v>
      </c>
      <c r="G98" s="44">
        <v>0.24434673366834181</v>
      </c>
      <c r="H98" s="96"/>
      <c r="I98" s="253"/>
      <c r="J98" s="42" t="s">
        <v>24</v>
      </c>
      <c r="K98" s="43">
        <v>89279</v>
      </c>
      <c r="L98" s="35">
        <v>0.12652046636047043</v>
      </c>
      <c r="M98" s="279" t="s">
        <v>26</v>
      </c>
    </row>
    <row r="99" spans="3:15" ht="5.25" customHeight="1" thickBot="1" x14ac:dyDescent="0.25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3:15" ht="20.100000000000001" customHeight="1" thickBot="1" x14ac:dyDescent="0.25">
      <c r="C100" s="268" t="s">
        <v>27</v>
      </c>
      <c r="D100" s="269"/>
      <c r="E100" s="269"/>
      <c r="F100" s="269"/>
      <c r="G100" s="269"/>
      <c r="H100" s="269"/>
      <c r="I100" s="269"/>
      <c r="J100" s="269"/>
      <c r="K100" s="269"/>
      <c r="L100" s="269"/>
      <c r="M100" s="270"/>
    </row>
    <row r="101" spans="3:15" ht="5.25" customHeight="1" thickBot="1" x14ac:dyDescent="0.25">
      <c r="C101" s="94"/>
      <c r="D101" s="18"/>
      <c r="E101" s="18"/>
      <c r="F101" s="18"/>
      <c r="G101" s="18"/>
      <c r="H101" s="18"/>
      <c r="I101" s="18"/>
      <c r="J101" s="18"/>
      <c r="K101" s="18"/>
      <c r="L101" s="18"/>
      <c r="M101" s="58"/>
    </row>
    <row r="102" spans="3:15" ht="33.75" customHeight="1" x14ac:dyDescent="0.2">
      <c r="C102" s="249" t="s">
        <v>7</v>
      </c>
      <c r="D102" s="250"/>
      <c r="E102" s="36" t="s">
        <v>20</v>
      </c>
      <c r="F102" s="98">
        <v>4.847085850956697</v>
      </c>
      <c r="G102" s="60">
        <v>-1.7954903170768501</v>
      </c>
      <c r="H102" s="95"/>
      <c r="I102" s="249" t="s">
        <v>7</v>
      </c>
      <c r="J102" s="36" t="s">
        <v>20</v>
      </c>
      <c r="K102" s="98">
        <v>5.9821842767605977</v>
      </c>
      <c r="L102" s="61">
        <v>-0.56218985940345334</v>
      </c>
      <c r="M102" s="279" t="s">
        <v>9</v>
      </c>
    </row>
    <row r="103" spans="3:15" ht="33.75" customHeight="1" x14ac:dyDescent="0.2">
      <c r="C103" s="251"/>
      <c r="D103" s="252"/>
      <c r="E103" s="47" t="s">
        <v>21</v>
      </c>
      <c r="F103" s="99">
        <v>6.798795174482148</v>
      </c>
      <c r="G103" s="63">
        <v>-0.14295457946538903</v>
      </c>
      <c r="H103" s="39"/>
      <c r="I103" s="251"/>
      <c r="J103" s="47" t="s">
        <v>21</v>
      </c>
      <c r="K103" s="99">
        <v>7.3234372143907507</v>
      </c>
      <c r="L103" s="64">
        <v>-9.0128989924650682E-2</v>
      </c>
      <c r="M103" s="279" t="s">
        <v>26</v>
      </c>
    </row>
    <row r="104" spans="3:15" ht="33.75" customHeight="1" x14ac:dyDescent="0.2">
      <c r="C104" s="251"/>
      <c r="D104" s="252"/>
      <c r="E104" s="40" t="s">
        <v>22</v>
      </c>
      <c r="F104" s="100">
        <v>6.069476825515248</v>
      </c>
      <c r="G104" s="63">
        <v>-0.33357006636691011</v>
      </c>
      <c r="H104" s="39"/>
      <c r="I104" s="251"/>
      <c r="J104" s="40" t="s">
        <v>22</v>
      </c>
      <c r="K104" s="100">
        <v>6.4646160241089055</v>
      </c>
      <c r="L104" s="64">
        <v>-0.37933080794461205</v>
      </c>
      <c r="M104" s="279" t="s">
        <v>26</v>
      </c>
      <c r="O104" s="101"/>
    </row>
    <row r="105" spans="3:15" ht="33.75" customHeight="1" x14ac:dyDescent="0.2">
      <c r="C105" s="251"/>
      <c r="D105" s="252"/>
      <c r="E105" s="47" t="s">
        <v>23</v>
      </c>
      <c r="F105" s="99">
        <v>3.9465573521597208</v>
      </c>
      <c r="G105" s="63">
        <v>0.16206016670406909</v>
      </c>
      <c r="H105" s="39"/>
      <c r="I105" s="251"/>
      <c r="J105" s="47" t="s">
        <v>23</v>
      </c>
      <c r="K105" s="99">
        <v>3.8927695460807041</v>
      </c>
      <c r="L105" s="64">
        <v>5.0633627077055099E-2</v>
      </c>
      <c r="M105" s="279" t="s">
        <v>26</v>
      </c>
    </row>
    <row r="106" spans="3:15" ht="33.75" customHeight="1" thickBot="1" x14ac:dyDescent="0.25">
      <c r="C106" s="253"/>
      <c r="D106" s="254"/>
      <c r="E106" s="42" t="s">
        <v>24</v>
      </c>
      <c r="F106" s="102">
        <v>4.3159041394335516</v>
      </c>
      <c r="G106" s="66">
        <v>0.19543355119825723</v>
      </c>
      <c r="H106" s="96"/>
      <c r="I106" s="253"/>
      <c r="J106" s="42" t="s">
        <v>24</v>
      </c>
      <c r="K106" s="102">
        <v>4.2467297721543069</v>
      </c>
      <c r="L106" s="67">
        <v>0.20222862390220175</v>
      </c>
      <c r="M106" s="279" t="s">
        <v>26</v>
      </c>
    </row>
    <row r="107" spans="3:15" ht="5.25" customHeight="1" thickBot="1" x14ac:dyDescent="0.25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3:15" ht="20.100000000000001" customHeight="1" thickBot="1" x14ac:dyDescent="0.25">
      <c r="C108" s="268" t="s">
        <v>28</v>
      </c>
      <c r="D108" s="269"/>
      <c r="E108" s="269"/>
      <c r="F108" s="269"/>
      <c r="G108" s="269"/>
      <c r="H108" s="269"/>
      <c r="I108" s="269"/>
      <c r="J108" s="269"/>
      <c r="K108" s="269"/>
      <c r="L108" s="269"/>
      <c r="M108" s="270"/>
    </row>
    <row r="109" spans="3:15" ht="5.25" customHeight="1" thickBot="1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03"/>
    </row>
    <row r="110" spans="3:15" ht="33.75" customHeight="1" x14ac:dyDescent="0.2">
      <c r="C110" s="249" t="s">
        <v>7</v>
      </c>
      <c r="D110" s="250"/>
      <c r="E110" s="36" t="s">
        <v>20</v>
      </c>
      <c r="F110" s="85">
        <v>0.85552963394989723</v>
      </c>
      <c r="G110" s="38">
        <v>0.11719869991267329</v>
      </c>
      <c r="H110" s="95"/>
      <c r="I110" s="249" t="s">
        <v>7</v>
      </c>
      <c r="J110" s="36" t="s">
        <v>20</v>
      </c>
      <c r="K110" s="85">
        <v>0.78553481827102889</v>
      </c>
      <c r="L110" s="26">
        <v>5.5197035209250345E-2</v>
      </c>
      <c r="M110" s="279" t="s">
        <v>9</v>
      </c>
    </row>
    <row r="111" spans="3:15" ht="33.75" customHeight="1" x14ac:dyDescent="0.2">
      <c r="C111" s="251"/>
      <c r="D111" s="252"/>
      <c r="E111" s="47" t="s">
        <v>21</v>
      </c>
      <c r="F111" s="89">
        <v>0.75635019419377891</v>
      </c>
      <c r="G111" s="29">
        <v>6.3673560814492269E-4</v>
      </c>
      <c r="H111" s="39"/>
      <c r="I111" s="251"/>
      <c r="J111" s="47" t="s">
        <v>21</v>
      </c>
      <c r="K111" s="89">
        <v>0.7734156207862255</v>
      </c>
      <c r="L111" s="31">
        <v>-9.7815768683940929E-3</v>
      </c>
      <c r="M111" s="279" t="s">
        <v>26</v>
      </c>
    </row>
    <row r="112" spans="3:15" ht="33.75" customHeight="1" x14ac:dyDescent="0.2">
      <c r="C112" s="251"/>
      <c r="D112" s="252"/>
      <c r="E112" s="40" t="s">
        <v>22</v>
      </c>
      <c r="F112" s="86">
        <v>0.6235795726741401</v>
      </c>
      <c r="G112" s="29">
        <v>-8.1345408961581045E-2</v>
      </c>
      <c r="H112" s="39"/>
      <c r="I112" s="251"/>
      <c r="J112" s="40" t="s">
        <v>22</v>
      </c>
      <c r="K112" s="86">
        <v>0.65564721663313208</v>
      </c>
      <c r="L112" s="31">
        <v>-7.6458731143520753E-2</v>
      </c>
      <c r="M112" s="279" t="s">
        <v>26</v>
      </c>
    </row>
    <row r="113" spans="3:13" ht="33.75" customHeight="1" x14ac:dyDescent="0.2">
      <c r="C113" s="251"/>
      <c r="D113" s="252"/>
      <c r="E113" s="47" t="s">
        <v>23</v>
      </c>
      <c r="F113" s="89">
        <v>0.54580577427821519</v>
      </c>
      <c r="G113" s="29">
        <v>3.5748490474690087E-2</v>
      </c>
      <c r="H113" s="39"/>
      <c r="I113" s="251"/>
      <c r="J113" s="47" t="s">
        <v>23</v>
      </c>
      <c r="K113" s="89">
        <v>0.6081916010498688</v>
      </c>
      <c r="L113" s="31">
        <v>2.4079491969628775E-2</v>
      </c>
      <c r="M113" s="279" t="s">
        <v>26</v>
      </c>
    </row>
    <row r="114" spans="3:13" ht="33.75" customHeight="1" thickBot="1" x14ac:dyDescent="0.25">
      <c r="C114" s="253"/>
      <c r="D114" s="254"/>
      <c r="E114" s="42" t="s">
        <v>24</v>
      </c>
      <c r="F114" s="87">
        <v>0.6394072769953052</v>
      </c>
      <c r="G114" s="44">
        <v>0.220248469459976</v>
      </c>
      <c r="H114" s="96"/>
      <c r="I114" s="253"/>
      <c r="J114" s="42" t="s">
        <v>24</v>
      </c>
      <c r="K114" s="87">
        <v>0.65492224178403757</v>
      </c>
      <c r="L114" s="35">
        <v>0.10470404887813745</v>
      </c>
      <c r="M114" s="279" t="s">
        <v>26</v>
      </c>
    </row>
    <row r="115" spans="3:13" ht="5.25" customHeight="1" thickBot="1" x14ac:dyDescent="0.25">
      <c r="C115" s="104"/>
      <c r="D115" s="104"/>
      <c r="E115" s="105"/>
      <c r="F115" s="57"/>
      <c r="G115" s="106"/>
      <c r="H115" s="107"/>
      <c r="I115" s="57"/>
      <c r="J115" s="106"/>
      <c r="K115" s="105"/>
      <c r="L115" s="104"/>
      <c r="M115" s="108"/>
    </row>
    <row r="116" spans="3:13" ht="17.25" customHeight="1" thickBot="1" x14ac:dyDescent="0.25">
      <c r="C116" s="296"/>
      <c r="D116" s="297"/>
      <c r="E116" s="297"/>
      <c r="F116" s="297"/>
      <c r="G116" s="297"/>
      <c r="H116" s="297"/>
      <c r="I116" s="297"/>
      <c r="J116" s="297"/>
      <c r="K116" s="297"/>
      <c r="L116" s="297"/>
      <c r="M116" s="298"/>
    </row>
    <row r="117" spans="3:13" ht="50.25" customHeight="1" thickBot="1" x14ac:dyDescent="0.25">
      <c r="C117" s="1"/>
      <c r="D117" s="1"/>
      <c r="E117" s="261" t="str">
        <f>$E$1</f>
        <v>INDICADORES TURÍSTICOS DE TENERIFE definitivo</v>
      </c>
      <c r="F117" s="261"/>
      <c r="G117" s="261"/>
      <c r="H117" s="261"/>
      <c r="I117" s="261"/>
      <c r="J117" s="261"/>
      <c r="K117" s="261"/>
      <c r="L117" s="1"/>
      <c r="M117" s="1"/>
    </row>
    <row r="118" spans="3:13" ht="9" customHeight="1" thickBot="1" x14ac:dyDescent="0.25">
      <c r="C118" s="109"/>
      <c r="D118" s="110"/>
      <c r="E118" s="111"/>
      <c r="F118" s="111"/>
      <c r="G118" s="111"/>
      <c r="H118" s="111"/>
      <c r="I118" s="111"/>
      <c r="J118" s="111"/>
      <c r="K118" s="111"/>
      <c r="L118" s="110"/>
      <c r="M118" s="112"/>
    </row>
    <row r="119" spans="3:13" ht="33" customHeight="1" thickBot="1" x14ac:dyDescent="0.25">
      <c r="C119" s="289" t="s">
        <v>29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1"/>
    </row>
    <row r="120" spans="3:13" ht="20.100000000000001" customHeight="1" x14ac:dyDescent="0.2">
      <c r="C120" s="113"/>
      <c r="D120" s="114"/>
      <c r="E120" s="114"/>
      <c r="F120" s="114"/>
      <c r="G120" s="292" t="str">
        <f>C2</f>
        <v>abril 2019</v>
      </c>
      <c r="H120" s="293"/>
      <c r="I120" s="293"/>
      <c r="J120" s="114"/>
      <c r="K120" s="114"/>
      <c r="L120" s="114"/>
      <c r="M120" s="115"/>
    </row>
    <row r="121" spans="3:13" ht="5.25" customHeight="1" thickBot="1" x14ac:dyDescent="0.25">
      <c r="C121" s="116"/>
      <c r="D121" s="114"/>
      <c r="E121" s="114"/>
      <c r="F121" s="114"/>
      <c r="G121" s="117"/>
      <c r="H121" s="117"/>
      <c r="I121" s="117"/>
      <c r="J121" s="114"/>
      <c r="K121" s="114"/>
      <c r="L121" s="114"/>
      <c r="M121" s="118"/>
    </row>
    <row r="122" spans="3:13" ht="33" customHeight="1" thickTop="1" thickBot="1" x14ac:dyDescent="0.25">
      <c r="C122" s="119"/>
      <c r="D122" s="294" t="s">
        <v>7</v>
      </c>
      <c r="E122" s="295"/>
      <c r="F122" s="294" t="s">
        <v>30</v>
      </c>
      <c r="G122" s="295"/>
      <c r="H122" s="294" t="s">
        <v>31</v>
      </c>
      <c r="I122" s="295"/>
      <c r="J122" s="294" t="s">
        <v>32</v>
      </c>
      <c r="K122" s="295"/>
      <c r="L122" s="294" t="s">
        <v>33</v>
      </c>
      <c r="M122" s="295"/>
    </row>
    <row r="123" spans="3:13" ht="31.5" customHeight="1" thickBot="1" x14ac:dyDescent="0.25">
      <c r="C123" s="120"/>
      <c r="D123" s="121" t="s">
        <v>34</v>
      </c>
      <c r="E123" s="122" t="s">
        <v>35</v>
      </c>
      <c r="F123" s="121" t="s">
        <v>34</v>
      </c>
      <c r="G123" s="122" t="s">
        <v>35</v>
      </c>
      <c r="H123" s="121" t="s">
        <v>34</v>
      </c>
      <c r="I123" s="122" t="s">
        <v>35</v>
      </c>
      <c r="J123" s="121" t="s">
        <v>34</v>
      </c>
      <c r="K123" s="122" t="s">
        <v>35</v>
      </c>
      <c r="L123" s="121" t="s">
        <v>34</v>
      </c>
      <c r="M123" s="122" t="s">
        <v>35</v>
      </c>
    </row>
    <row r="124" spans="3:13" ht="24" customHeight="1" thickBot="1" x14ac:dyDescent="0.25">
      <c r="C124" s="123" t="s">
        <v>36</v>
      </c>
      <c r="D124" s="124">
        <v>131523</v>
      </c>
      <c r="E124" s="125">
        <v>0.33913353357430132</v>
      </c>
      <c r="F124" s="124">
        <v>11912</v>
      </c>
      <c r="G124" s="125">
        <v>-0.11276627439296882</v>
      </c>
      <c r="H124" s="124">
        <v>3718</v>
      </c>
      <c r="I124" s="125">
        <v>0.30000000000000004</v>
      </c>
      <c r="J124" s="124">
        <v>52153</v>
      </c>
      <c r="K124" s="125">
        <v>0.16239106693115213</v>
      </c>
      <c r="L124" s="124">
        <v>63740</v>
      </c>
      <c r="M124" s="125">
        <v>0.71982084075333219</v>
      </c>
    </row>
    <row r="125" spans="3:13" ht="27" customHeight="1" thickBot="1" x14ac:dyDescent="0.25">
      <c r="C125" s="126" t="s">
        <v>37</v>
      </c>
      <c r="D125" s="127">
        <v>38942.929880689087</v>
      </c>
      <c r="E125" s="128">
        <v>0.81815675783908959</v>
      </c>
      <c r="F125" s="127" t="s">
        <v>38</v>
      </c>
      <c r="G125" s="128" t="s">
        <v>38</v>
      </c>
      <c r="H125" s="127" t="s">
        <v>38</v>
      </c>
      <c r="I125" s="128" t="s">
        <v>38</v>
      </c>
      <c r="J125" s="127" t="s">
        <v>38</v>
      </c>
      <c r="K125" s="128" t="s">
        <v>38</v>
      </c>
      <c r="L125" s="127" t="s">
        <v>38</v>
      </c>
      <c r="M125" s="128" t="s">
        <v>38</v>
      </c>
    </row>
    <row r="126" spans="3:13" ht="28.5" customHeight="1" thickBot="1" x14ac:dyDescent="0.25">
      <c r="C126" s="129" t="s">
        <v>39</v>
      </c>
      <c r="D126" s="130">
        <v>17053.336180801598</v>
      </c>
      <c r="E126" s="131">
        <v>0.26083278748434546</v>
      </c>
      <c r="F126" s="130" t="s">
        <v>38</v>
      </c>
      <c r="G126" s="131" t="s">
        <v>38</v>
      </c>
      <c r="H126" s="130" t="s">
        <v>38</v>
      </c>
      <c r="I126" s="131" t="s">
        <v>38</v>
      </c>
      <c r="J126" s="130" t="s">
        <v>38</v>
      </c>
      <c r="K126" s="131" t="s">
        <v>38</v>
      </c>
      <c r="L126" s="130" t="s">
        <v>38</v>
      </c>
      <c r="M126" s="131" t="s">
        <v>38</v>
      </c>
    </row>
    <row r="127" spans="3:13" ht="27.75" customHeight="1" thickBot="1" x14ac:dyDescent="0.25">
      <c r="C127" s="129" t="s">
        <v>40</v>
      </c>
      <c r="D127" s="130">
        <v>75526.733938509307</v>
      </c>
      <c r="E127" s="131">
        <v>0.19370904128702349</v>
      </c>
      <c r="F127" s="130" t="s">
        <v>38</v>
      </c>
      <c r="G127" s="131" t="s">
        <v>38</v>
      </c>
      <c r="H127" s="130" t="s">
        <v>38</v>
      </c>
      <c r="I127" s="131" t="s">
        <v>38</v>
      </c>
      <c r="J127" s="130" t="s">
        <v>38</v>
      </c>
      <c r="K127" s="131" t="s">
        <v>38</v>
      </c>
      <c r="L127" s="130" t="s">
        <v>38</v>
      </c>
      <c r="M127" s="131" t="s">
        <v>38</v>
      </c>
    </row>
    <row r="128" spans="3:13" ht="24" customHeight="1" thickBot="1" x14ac:dyDescent="0.25">
      <c r="C128" s="132" t="s">
        <v>41</v>
      </c>
      <c r="D128" s="133">
        <v>16996</v>
      </c>
      <c r="E128" s="131">
        <v>-4.7629720945870258E-2</v>
      </c>
      <c r="F128" s="133">
        <v>84</v>
      </c>
      <c r="G128" s="131">
        <v>-3.4482758620689613E-2</v>
      </c>
      <c r="H128" s="133">
        <v>42</v>
      </c>
      <c r="I128" s="131">
        <v>-0.60377358490566035</v>
      </c>
      <c r="J128" s="133">
        <v>987</v>
      </c>
      <c r="K128" s="131">
        <v>-0.23606811145510831</v>
      </c>
      <c r="L128" s="133">
        <v>15883</v>
      </c>
      <c r="M128" s="131">
        <v>-2.9215818104027846E-2</v>
      </c>
    </row>
    <row r="129" spans="3:13" ht="24" customHeight="1" thickBot="1" x14ac:dyDescent="0.25">
      <c r="C129" s="134" t="s">
        <v>42</v>
      </c>
      <c r="D129" s="130">
        <v>16435</v>
      </c>
      <c r="E129" s="131">
        <v>8.6108908273856644E-2</v>
      </c>
      <c r="F129" s="130">
        <v>112</v>
      </c>
      <c r="G129" s="131">
        <v>-0.37777777777777777</v>
      </c>
      <c r="H129" s="130">
        <v>91</v>
      </c>
      <c r="I129" s="131">
        <v>-0.14150943396226412</v>
      </c>
      <c r="J129" s="130">
        <v>782</v>
      </c>
      <c r="K129" s="131">
        <v>4.5454545454545414E-2</v>
      </c>
      <c r="L129" s="130">
        <v>15450</v>
      </c>
      <c r="M129" s="131">
        <v>9.5900127677684743E-2</v>
      </c>
    </row>
    <row r="130" spans="3:13" ht="24" customHeight="1" thickBot="1" x14ac:dyDescent="0.25">
      <c r="C130" s="132" t="s">
        <v>43</v>
      </c>
      <c r="D130" s="133">
        <v>48285</v>
      </c>
      <c r="E130" s="131">
        <v>1.0801984550649957E-2</v>
      </c>
      <c r="F130" s="133">
        <v>760</v>
      </c>
      <c r="G130" s="131">
        <v>0.1620795107033639</v>
      </c>
      <c r="H130" s="133">
        <v>1429</v>
      </c>
      <c r="I130" s="131">
        <v>0.2770330652368187</v>
      </c>
      <c r="J130" s="133">
        <v>15246</v>
      </c>
      <c r="K130" s="131">
        <v>-0.1086295603367633</v>
      </c>
      <c r="L130" s="133">
        <v>30850</v>
      </c>
      <c r="M130" s="131">
        <v>6.7769624809635776E-2</v>
      </c>
    </row>
    <row r="131" spans="3:13" ht="24" customHeight="1" thickBot="1" x14ac:dyDescent="0.25">
      <c r="C131" s="134" t="s">
        <v>44</v>
      </c>
      <c r="D131" s="130">
        <v>21393</v>
      </c>
      <c r="E131" s="131">
        <v>-6.1957379636937593E-2</v>
      </c>
      <c r="F131" s="130">
        <v>422</v>
      </c>
      <c r="G131" s="131">
        <v>-0.13524590163934425</v>
      </c>
      <c r="H131" s="130">
        <v>654</v>
      </c>
      <c r="I131" s="131">
        <v>0.31854838709677424</v>
      </c>
      <c r="J131" s="130">
        <v>4822</v>
      </c>
      <c r="K131" s="131">
        <v>-9.0360309375589476E-2</v>
      </c>
      <c r="L131" s="130">
        <v>15495</v>
      </c>
      <c r="M131" s="131">
        <v>-6.2102778282186355E-2</v>
      </c>
    </row>
    <row r="132" spans="3:13" ht="24" customHeight="1" thickBot="1" x14ac:dyDescent="0.25">
      <c r="C132" s="132" t="s">
        <v>45</v>
      </c>
      <c r="D132" s="133">
        <v>198554</v>
      </c>
      <c r="E132" s="131">
        <v>0.23039647031120247</v>
      </c>
      <c r="F132" s="133">
        <v>631</v>
      </c>
      <c r="G132" s="131">
        <v>3.4426229508196737E-2</v>
      </c>
      <c r="H132" s="133">
        <v>177</v>
      </c>
      <c r="I132" s="131">
        <v>-0.10606060606060608</v>
      </c>
      <c r="J132" s="133">
        <v>7162</v>
      </c>
      <c r="K132" s="131">
        <v>8.252720677146308E-2</v>
      </c>
      <c r="L132" s="133">
        <v>190584</v>
      </c>
      <c r="M132" s="131">
        <v>0.23796037674569659</v>
      </c>
    </row>
    <row r="133" spans="3:13" ht="24" customHeight="1" thickBot="1" x14ac:dyDescent="0.25">
      <c r="C133" s="134" t="s">
        <v>46</v>
      </c>
      <c r="D133" s="130">
        <v>12343</v>
      </c>
      <c r="E133" s="131">
        <v>0.36431966397700899</v>
      </c>
      <c r="F133" s="130">
        <v>65</v>
      </c>
      <c r="G133" s="131">
        <v>0.25</v>
      </c>
      <c r="H133" s="130">
        <v>18</v>
      </c>
      <c r="I133" s="131">
        <v>0.125</v>
      </c>
      <c r="J133" s="130">
        <v>597</v>
      </c>
      <c r="K133" s="131">
        <v>7.7617328519855588E-2</v>
      </c>
      <c r="L133" s="130">
        <v>11663</v>
      </c>
      <c r="M133" s="131">
        <v>0.38433234421364992</v>
      </c>
    </row>
    <row r="134" spans="3:13" ht="24" customHeight="1" thickBot="1" x14ac:dyDescent="0.25">
      <c r="C134" s="132" t="s">
        <v>47</v>
      </c>
      <c r="D134" s="133">
        <v>13790</v>
      </c>
      <c r="E134" s="131">
        <v>0.11506428398156388</v>
      </c>
      <c r="F134" s="133">
        <v>503</v>
      </c>
      <c r="G134" s="131">
        <v>9.8253275109170257E-2</v>
      </c>
      <c r="H134" s="133">
        <v>117</v>
      </c>
      <c r="I134" s="131">
        <v>-0.23529411764705888</v>
      </c>
      <c r="J134" s="133">
        <v>1362</v>
      </c>
      <c r="K134" s="131">
        <v>-6.5645514223194867E-3</v>
      </c>
      <c r="L134" s="133">
        <v>11808</v>
      </c>
      <c r="M134" s="131">
        <v>0.13702455464612417</v>
      </c>
    </row>
    <row r="135" spans="3:13" ht="24" customHeight="1" thickBot="1" x14ac:dyDescent="0.25">
      <c r="C135" s="134" t="s">
        <v>48</v>
      </c>
      <c r="D135" s="130">
        <v>27192</v>
      </c>
      <c r="E135" s="131">
        <v>-3.1589444068520933E-2</v>
      </c>
      <c r="F135" s="130">
        <v>706</v>
      </c>
      <c r="G135" s="131">
        <v>0.12779552715654963</v>
      </c>
      <c r="H135" s="130">
        <v>40</v>
      </c>
      <c r="I135" s="131">
        <v>-0.42028985507246375</v>
      </c>
      <c r="J135" s="130">
        <v>3256</v>
      </c>
      <c r="K135" s="131">
        <v>5.2485334979932574E-3</v>
      </c>
      <c r="L135" s="130">
        <v>23190</v>
      </c>
      <c r="M135" s="131">
        <v>-3.9552702422861907E-2</v>
      </c>
    </row>
    <row r="136" spans="3:13" ht="24" customHeight="1" thickBot="1" x14ac:dyDescent="0.25">
      <c r="C136" s="135" t="s">
        <v>49</v>
      </c>
      <c r="D136" s="133">
        <v>8362</v>
      </c>
      <c r="E136" s="131">
        <v>-0.28560444254592054</v>
      </c>
      <c r="F136" s="133">
        <v>241</v>
      </c>
      <c r="G136" s="131">
        <v>8.3682008368199945E-3</v>
      </c>
      <c r="H136" s="133">
        <v>20</v>
      </c>
      <c r="I136" s="131">
        <v>0</v>
      </c>
      <c r="J136" s="133">
        <v>877</v>
      </c>
      <c r="K136" s="131">
        <v>-0.17029328287606438</v>
      </c>
      <c r="L136" s="133">
        <v>7224</v>
      </c>
      <c r="M136" s="131">
        <v>-0.30464914813745303</v>
      </c>
    </row>
    <row r="137" spans="3:13" ht="24" customHeight="1" thickBot="1" x14ac:dyDescent="0.25">
      <c r="C137" s="129" t="s">
        <v>50</v>
      </c>
      <c r="D137" s="130">
        <v>4848</v>
      </c>
      <c r="E137" s="131">
        <v>0.1766990291262136</v>
      </c>
      <c r="F137" s="130">
        <v>169</v>
      </c>
      <c r="G137" s="131">
        <v>0.12666666666666671</v>
      </c>
      <c r="H137" s="130">
        <v>10</v>
      </c>
      <c r="I137" s="131">
        <v>-0.47368421052631582</v>
      </c>
      <c r="J137" s="130">
        <v>404</v>
      </c>
      <c r="K137" s="131">
        <v>0.24307692307692297</v>
      </c>
      <c r="L137" s="130">
        <v>4265</v>
      </c>
      <c r="M137" s="131">
        <v>0.1762272476558191</v>
      </c>
    </row>
    <row r="138" spans="3:13" ht="24" customHeight="1" thickBot="1" x14ac:dyDescent="0.25">
      <c r="C138" s="135" t="s">
        <v>51</v>
      </c>
      <c r="D138" s="133">
        <v>6967</v>
      </c>
      <c r="E138" s="131">
        <v>0.1354302477183833</v>
      </c>
      <c r="F138" s="133">
        <v>170</v>
      </c>
      <c r="G138" s="131">
        <v>0.66666666666666674</v>
      </c>
      <c r="H138" s="133">
        <v>7</v>
      </c>
      <c r="I138" s="131">
        <v>-0.69565217391304346</v>
      </c>
      <c r="J138" s="133">
        <v>806</v>
      </c>
      <c r="K138" s="131">
        <v>0.21568627450980382</v>
      </c>
      <c r="L138" s="133">
        <v>5984</v>
      </c>
      <c r="M138" s="131">
        <v>0.11892296185489903</v>
      </c>
    </row>
    <row r="139" spans="3:13" ht="24" customHeight="1" thickBot="1" x14ac:dyDescent="0.25">
      <c r="C139" s="129" t="s">
        <v>52</v>
      </c>
      <c r="D139" s="130">
        <v>7015</v>
      </c>
      <c r="E139" s="131">
        <v>0.14661654135338353</v>
      </c>
      <c r="F139" s="130">
        <v>126</v>
      </c>
      <c r="G139" s="131">
        <v>-6.6666666666666652E-2</v>
      </c>
      <c r="H139" s="130">
        <v>3</v>
      </c>
      <c r="I139" s="131">
        <v>-0.5714285714285714</v>
      </c>
      <c r="J139" s="130">
        <v>1169</v>
      </c>
      <c r="K139" s="131">
        <v>-2.0938023450586263E-2</v>
      </c>
      <c r="L139" s="130">
        <v>5717</v>
      </c>
      <c r="M139" s="131">
        <v>0.19552488498536169</v>
      </c>
    </row>
    <row r="140" spans="3:13" ht="24" customHeight="1" thickBot="1" x14ac:dyDescent="0.25">
      <c r="C140" s="132" t="s">
        <v>53</v>
      </c>
      <c r="D140" s="133">
        <v>5125</v>
      </c>
      <c r="E140" s="131">
        <v>-8.3676023600929739E-2</v>
      </c>
      <c r="F140" s="133">
        <v>145</v>
      </c>
      <c r="G140" s="131">
        <v>1.3986013986013957E-2</v>
      </c>
      <c r="H140" s="133">
        <v>119</v>
      </c>
      <c r="I140" s="131">
        <v>0.15533980582524265</v>
      </c>
      <c r="J140" s="133">
        <v>680</v>
      </c>
      <c r="K140" s="131">
        <v>-0.30327868852459017</v>
      </c>
      <c r="L140" s="133">
        <v>4181</v>
      </c>
      <c r="M140" s="131">
        <v>-4.3468313886982357E-2</v>
      </c>
    </row>
    <row r="141" spans="3:13" ht="24" customHeight="1" thickBot="1" x14ac:dyDescent="0.25">
      <c r="C141" s="134" t="s">
        <v>54</v>
      </c>
      <c r="D141" s="130">
        <v>2909</v>
      </c>
      <c r="E141" s="131">
        <v>0.3442698706099816</v>
      </c>
      <c r="F141" s="130">
        <v>52</v>
      </c>
      <c r="G141" s="131">
        <v>0.30000000000000004</v>
      </c>
      <c r="H141" s="130">
        <v>48</v>
      </c>
      <c r="I141" s="131">
        <v>-2.0408163265306145E-2</v>
      </c>
      <c r="J141" s="130">
        <v>711</v>
      </c>
      <c r="K141" s="131">
        <v>7.0783132530120474E-2</v>
      </c>
      <c r="L141" s="130">
        <v>2098</v>
      </c>
      <c r="M141" s="131">
        <v>0.48688873139617295</v>
      </c>
    </row>
    <row r="142" spans="3:13" ht="24" customHeight="1" thickBot="1" x14ac:dyDescent="0.25">
      <c r="C142" s="132" t="s">
        <v>55</v>
      </c>
      <c r="D142" s="133">
        <v>9137</v>
      </c>
      <c r="E142" s="131">
        <v>0.35624165058631441</v>
      </c>
      <c r="F142" s="133">
        <v>181</v>
      </c>
      <c r="G142" s="131">
        <v>-9.4999999999999973E-2</v>
      </c>
      <c r="H142" s="133">
        <v>112</v>
      </c>
      <c r="I142" s="131">
        <v>1.3333333333333335</v>
      </c>
      <c r="J142" s="133">
        <v>970</v>
      </c>
      <c r="K142" s="131">
        <v>0.3453536754507629</v>
      </c>
      <c r="L142" s="133">
        <v>7874</v>
      </c>
      <c r="M142" s="131">
        <v>0.36511789181692089</v>
      </c>
    </row>
    <row r="143" spans="3:13" ht="24" customHeight="1" thickBot="1" x14ac:dyDescent="0.25">
      <c r="C143" s="134" t="s">
        <v>56</v>
      </c>
      <c r="D143" s="130">
        <v>13255</v>
      </c>
      <c r="E143" s="131">
        <v>-0.11786237188872617</v>
      </c>
      <c r="F143" s="130">
        <v>199</v>
      </c>
      <c r="G143" s="131">
        <v>0.22085889570552153</v>
      </c>
      <c r="H143" s="130">
        <v>112</v>
      </c>
      <c r="I143" s="131">
        <v>0.93103448275862077</v>
      </c>
      <c r="J143" s="130">
        <v>1591</v>
      </c>
      <c r="K143" s="131">
        <v>-3.8670694864048394E-2</v>
      </c>
      <c r="L143" s="130">
        <v>11353</v>
      </c>
      <c r="M143" s="131">
        <v>-0.1366539923954373</v>
      </c>
    </row>
    <row r="144" spans="3:13" ht="24" customHeight="1" thickBot="1" x14ac:dyDescent="0.25">
      <c r="C144" s="132" t="s">
        <v>57</v>
      </c>
      <c r="D144" s="133">
        <v>12508</v>
      </c>
      <c r="E144" s="131">
        <v>0.11201991465149352</v>
      </c>
      <c r="F144" s="133">
        <v>457</v>
      </c>
      <c r="G144" s="131">
        <v>-4.5929018789144016E-2</v>
      </c>
      <c r="H144" s="133">
        <v>103</v>
      </c>
      <c r="I144" s="131">
        <v>0.19767441860465107</v>
      </c>
      <c r="J144" s="133">
        <v>2484</v>
      </c>
      <c r="K144" s="131">
        <v>9.8143236074270668E-2</v>
      </c>
      <c r="L144" s="133">
        <v>9464</v>
      </c>
      <c r="M144" s="131">
        <v>0.12385702410640076</v>
      </c>
    </row>
    <row r="145" spans="3:13" ht="24" customHeight="1" thickBot="1" x14ac:dyDescent="0.25">
      <c r="C145" s="134" t="s">
        <v>58</v>
      </c>
      <c r="D145" s="130">
        <v>2733</v>
      </c>
      <c r="E145" s="131">
        <v>0.41826673585884788</v>
      </c>
      <c r="F145" s="130">
        <v>170</v>
      </c>
      <c r="G145" s="131">
        <v>7.5949367088607556E-2</v>
      </c>
      <c r="H145" s="130">
        <v>79</v>
      </c>
      <c r="I145" s="131">
        <v>1.2820512820512775E-2</v>
      </c>
      <c r="J145" s="130">
        <v>407</v>
      </c>
      <c r="K145" s="131">
        <v>0.90186915887850461</v>
      </c>
      <c r="L145" s="130">
        <v>2077</v>
      </c>
      <c r="M145" s="131">
        <v>0.40622884224779954</v>
      </c>
    </row>
    <row r="146" spans="3:13" ht="24" customHeight="1" thickBot="1" x14ac:dyDescent="0.25">
      <c r="C146" s="132" t="s">
        <v>59</v>
      </c>
      <c r="D146" s="133">
        <v>1745</v>
      </c>
      <c r="E146" s="131">
        <v>-2.8937117417918712E-2</v>
      </c>
      <c r="F146" s="133">
        <v>344</v>
      </c>
      <c r="G146" s="131">
        <v>-0.2602150537634409</v>
      </c>
      <c r="H146" s="133">
        <v>98</v>
      </c>
      <c r="I146" s="131">
        <v>0.240506329113924</v>
      </c>
      <c r="J146" s="133">
        <v>467</v>
      </c>
      <c r="K146" s="131">
        <v>-8.4925690021231404E-3</v>
      </c>
      <c r="L146" s="133">
        <v>836</v>
      </c>
      <c r="M146" s="131">
        <v>6.9053708439897665E-2</v>
      </c>
    </row>
    <row r="147" spans="3:13" ht="24" customHeight="1" thickBot="1" x14ac:dyDescent="0.25">
      <c r="C147" s="134" t="s">
        <v>60</v>
      </c>
      <c r="D147" s="136">
        <v>7448</v>
      </c>
      <c r="E147" s="137">
        <v>0.18278545339050334</v>
      </c>
      <c r="F147" s="136">
        <v>649</v>
      </c>
      <c r="G147" s="137">
        <v>0.40780911062906733</v>
      </c>
      <c r="H147" s="136">
        <v>129</v>
      </c>
      <c r="I147" s="137">
        <v>0.1415929203539823</v>
      </c>
      <c r="J147" s="136">
        <v>1019</v>
      </c>
      <c r="K147" s="137">
        <v>-0.12682090831191084</v>
      </c>
      <c r="L147" s="136">
        <v>5651</v>
      </c>
      <c r="M147" s="137">
        <v>0.24034240561896403</v>
      </c>
    </row>
    <row r="148" spans="3:13" ht="30.75" customHeight="1" thickTop="1" thickBot="1" x14ac:dyDescent="0.25">
      <c r="C148" s="138" t="s">
        <v>61</v>
      </c>
      <c r="D148" s="139">
        <v>409848</v>
      </c>
      <c r="E148" s="140">
        <v>0.1222286416818863</v>
      </c>
      <c r="F148" s="139">
        <v>5480</v>
      </c>
      <c r="G148" s="140">
        <v>4.1033434650455947E-2</v>
      </c>
      <c r="H148" s="139">
        <v>3368</v>
      </c>
      <c r="I148" s="140">
        <v>0.17066388599235305</v>
      </c>
      <c r="J148" s="139">
        <v>42543</v>
      </c>
      <c r="K148" s="140">
        <v>-4.0852215082854193E-2</v>
      </c>
      <c r="L148" s="139">
        <v>358457</v>
      </c>
      <c r="M148" s="140">
        <v>0.14628109480578044</v>
      </c>
    </row>
    <row r="149" spans="3:13" ht="24" customHeight="1" thickBot="1" x14ac:dyDescent="0.25">
      <c r="C149" s="141" t="s">
        <v>8</v>
      </c>
      <c r="D149" s="142">
        <v>541371</v>
      </c>
      <c r="E149" s="143">
        <v>0.16819802168208819</v>
      </c>
      <c r="F149" s="142">
        <v>17392</v>
      </c>
      <c r="G149" s="143">
        <v>-6.9448903156768327E-2</v>
      </c>
      <c r="H149" s="142">
        <v>7086</v>
      </c>
      <c r="I149" s="143">
        <v>0.23514031723897499</v>
      </c>
      <c r="J149" s="142">
        <v>94696</v>
      </c>
      <c r="K149" s="143">
        <v>6.1352581201945755E-2</v>
      </c>
      <c r="L149" s="142">
        <v>422197</v>
      </c>
      <c r="M149" s="143">
        <v>0.20705310556786505</v>
      </c>
    </row>
    <row r="150" spans="3:13" ht="13.5" thickBot="1" x14ac:dyDescent="0.25">
      <c r="C150" s="11"/>
      <c r="M150" s="144"/>
    </row>
    <row r="151" spans="3:13" ht="35.25" customHeight="1" thickBot="1" x14ac:dyDescent="0.25">
      <c r="C151" s="289" t="s">
        <v>29</v>
      </c>
      <c r="D151" s="290"/>
      <c r="E151" s="290"/>
      <c r="F151" s="290"/>
      <c r="G151" s="290"/>
      <c r="H151" s="290"/>
      <c r="I151" s="290"/>
      <c r="J151" s="290"/>
      <c r="K151" s="290"/>
      <c r="L151" s="290"/>
      <c r="M151" s="291"/>
    </row>
    <row r="152" spans="3:13" ht="20.100000000000001" customHeight="1" x14ac:dyDescent="0.2">
      <c r="C152" s="113"/>
      <c r="D152" s="114"/>
      <c r="E152" s="114"/>
      <c r="F152" s="114"/>
      <c r="G152" s="292" t="str">
        <f>I2</f>
        <v>acumulado abril 2019</v>
      </c>
      <c r="H152" s="293"/>
      <c r="I152" s="293"/>
      <c r="J152" s="114"/>
      <c r="K152" s="114"/>
      <c r="L152" s="114"/>
      <c r="M152" s="115"/>
    </row>
    <row r="153" spans="3:13" ht="5.25" customHeight="1" thickBot="1" x14ac:dyDescent="0.25">
      <c r="C153" s="116"/>
      <c r="D153" s="114"/>
      <c r="E153" s="114"/>
      <c r="F153" s="114"/>
      <c r="G153" s="117"/>
      <c r="H153" s="117"/>
      <c r="I153" s="117"/>
      <c r="J153" s="114"/>
      <c r="K153" s="114"/>
      <c r="L153" s="114"/>
      <c r="M153" s="118"/>
    </row>
    <row r="154" spans="3:13" ht="32.25" customHeight="1" thickTop="1" thickBot="1" x14ac:dyDescent="0.25">
      <c r="C154" s="119"/>
      <c r="D154" s="294" t="s">
        <v>7</v>
      </c>
      <c r="E154" s="295"/>
      <c r="F154" s="294" t="s">
        <v>30</v>
      </c>
      <c r="G154" s="295"/>
      <c r="H154" s="294" t="s">
        <v>31</v>
      </c>
      <c r="I154" s="295"/>
      <c r="J154" s="294" t="s">
        <v>32</v>
      </c>
      <c r="K154" s="295"/>
      <c r="L154" s="294" t="s">
        <v>33</v>
      </c>
      <c r="M154" s="295"/>
    </row>
    <row r="155" spans="3:13" ht="31.5" customHeight="1" thickBot="1" x14ac:dyDescent="0.25">
      <c r="C155" s="120"/>
      <c r="D155" s="121" t="s">
        <v>62</v>
      </c>
      <c r="E155" s="122" t="s">
        <v>35</v>
      </c>
      <c r="F155" s="121" t="s">
        <v>62</v>
      </c>
      <c r="G155" s="122" t="s">
        <v>35</v>
      </c>
      <c r="H155" s="121" t="s">
        <v>62</v>
      </c>
      <c r="I155" s="122" t="s">
        <v>35</v>
      </c>
      <c r="J155" s="121" t="s">
        <v>62</v>
      </c>
      <c r="K155" s="122" t="s">
        <v>35</v>
      </c>
      <c r="L155" s="121" t="s">
        <v>62</v>
      </c>
      <c r="M155" s="122" t="s">
        <v>35</v>
      </c>
    </row>
    <row r="156" spans="3:13" ht="24" customHeight="1" thickBot="1" x14ac:dyDescent="0.25">
      <c r="C156" s="123" t="s">
        <v>36</v>
      </c>
      <c r="D156" s="124">
        <v>359460</v>
      </c>
      <c r="E156" s="125">
        <v>0.12529583390726162</v>
      </c>
      <c r="F156" s="124">
        <v>53380</v>
      </c>
      <c r="G156" s="125">
        <v>4.8378291888635516E-3</v>
      </c>
      <c r="H156" s="124">
        <v>13695</v>
      </c>
      <c r="I156" s="125">
        <v>0.23333933717579258</v>
      </c>
      <c r="J156" s="124">
        <v>138103</v>
      </c>
      <c r="K156" s="125">
        <v>9.3002089401038379E-2</v>
      </c>
      <c r="L156" s="124">
        <v>154282</v>
      </c>
      <c r="M156" s="125">
        <v>0.19731174868264811</v>
      </c>
    </row>
    <row r="157" spans="3:13" ht="24" customHeight="1" thickBot="1" x14ac:dyDescent="0.25">
      <c r="C157" s="126" t="s">
        <v>37</v>
      </c>
      <c r="D157" s="127">
        <v>96103.41188454692</v>
      </c>
      <c r="E157" s="128">
        <v>0.32762121612420381</v>
      </c>
      <c r="F157" s="127" t="s">
        <v>38</v>
      </c>
      <c r="G157" s="128" t="s">
        <v>38</v>
      </c>
      <c r="H157" s="127" t="s">
        <v>38</v>
      </c>
      <c r="I157" s="128" t="s">
        <v>38</v>
      </c>
      <c r="J157" s="127" t="s">
        <v>38</v>
      </c>
      <c r="K157" s="128" t="s">
        <v>38</v>
      </c>
      <c r="L157" s="127" t="s">
        <v>38</v>
      </c>
      <c r="M157" s="128" t="s">
        <v>38</v>
      </c>
    </row>
    <row r="158" spans="3:13" ht="24" customHeight="1" thickBot="1" x14ac:dyDescent="0.25">
      <c r="C158" s="129" t="s">
        <v>39</v>
      </c>
      <c r="D158" s="130">
        <v>49540.797559848004</v>
      </c>
      <c r="E158" s="131">
        <v>0.16854253855683354</v>
      </c>
      <c r="F158" s="130" t="s">
        <v>38</v>
      </c>
      <c r="G158" s="131" t="s">
        <v>38</v>
      </c>
      <c r="H158" s="130" t="s">
        <v>38</v>
      </c>
      <c r="I158" s="131" t="s">
        <v>38</v>
      </c>
      <c r="J158" s="130" t="s">
        <v>38</v>
      </c>
      <c r="K158" s="131" t="s">
        <v>38</v>
      </c>
      <c r="L158" s="130" t="s">
        <v>38</v>
      </c>
      <c r="M158" s="131" t="s">
        <v>38</v>
      </c>
    </row>
    <row r="159" spans="3:13" ht="24" customHeight="1" thickBot="1" x14ac:dyDescent="0.25">
      <c r="C159" s="129" t="s">
        <v>40</v>
      </c>
      <c r="D159" s="130">
        <v>213815.79055560508</v>
      </c>
      <c r="E159" s="131">
        <v>4.4772568324913831E-2</v>
      </c>
      <c r="F159" s="130" t="s">
        <v>38</v>
      </c>
      <c r="G159" s="131" t="s">
        <v>38</v>
      </c>
      <c r="H159" s="130" t="s">
        <v>38</v>
      </c>
      <c r="I159" s="131" t="s">
        <v>38</v>
      </c>
      <c r="J159" s="130" t="s">
        <v>38</v>
      </c>
      <c r="K159" s="131" t="s">
        <v>38</v>
      </c>
      <c r="L159" s="130" t="s">
        <v>38</v>
      </c>
      <c r="M159" s="131" t="s">
        <v>38</v>
      </c>
    </row>
    <row r="160" spans="3:13" ht="24" customHeight="1" thickBot="1" x14ac:dyDescent="0.25">
      <c r="C160" s="132" t="s">
        <v>41</v>
      </c>
      <c r="D160" s="133">
        <v>56985</v>
      </c>
      <c r="E160" s="131">
        <v>2.6368401145512532E-2</v>
      </c>
      <c r="F160" s="133">
        <v>668</v>
      </c>
      <c r="G160" s="131">
        <v>0.13605442176870741</v>
      </c>
      <c r="H160" s="133">
        <v>489</v>
      </c>
      <c r="I160" s="131">
        <v>-6.679389312977102E-2</v>
      </c>
      <c r="J160" s="133">
        <v>4145</v>
      </c>
      <c r="K160" s="131">
        <v>-8.3370190181335735E-2</v>
      </c>
      <c r="L160" s="133">
        <v>51683</v>
      </c>
      <c r="M160" s="131">
        <v>3.600136308056201E-2</v>
      </c>
    </row>
    <row r="161" spans="3:13" ht="24" customHeight="1" thickBot="1" x14ac:dyDescent="0.25">
      <c r="C161" s="134" t="s">
        <v>42</v>
      </c>
      <c r="D161" s="130">
        <v>59089</v>
      </c>
      <c r="E161" s="131">
        <v>3.8087876179266011E-2</v>
      </c>
      <c r="F161" s="130">
        <v>504</v>
      </c>
      <c r="G161" s="131">
        <v>-0.22342064714946075</v>
      </c>
      <c r="H161" s="130">
        <v>425</v>
      </c>
      <c r="I161" s="131">
        <v>0.26865671641791056</v>
      </c>
      <c r="J161" s="130">
        <v>3105</v>
      </c>
      <c r="K161" s="131">
        <v>0.1113099498926271</v>
      </c>
      <c r="L161" s="130">
        <v>55055</v>
      </c>
      <c r="M161" s="131">
        <v>3.5978397907532544E-2</v>
      </c>
    </row>
    <row r="162" spans="3:13" ht="24" customHeight="1" thickBot="1" x14ac:dyDescent="0.25">
      <c r="C162" s="132" t="s">
        <v>43</v>
      </c>
      <c r="D162" s="133">
        <v>205747</v>
      </c>
      <c r="E162" s="131">
        <v>-3.4083386930945925E-2</v>
      </c>
      <c r="F162" s="133">
        <v>4416</v>
      </c>
      <c r="G162" s="131">
        <v>-2.5380710659898442E-2</v>
      </c>
      <c r="H162" s="133">
        <v>5558</v>
      </c>
      <c r="I162" s="131">
        <v>0.21566054243219601</v>
      </c>
      <c r="J162" s="133">
        <v>77638</v>
      </c>
      <c r="K162" s="131">
        <v>-7.1948551824712825E-2</v>
      </c>
      <c r="L162" s="133">
        <v>118135</v>
      </c>
      <c r="M162" s="131">
        <v>-1.7563847746721373E-2</v>
      </c>
    </row>
    <row r="163" spans="3:13" ht="24" customHeight="1" thickBot="1" x14ac:dyDescent="0.25">
      <c r="C163" s="134" t="s">
        <v>44</v>
      </c>
      <c r="D163" s="130">
        <v>72950</v>
      </c>
      <c r="E163" s="131">
        <v>4.4650017184098889E-2</v>
      </c>
      <c r="F163" s="130">
        <v>2276</v>
      </c>
      <c r="G163" s="131">
        <v>2.8003613369466995E-2</v>
      </c>
      <c r="H163" s="130">
        <v>2617</v>
      </c>
      <c r="I163" s="131">
        <v>0.28347229033840127</v>
      </c>
      <c r="J163" s="130">
        <v>15192</v>
      </c>
      <c r="K163" s="131">
        <v>0.13229484981739592</v>
      </c>
      <c r="L163" s="130">
        <v>52865</v>
      </c>
      <c r="M163" s="131">
        <v>1.3477243970706709E-2</v>
      </c>
    </row>
    <row r="164" spans="3:13" ht="24" customHeight="1" thickBot="1" x14ac:dyDescent="0.25">
      <c r="C164" s="132" t="s">
        <v>45</v>
      </c>
      <c r="D164" s="133">
        <v>695476</v>
      </c>
      <c r="E164" s="131">
        <v>0.13050050959617554</v>
      </c>
      <c r="F164" s="133">
        <v>4016</v>
      </c>
      <c r="G164" s="131">
        <v>1.2465719272001241E-3</v>
      </c>
      <c r="H164" s="133">
        <v>1555</v>
      </c>
      <c r="I164" s="131">
        <v>0.16392215568862278</v>
      </c>
      <c r="J164" s="133">
        <v>34458</v>
      </c>
      <c r="K164" s="131">
        <v>8.5222978080121026E-2</v>
      </c>
      <c r="L164" s="133">
        <v>655447</v>
      </c>
      <c r="M164" s="131">
        <v>0.13380695872989512</v>
      </c>
    </row>
    <row r="165" spans="3:13" ht="24" customHeight="1" thickBot="1" x14ac:dyDescent="0.25">
      <c r="C165" s="134" t="s">
        <v>46</v>
      </c>
      <c r="D165" s="130">
        <v>41920</v>
      </c>
      <c r="E165" s="131">
        <v>0.22358435493286621</v>
      </c>
      <c r="F165" s="130">
        <v>451</v>
      </c>
      <c r="G165" s="131">
        <v>0.15641025641025652</v>
      </c>
      <c r="H165" s="130">
        <v>146</v>
      </c>
      <c r="I165" s="131">
        <v>6.5693430656934337E-2</v>
      </c>
      <c r="J165" s="130">
        <v>2521</v>
      </c>
      <c r="K165" s="131">
        <v>4.9105285060341286E-2</v>
      </c>
      <c r="L165" s="130">
        <v>38802</v>
      </c>
      <c r="M165" s="131">
        <v>0.2384934567507182</v>
      </c>
    </row>
    <row r="166" spans="3:13" ht="24" customHeight="1" thickBot="1" x14ac:dyDescent="0.25">
      <c r="C166" s="132" t="s">
        <v>47</v>
      </c>
      <c r="D166" s="133">
        <v>55810</v>
      </c>
      <c r="E166" s="131">
        <v>0.10085409393060729</v>
      </c>
      <c r="F166" s="133">
        <v>2533</v>
      </c>
      <c r="G166" s="131">
        <v>8.3868207103123593E-2</v>
      </c>
      <c r="H166" s="133">
        <v>672</v>
      </c>
      <c r="I166" s="131">
        <v>0</v>
      </c>
      <c r="J166" s="133">
        <v>5355</v>
      </c>
      <c r="K166" s="131">
        <v>3.6384749371008329E-2</v>
      </c>
      <c r="L166" s="133">
        <v>47250</v>
      </c>
      <c r="M166" s="131">
        <v>0.11121563462759587</v>
      </c>
    </row>
    <row r="167" spans="3:13" ht="24" customHeight="1" thickBot="1" x14ac:dyDescent="0.25">
      <c r="C167" s="134" t="s">
        <v>48</v>
      </c>
      <c r="D167" s="130">
        <v>220540</v>
      </c>
      <c r="E167" s="131">
        <v>1.4980325379110315E-2</v>
      </c>
      <c r="F167" s="130">
        <v>4053</v>
      </c>
      <c r="G167" s="131">
        <v>-3.7749287749287763E-2</v>
      </c>
      <c r="H167" s="130">
        <v>676</v>
      </c>
      <c r="I167" s="131">
        <v>0.33333333333333326</v>
      </c>
      <c r="J167" s="130">
        <v>34666</v>
      </c>
      <c r="K167" s="131">
        <v>9.806778587266396E-2</v>
      </c>
      <c r="L167" s="130">
        <v>181145</v>
      </c>
      <c r="M167" s="131">
        <v>8.232226126543285E-4</v>
      </c>
    </row>
    <row r="168" spans="3:13" ht="24" customHeight="1" thickBot="1" x14ac:dyDescent="0.25">
      <c r="C168" s="135" t="s">
        <v>49</v>
      </c>
      <c r="D168" s="133">
        <v>65869</v>
      </c>
      <c r="E168" s="131">
        <v>-0.15844948959384697</v>
      </c>
      <c r="F168" s="133">
        <v>1467</v>
      </c>
      <c r="G168" s="131">
        <v>-6.6199872692552564E-2</v>
      </c>
      <c r="H168" s="133">
        <v>214</v>
      </c>
      <c r="I168" s="131">
        <v>-7.7586206896551713E-2</v>
      </c>
      <c r="J168" s="133">
        <v>8352</v>
      </c>
      <c r="K168" s="131">
        <v>3.8461538461538325E-3</v>
      </c>
      <c r="L168" s="133">
        <v>55836</v>
      </c>
      <c r="M168" s="131">
        <v>-0.18066561014263072</v>
      </c>
    </row>
    <row r="169" spans="3:13" ht="24" customHeight="1" thickBot="1" x14ac:dyDescent="0.25">
      <c r="C169" s="129" t="s">
        <v>50</v>
      </c>
      <c r="D169" s="130">
        <v>41296</v>
      </c>
      <c r="E169" s="131">
        <v>0.1625471538764709</v>
      </c>
      <c r="F169" s="130">
        <v>877</v>
      </c>
      <c r="G169" s="131">
        <v>-0.13935230618253192</v>
      </c>
      <c r="H169" s="130">
        <v>145</v>
      </c>
      <c r="I169" s="131">
        <v>0.90789473684210531</v>
      </c>
      <c r="J169" s="130">
        <v>3897</v>
      </c>
      <c r="K169" s="131">
        <v>0.36211114994757088</v>
      </c>
      <c r="L169" s="130">
        <v>36377</v>
      </c>
      <c r="M169" s="131">
        <v>0.15241082177025911</v>
      </c>
    </row>
    <row r="170" spans="3:13" ht="24" customHeight="1" thickBot="1" x14ac:dyDescent="0.25">
      <c r="C170" s="135" t="s">
        <v>51</v>
      </c>
      <c r="D170" s="133">
        <v>52657</v>
      </c>
      <c r="E170" s="131">
        <v>0.14868785584956701</v>
      </c>
      <c r="F170" s="133">
        <v>881</v>
      </c>
      <c r="G170" s="131">
        <v>9.9875156054931358E-2</v>
      </c>
      <c r="H170" s="133">
        <v>174</v>
      </c>
      <c r="I170" s="131">
        <v>0.38095238095238093</v>
      </c>
      <c r="J170" s="133">
        <v>6814</v>
      </c>
      <c r="K170" s="131">
        <v>0.33791478499901828</v>
      </c>
      <c r="L170" s="133">
        <v>44788</v>
      </c>
      <c r="M170" s="131">
        <v>0.12473318098490749</v>
      </c>
    </row>
    <row r="171" spans="3:13" ht="24" customHeight="1" thickBot="1" x14ac:dyDescent="0.25">
      <c r="C171" s="129" t="s">
        <v>52</v>
      </c>
      <c r="D171" s="130">
        <v>60718</v>
      </c>
      <c r="E171" s="131">
        <v>5.3199424121003869E-2</v>
      </c>
      <c r="F171" s="130">
        <v>828</v>
      </c>
      <c r="G171" s="131">
        <v>8.5261875761266648E-3</v>
      </c>
      <c r="H171" s="130">
        <v>143</v>
      </c>
      <c r="I171" s="131">
        <v>0.95890410958904115</v>
      </c>
      <c r="J171" s="130">
        <v>15603</v>
      </c>
      <c r="K171" s="131">
        <v>2.0070606694560622E-2</v>
      </c>
      <c r="L171" s="130">
        <v>44144</v>
      </c>
      <c r="M171" s="131">
        <v>6.471141554714066E-2</v>
      </c>
    </row>
    <row r="172" spans="3:13" ht="24" customHeight="1" thickBot="1" x14ac:dyDescent="0.25">
      <c r="C172" s="132" t="s">
        <v>53</v>
      </c>
      <c r="D172" s="133">
        <v>17403</v>
      </c>
      <c r="E172" s="131">
        <v>-1.3826712755709236E-2</v>
      </c>
      <c r="F172" s="133">
        <v>587</v>
      </c>
      <c r="G172" s="131">
        <v>5.3859964093357249E-2</v>
      </c>
      <c r="H172" s="133">
        <v>413</v>
      </c>
      <c r="I172" s="131">
        <v>0.18678160919540221</v>
      </c>
      <c r="J172" s="133">
        <v>2806</v>
      </c>
      <c r="K172" s="131">
        <v>-0.1103360811667724</v>
      </c>
      <c r="L172" s="133">
        <v>13597</v>
      </c>
      <c r="M172" s="131">
        <v>6.6234913158669251E-4</v>
      </c>
    </row>
    <row r="173" spans="3:13" ht="24" customHeight="1" thickBot="1" x14ac:dyDescent="0.25">
      <c r="C173" s="134" t="s">
        <v>54</v>
      </c>
      <c r="D173" s="130">
        <v>12738</v>
      </c>
      <c r="E173" s="131">
        <v>0.1876923076923076</v>
      </c>
      <c r="F173" s="130">
        <v>322</v>
      </c>
      <c r="G173" s="131">
        <v>0.14590747330960863</v>
      </c>
      <c r="H173" s="130">
        <v>213</v>
      </c>
      <c r="I173" s="131">
        <v>-0.24734982332155475</v>
      </c>
      <c r="J173" s="130">
        <v>3227</v>
      </c>
      <c r="K173" s="131">
        <v>0.23309132594573945</v>
      </c>
      <c r="L173" s="130">
        <v>8976</v>
      </c>
      <c r="M173" s="131">
        <v>0.18981972428419946</v>
      </c>
    </row>
    <row r="174" spans="3:13" ht="24" customHeight="1" thickBot="1" x14ac:dyDescent="0.25">
      <c r="C174" s="132" t="s">
        <v>55</v>
      </c>
      <c r="D174" s="133">
        <v>30708</v>
      </c>
      <c r="E174" s="131">
        <v>0.30794786608740088</v>
      </c>
      <c r="F174" s="133">
        <v>1170</v>
      </c>
      <c r="G174" s="131">
        <v>0.23417721518987333</v>
      </c>
      <c r="H174" s="133">
        <v>425</v>
      </c>
      <c r="I174" s="131">
        <v>1.1144278606965172</v>
      </c>
      <c r="J174" s="133">
        <v>3795</v>
      </c>
      <c r="K174" s="131">
        <v>0.44792064097672646</v>
      </c>
      <c r="L174" s="133">
        <v>25318</v>
      </c>
      <c r="M174" s="131">
        <v>0.28465597726811454</v>
      </c>
    </row>
    <row r="175" spans="3:13" ht="24" customHeight="1" thickBot="1" x14ac:dyDescent="0.25">
      <c r="C175" s="134" t="s">
        <v>56</v>
      </c>
      <c r="D175" s="130">
        <v>54372</v>
      </c>
      <c r="E175" s="131">
        <v>4.9186654574223887E-2</v>
      </c>
      <c r="F175" s="130">
        <v>966</v>
      </c>
      <c r="G175" s="131">
        <v>5.8050383351588186E-2</v>
      </c>
      <c r="H175" s="130">
        <v>407</v>
      </c>
      <c r="I175" s="131">
        <v>0.36577181208053688</v>
      </c>
      <c r="J175" s="130">
        <v>6968</v>
      </c>
      <c r="K175" s="131">
        <v>0.37463010455711188</v>
      </c>
      <c r="L175" s="130">
        <v>46031</v>
      </c>
      <c r="M175" s="131">
        <v>1.0715148321366552E-2</v>
      </c>
    </row>
    <row r="176" spans="3:13" ht="24" customHeight="1" thickBot="1" x14ac:dyDescent="0.25">
      <c r="C176" s="132" t="s">
        <v>57</v>
      </c>
      <c r="D176" s="133">
        <v>48519</v>
      </c>
      <c r="E176" s="131">
        <v>3.0061779504490183E-2</v>
      </c>
      <c r="F176" s="133">
        <v>2230</v>
      </c>
      <c r="G176" s="131">
        <v>9.2601665850073456E-2</v>
      </c>
      <c r="H176" s="133">
        <v>307</v>
      </c>
      <c r="I176" s="131">
        <v>7.7192982456140369E-2</v>
      </c>
      <c r="J176" s="133">
        <v>12054</v>
      </c>
      <c r="K176" s="131">
        <v>0.15139936956729394</v>
      </c>
      <c r="L176" s="133">
        <v>33928</v>
      </c>
      <c r="M176" s="131">
        <v>-1.1076133846333214E-2</v>
      </c>
    </row>
    <row r="177" spans="3:18" ht="24" customHeight="1" thickBot="1" x14ac:dyDescent="0.25">
      <c r="C177" s="134" t="s">
        <v>58</v>
      </c>
      <c r="D177" s="130">
        <v>8891</v>
      </c>
      <c r="E177" s="131">
        <v>0.18058690744920991</v>
      </c>
      <c r="F177" s="130">
        <v>884</v>
      </c>
      <c r="G177" s="131">
        <v>4.6153846153846212E-2</v>
      </c>
      <c r="H177" s="130">
        <v>339</v>
      </c>
      <c r="I177" s="131">
        <v>-6.3535911602209949E-2</v>
      </c>
      <c r="J177" s="130">
        <v>1180</v>
      </c>
      <c r="K177" s="131">
        <v>-3.0402629416598215E-2</v>
      </c>
      <c r="L177" s="130">
        <v>6488</v>
      </c>
      <c r="M177" s="131">
        <v>0.27041315841002556</v>
      </c>
    </row>
    <row r="178" spans="3:18" ht="24" customHeight="1" thickBot="1" x14ac:dyDescent="0.25">
      <c r="C178" s="132" t="s">
        <v>59</v>
      </c>
      <c r="D178" s="133">
        <v>7281</v>
      </c>
      <c r="E178" s="131">
        <v>3.9400428265524701E-2</v>
      </c>
      <c r="F178" s="133">
        <v>1668</v>
      </c>
      <c r="G178" s="131">
        <v>-4.4126074498567314E-2</v>
      </c>
      <c r="H178" s="133">
        <v>378</v>
      </c>
      <c r="I178" s="131">
        <v>-2.6385224274406704E-3</v>
      </c>
      <c r="J178" s="133">
        <v>2057</v>
      </c>
      <c r="K178" s="131">
        <v>0.31690140845070425</v>
      </c>
      <c r="L178" s="133">
        <v>3178</v>
      </c>
      <c r="M178" s="131">
        <v>-4.2482675504670109E-2</v>
      </c>
    </row>
    <row r="179" spans="3:18" ht="24" customHeight="1" thickBot="1" x14ac:dyDescent="0.25">
      <c r="C179" s="134" t="s">
        <v>60</v>
      </c>
      <c r="D179" s="136">
        <v>28724</v>
      </c>
      <c r="E179" s="137">
        <v>0.10498172725524135</v>
      </c>
      <c r="F179" s="136">
        <v>2357</v>
      </c>
      <c r="G179" s="137">
        <v>4.9888641425389846E-2</v>
      </c>
      <c r="H179" s="136">
        <v>681</v>
      </c>
      <c r="I179" s="137">
        <v>0.3458498023715415</v>
      </c>
      <c r="J179" s="136">
        <v>5974</v>
      </c>
      <c r="K179" s="137">
        <v>0.189329086203464</v>
      </c>
      <c r="L179" s="136">
        <v>19712</v>
      </c>
      <c r="M179" s="137">
        <v>8.182865923933913E-2</v>
      </c>
    </row>
    <row r="180" spans="3:18" ht="30.75" customHeight="1" thickTop="1" thickBot="1" x14ac:dyDescent="0.25">
      <c r="C180" s="138" t="s">
        <v>61</v>
      </c>
      <c r="D180" s="139">
        <v>1617153</v>
      </c>
      <c r="E180" s="140">
        <v>7.5218264614304475E-2</v>
      </c>
      <c r="F180" s="139">
        <v>29101</v>
      </c>
      <c r="G180" s="140">
        <v>2.0836987406601892E-2</v>
      </c>
      <c r="H180" s="139">
        <v>15301</v>
      </c>
      <c r="I180" s="140">
        <v>0.19688673341677099</v>
      </c>
      <c r="J180" s="139">
        <v>215141</v>
      </c>
      <c r="K180" s="140">
        <v>3.9258214420280657E-2</v>
      </c>
      <c r="L180" s="139">
        <v>1357610</v>
      </c>
      <c r="M180" s="140">
        <v>8.1142422104325984E-2</v>
      </c>
    </row>
    <row r="181" spans="3:18" ht="24" customHeight="1" thickBot="1" x14ac:dyDescent="0.25">
      <c r="C181" s="141" t="s">
        <v>8</v>
      </c>
      <c r="D181" s="142">
        <v>1976613</v>
      </c>
      <c r="E181" s="143">
        <v>8.3990920552641901E-2</v>
      </c>
      <c r="F181" s="142">
        <v>82481</v>
      </c>
      <c r="G181" s="143">
        <v>1.0425088815386507E-2</v>
      </c>
      <c r="H181" s="142">
        <v>28996</v>
      </c>
      <c r="I181" s="143">
        <v>0.21383121232417945</v>
      </c>
      <c r="J181" s="142">
        <v>353244</v>
      </c>
      <c r="K181" s="143">
        <v>5.9628156440668878E-2</v>
      </c>
      <c r="L181" s="142">
        <v>1511892</v>
      </c>
      <c r="M181" s="143">
        <v>9.195384865391909E-2</v>
      </c>
    </row>
    <row r="182" spans="3:18" ht="18" customHeight="1" x14ac:dyDescent="0.2"/>
    <row r="183" spans="3:18" ht="17.25" hidden="1" customHeight="1" x14ac:dyDescent="0.2">
      <c r="C183" s="296"/>
      <c r="D183" s="297"/>
      <c r="E183" s="297"/>
      <c r="F183" s="297"/>
      <c r="G183" s="297"/>
      <c r="H183" s="297"/>
      <c r="I183" s="297"/>
      <c r="J183" s="297"/>
      <c r="K183" s="297"/>
      <c r="L183" s="297"/>
      <c r="M183" s="298"/>
    </row>
    <row r="184" spans="3:18" ht="21.75" hidden="1" customHeight="1" x14ac:dyDescent="0.2">
      <c r="C184" s="109"/>
      <c r="D184" s="110"/>
      <c r="E184" s="299" t="str">
        <f>$E$1</f>
        <v>INDICADORES TURÍSTICOS DE TENERIFE definitivo</v>
      </c>
      <c r="F184" s="300"/>
      <c r="G184" s="300"/>
      <c r="H184" s="300"/>
      <c r="I184" s="300"/>
      <c r="J184" s="300"/>
      <c r="K184" s="301"/>
      <c r="L184" s="110"/>
      <c r="M184" s="112"/>
    </row>
    <row r="185" spans="3:18" ht="21.75" hidden="1" customHeight="1" x14ac:dyDescent="0.2">
      <c r="C185" s="109"/>
      <c r="D185" s="110"/>
      <c r="E185" s="111"/>
      <c r="F185" s="111"/>
      <c r="G185" s="111"/>
      <c r="H185" s="111"/>
      <c r="I185" s="111"/>
      <c r="J185" s="111"/>
      <c r="K185" s="111"/>
      <c r="L185" s="110"/>
      <c r="M185" s="112"/>
    </row>
    <row r="186" spans="3:18" ht="33" hidden="1" customHeight="1" x14ac:dyDescent="0.2">
      <c r="C186" s="302" t="s">
        <v>29</v>
      </c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145"/>
    </row>
    <row r="187" spans="3:18" ht="20.100000000000001" hidden="1" customHeight="1" x14ac:dyDescent="0.2">
      <c r="C187" s="304">
        <f>E3</f>
        <v>0</v>
      </c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</row>
    <row r="188" spans="3:18" ht="17.25" hidden="1" customHeight="1" x14ac:dyDescent="0.2">
      <c r="C188" s="146"/>
      <c r="D188" s="306" t="s">
        <v>24</v>
      </c>
      <c r="E188" s="307"/>
      <c r="F188" s="306" t="s">
        <v>23</v>
      </c>
      <c r="G188" s="307"/>
      <c r="H188" s="306" t="s">
        <v>22</v>
      </c>
      <c r="I188" s="307"/>
      <c r="J188" s="306" t="s">
        <v>21</v>
      </c>
      <c r="K188" s="307"/>
      <c r="L188" s="306" t="s">
        <v>20</v>
      </c>
      <c r="M188" s="307"/>
      <c r="N188" s="306" t="s">
        <v>63</v>
      </c>
      <c r="O188" s="307"/>
      <c r="P188" s="306" t="s">
        <v>64</v>
      </c>
      <c r="Q188" s="307"/>
    </row>
    <row r="189" spans="3:18" ht="28.5" hidden="1" customHeight="1" x14ac:dyDescent="0.2">
      <c r="C189" s="146"/>
      <c r="D189" s="147" t="s">
        <v>35</v>
      </c>
      <c r="E189" s="147" t="s">
        <v>34</v>
      </c>
      <c r="F189" s="147" t="s">
        <v>35</v>
      </c>
      <c r="G189" s="147" t="s">
        <v>34</v>
      </c>
      <c r="H189" s="147" t="s">
        <v>35</v>
      </c>
      <c r="I189" s="147" t="s">
        <v>34</v>
      </c>
      <c r="J189" s="147" t="s">
        <v>35</v>
      </c>
      <c r="K189" s="147" t="s">
        <v>34</v>
      </c>
      <c r="L189" s="147" t="s">
        <v>35</v>
      </c>
      <c r="M189" s="147" t="s">
        <v>34</v>
      </c>
      <c r="N189" s="147" t="s">
        <v>35</v>
      </c>
      <c r="O189" s="147" t="s">
        <v>34</v>
      </c>
      <c r="P189" s="147" t="s">
        <v>35</v>
      </c>
      <c r="Q189" s="147" t="s">
        <v>34</v>
      </c>
    </row>
    <row r="190" spans="3:18" ht="24" hidden="1" customHeight="1" x14ac:dyDescent="0.2">
      <c r="C190" s="148" t="s">
        <v>36</v>
      </c>
      <c r="D190" s="149" t="e">
        <f>VLOOKUP("españa",#REF!,6,FALSE)/VLOOKUP("españa",#REF!,6,FALSE)-1</f>
        <v>#REF!</v>
      </c>
      <c r="E190" s="150" t="e">
        <f>VLOOKUP("españa",#REF!,6,FALSE)</f>
        <v>#REF!</v>
      </c>
      <c r="F190" s="149" t="e">
        <f>VLOOKUP("españa",#REF!,5,FALSE)/VLOOKUP("españa",#REF!,5,FALSE)-1</f>
        <v>#REF!</v>
      </c>
      <c r="G190" s="150" t="e">
        <f>VLOOKUP("españa",#REF!,5,FALSE)</f>
        <v>#REF!</v>
      </c>
      <c r="H190" s="149" t="e">
        <f>VLOOKUP("españa",#REF!,4,FALSE)/VLOOKUP("españa",#REF!,4,FALSE)-1</f>
        <v>#REF!</v>
      </c>
      <c r="I190" s="150" t="e">
        <f>VLOOKUP("españa",#REF!,4,FALSE)</f>
        <v>#REF!</v>
      </c>
      <c r="J190" s="149" t="e">
        <f>VLOOKUP("españa",#REF!,3,FALSE)/VLOOKUP("españa",#REF!,3,FALSE)-1</f>
        <v>#REF!</v>
      </c>
      <c r="K190" s="150" t="e">
        <f>VLOOKUP("españa",#REF!,3,FALSE)</f>
        <v>#REF!</v>
      </c>
      <c r="L190" s="149" t="e">
        <f>VLOOKUP("españa",#REF!,2,FALSE)/VLOOKUP("españa",#REF!,2,FALSE)-1</f>
        <v>#REF!</v>
      </c>
      <c r="M190" s="150" t="e">
        <f>VLOOKUP("españa",#REF!,2,FALSE)</f>
        <v>#REF!</v>
      </c>
      <c r="N190" s="149" t="e">
        <f>VLOOKUP("españa",#REF!,7,FALSE)/VLOOKUP("españa",#REF!,7,FALSE)-1</f>
        <v>#REF!</v>
      </c>
      <c r="O190" s="150" t="e">
        <f>VLOOKUP("españa",#REF!,7,FALSE)</f>
        <v>#REF!</v>
      </c>
      <c r="P190" s="149" t="e">
        <f>VLOOKUP("españa",#REF!,8,FALSE)/VLOOKUP("españa",#REF!,8,FALSE)-1</f>
        <v>#REF!</v>
      </c>
      <c r="Q190" s="150" t="e">
        <f>VLOOKUP("españa",#REF!,8,FALSE)</f>
        <v>#REF!</v>
      </c>
    </row>
    <row r="191" spans="3:18" ht="24" hidden="1" customHeight="1" x14ac:dyDescent="0.2">
      <c r="C191" s="148" t="s">
        <v>41</v>
      </c>
      <c r="D191" s="149" t="e">
        <f>VLOOKUP("holanda",#REF!,6,FALSE)/VLOOKUP("holanda",#REF!,6,FALSE)-1</f>
        <v>#REF!</v>
      </c>
      <c r="E191" s="150" t="e">
        <f>VLOOKUP("holanda",#REF!,6,FALSE)</f>
        <v>#REF!</v>
      </c>
      <c r="F191" s="149" t="e">
        <f>VLOOKUP("holanda",#REF!,5,FALSE)/VLOOKUP("holanda",#REF!,5,FALSE)-1</f>
        <v>#REF!</v>
      </c>
      <c r="G191" s="150" t="e">
        <f>VLOOKUP("holanda",#REF!,5,FALSE)</f>
        <v>#REF!</v>
      </c>
      <c r="H191" s="149" t="e">
        <f>VLOOKUP("holanda",#REF!,4,FALSE)/VLOOKUP("holanda",#REF!,4,FALSE)-1</f>
        <v>#REF!</v>
      </c>
      <c r="I191" s="150" t="e">
        <f>VLOOKUP("holanda",#REF!,4,FALSE)</f>
        <v>#REF!</v>
      </c>
      <c r="J191" s="149" t="e">
        <f>VLOOKUP("holanda",#REF!,3,FALSE)/VLOOKUP("holanda",#REF!,3,FALSE)-1</f>
        <v>#REF!</v>
      </c>
      <c r="K191" s="150" t="e">
        <f>VLOOKUP("holanda",#REF!,3,FALSE)</f>
        <v>#REF!</v>
      </c>
      <c r="L191" s="149" t="e">
        <f>VLOOKUP("holanda",#REF!,2,FALSE)/VLOOKUP("holanda",#REF!,2,FALSE)-1</f>
        <v>#REF!</v>
      </c>
      <c r="M191" s="150" t="e">
        <f>VLOOKUP("holanda",#REF!,2,FALSE)</f>
        <v>#REF!</v>
      </c>
      <c r="N191" s="149" t="e">
        <f>VLOOKUP("holanda",#REF!,7,FALSE)/VLOOKUP("holanda",#REF!,7,FALSE)-1</f>
        <v>#REF!</v>
      </c>
      <c r="O191" s="150" t="e">
        <f>VLOOKUP("holanda",#REF!,7,FALSE)</f>
        <v>#REF!</v>
      </c>
      <c r="P191" s="149" t="e">
        <f>VLOOKUP("holanda",#REF!,8,FALSE)/VLOOKUP("holanda",#REF!,8,FALSE)-1</f>
        <v>#REF!</v>
      </c>
      <c r="Q191" s="150" t="e">
        <f>VLOOKUP("holanda",#REF!,8,FALSE)</f>
        <v>#REF!</v>
      </c>
    </row>
    <row r="192" spans="3:18" ht="24" hidden="1" customHeight="1" x14ac:dyDescent="0.2">
      <c r="C192" s="148" t="s">
        <v>42</v>
      </c>
      <c r="D192" s="149" t="e">
        <f>VLOOKUP("belgica",#REF!,6,FALSE)/VLOOKUP("belgica",#REF!,6,FALSE)-1</f>
        <v>#REF!</v>
      </c>
      <c r="E192" s="150" t="e">
        <f>VLOOKUP("belgica",#REF!,6,FALSE)</f>
        <v>#REF!</v>
      </c>
      <c r="F192" s="149" t="e">
        <f>VLOOKUP("belgica",#REF!,5,FALSE)/VLOOKUP("belgica",#REF!,5,FALSE)-1</f>
        <v>#REF!</v>
      </c>
      <c r="G192" s="150" t="e">
        <f>VLOOKUP("belgica",#REF!,5,FALSE)</f>
        <v>#REF!</v>
      </c>
      <c r="H192" s="149" t="e">
        <f>VLOOKUP("belgica",#REF!,4,FALSE)/VLOOKUP("belgica",#REF!,4,FALSE)-1</f>
        <v>#REF!</v>
      </c>
      <c r="I192" s="150" t="e">
        <f>VLOOKUP("belgica",#REF!,4,FALSE)</f>
        <v>#REF!</v>
      </c>
      <c r="J192" s="149" t="e">
        <f>VLOOKUP("belgica",#REF!,3,FALSE)/VLOOKUP("belgica",#REF!,3,FALSE)-1</f>
        <v>#REF!</v>
      </c>
      <c r="K192" s="150" t="e">
        <f>VLOOKUP("belgica",#REF!,3,FALSE)</f>
        <v>#REF!</v>
      </c>
      <c r="L192" s="149" t="e">
        <f>VLOOKUP("belgica",#REF!,2,FALSE)/VLOOKUP("belgica",#REF!,2,FALSE)-1</f>
        <v>#REF!</v>
      </c>
      <c r="M192" s="150" t="e">
        <f>VLOOKUP("belgica",#REF!,2,FALSE)</f>
        <v>#REF!</v>
      </c>
      <c r="N192" s="149" t="e">
        <f>VLOOKUP("belgica",#REF!,7,FALSE)/VLOOKUP("belgica",#REF!,7,FALSE)-1</f>
        <v>#REF!</v>
      </c>
      <c r="O192" s="150" t="e">
        <f>VLOOKUP("belgica",#REF!,7,FALSE)</f>
        <v>#REF!</v>
      </c>
      <c r="P192" s="149" t="e">
        <f>VLOOKUP("belgica",#REF!,8,FALSE)/VLOOKUP("belgica",#REF!,8,FALSE)-1</f>
        <v>#REF!</v>
      </c>
      <c r="Q192" s="150" t="e">
        <f>VLOOKUP("belgica",#REF!,8,FALSE)</f>
        <v>#REF!</v>
      </c>
    </row>
    <row r="193" spans="3:17" ht="24" hidden="1" customHeight="1" x14ac:dyDescent="0.2">
      <c r="C193" s="148" t="s">
        <v>43</v>
      </c>
      <c r="D193" s="149" t="e">
        <f>VLOOKUP("alemania",#REF!,6,FALSE)/VLOOKUP("alemania",#REF!,6,FALSE)-1</f>
        <v>#REF!</v>
      </c>
      <c r="E193" s="150" t="e">
        <f>VLOOKUP("alemania",#REF!,6,FALSE)</f>
        <v>#REF!</v>
      </c>
      <c r="F193" s="149" t="e">
        <f>VLOOKUP("alemania",#REF!,5,FALSE)/VLOOKUP("alemania",#REF!,5,FALSE)-1</f>
        <v>#REF!</v>
      </c>
      <c r="G193" s="150" t="e">
        <f>VLOOKUP("alemania",#REF!,5,FALSE)</f>
        <v>#REF!</v>
      </c>
      <c r="H193" s="149" t="e">
        <f>VLOOKUP("alemania",#REF!,4,FALSE)/VLOOKUP("alemania",#REF!,4,FALSE)-1</f>
        <v>#REF!</v>
      </c>
      <c r="I193" s="150" t="e">
        <f>VLOOKUP("alemania",#REF!,4,FALSE)</f>
        <v>#REF!</v>
      </c>
      <c r="J193" s="149" t="e">
        <f>VLOOKUP("alemania",#REF!,3,FALSE)/VLOOKUP("alemania",#REF!,3,FALSE)-1</f>
        <v>#REF!</v>
      </c>
      <c r="K193" s="150" t="e">
        <f>VLOOKUP("alemania",#REF!,3,FALSE)</f>
        <v>#REF!</v>
      </c>
      <c r="L193" s="149" t="e">
        <f>VLOOKUP("alemania",#REF!,2,FALSE)/VLOOKUP("alemania",#REF!,2,FALSE)-1</f>
        <v>#REF!</v>
      </c>
      <c r="M193" s="150" t="e">
        <f>VLOOKUP("alemania",#REF!,2,FALSE)</f>
        <v>#REF!</v>
      </c>
      <c r="N193" s="149" t="e">
        <f>VLOOKUP("alemania",#REF!,7,FALSE)/VLOOKUP("alemania",#REF!,7,FALSE)-1</f>
        <v>#REF!</v>
      </c>
      <c r="O193" s="150" t="e">
        <f>VLOOKUP("alemania",#REF!,7,FALSE)</f>
        <v>#REF!</v>
      </c>
      <c r="P193" s="149" t="e">
        <f>VLOOKUP("alemania",#REF!,8,FALSE)/VLOOKUP("alemania",#REF!,8,FALSE)-1</f>
        <v>#REF!</v>
      </c>
      <c r="Q193" s="150" t="e">
        <f>VLOOKUP("alemania",#REF!,8,FALSE)</f>
        <v>#REF!</v>
      </c>
    </row>
    <row r="194" spans="3:17" ht="24" hidden="1" customHeight="1" x14ac:dyDescent="0.2">
      <c r="C194" s="148" t="s">
        <v>44</v>
      </c>
      <c r="D194" s="149" t="e">
        <f>VLOOKUP("francia",#REF!,6,FALSE)/VLOOKUP("francia",#REF!,6,FALSE)-1</f>
        <v>#REF!</v>
      </c>
      <c r="E194" s="150" t="e">
        <f>VLOOKUP("francia",#REF!,6,FALSE)</f>
        <v>#REF!</v>
      </c>
      <c r="F194" s="149" t="e">
        <f>VLOOKUP("francia",#REF!,5,FALSE)/VLOOKUP("francia",#REF!,5,FALSE)-1</f>
        <v>#REF!</v>
      </c>
      <c r="G194" s="150" t="e">
        <f>VLOOKUP("francia",#REF!,5,FALSE)</f>
        <v>#REF!</v>
      </c>
      <c r="H194" s="149" t="e">
        <f>VLOOKUP("francia",#REF!,4,FALSE)/VLOOKUP("francia",#REF!,4,FALSE)-1</f>
        <v>#REF!</v>
      </c>
      <c r="I194" s="150" t="e">
        <f>VLOOKUP("francia",#REF!,4,FALSE)</f>
        <v>#REF!</v>
      </c>
      <c r="J194" s="149" t="e">
        <f>VLOOKUP("francia",#REF!,3,FALSE)/VLOOKUP("francia",#REF!,3,FALSE)-1</f>
        <v>#REF!</v>
      </c>
      <c r="K194" s="150" t="e">
        <f>VLOOKUP("francia",#REF!,3,FALSE)</f>
        <v>#REF!</v>
      </c>
      <c r="L194" s="149" t="e">
        <f>VLOOKUP("francia",#REF!,2,FALSE)/VLOOKUP("francia",#REF!,2,FALSE)-1</f>
        <v>#REF!</v>
      </c>
      <c r="M194" s="150" t="e">
        <f>VLOOKUP("francia",#REF!,2,FALSE)</f>
        <v>#REF!</v>
      </c>
      <c r="N194" s="149" t="e">
        <f>VLOOKUP("francia",#REF!,7,FALSE)/VLOOKUP("francia",#REF!,7,FALSE)-1</f>
        <v>#REF!</v>
      </c>
      <c r="O194" s="150" t="e">
        <f>VLOOKUP("francia",#REF!,7,FALSE)</f>
        <v>#REF!</v>
      </c>
      <c r="P194" s="149" t="e">
        <f>VLOOKUP("francia",#REF!,8,FALSE)/VLOOKUP("francia",#REF!,8,FALSE)-1</f>
        <v>#REF!</v>
      </c>
      <c r="Q194" s="150" t="e">
        <f>VLOOKUP("francia",#REF!,8,FALSE)</f>
        <v>#REF!</v>
      </c>
    </row>
    <row r="195" spans="3:17" ht="24" hidden="1" customHeight="1" x14ac:dyDescent="0.2">
      <c r="C195" s="148" t="s">
        <v>45</v>
      </c>
      <c r="D195" s="149" t="e">
        <f>VLOOKUP("reino unido",#REF!,6,FALSE)/VLOOKUP("reino unido",#REF!,6,FALSE)-1</f>
        <v>#REF!</v>
      </c>
      <c r="E195" s="150" t="e">
        <f>VLOOKUP("reino unido",#REF!,6,FALSE)</f>
        <v>#REF!</v>
      </c>
      <c r="F195" s="149" t="e">
        <f>VLOOKUP("reino unido",#REF!,5,FALSE)/VLOOKUP("reino unido",#REF!,5,FALSE)-1</f>
        <v>#REF!</v>
      </c>
      <c r="G195" s="150" t="e">
        <f>VLOOKUP("reino unido",#REF!,5,FALSE)</f>
        <v>#REF!</v>
      </c>
      <c r="H195" s="149" t="e">
        <f>VLOOKUP("reino unido",#REF!,4,FALSE)/VLOOKUP("reino unido",#REF!,4,FALSE)-1</f>
        <v>#REF!</v>
      </c>
      <c r="I195" s="150" t="e">
        <f>VLOOKUP("reino unido",#REF!,4,FALSE)</f>
        <v>#REF!</v>
      </c>
      <c r="J195" s="149" t="e">
        <f>VLOOKUP("reino unido",#REF!,3,FALSE)/VLOOKUP("reino unido",#REF!,3,FALSE)-1</f>
        <v>#REF!</v>
      </c>
      <c r="K195" s="150" t="e">
        <f>VLOOKUP("reino unido",#REF!,3,FALSE)</f>
        <v>#REF!</v>
      </c>
      <c r="L195" s="149" t="e">
        <f>VLOOKUP("reino unido",#REF!,2,FALSE)/VLOOKUP("reino unido",#REF!,2,FALSE)-1</f>
        <v>#REF!</v>
      </c>
      <c r="M195" s="150" t="e">
        <f>VLOOKUP("reino unido",#REF!,2,FALSE)</f>
        <v>#REF!</v>
      </c>
      <c r="N195" s="149" t="e">
        <f>VLOOKUP("reino unido",#REF!,7,FALSE)/VLOOKUP("reino unido",#REF!,7,FALSE)-1</f>
        <v>#REF!</v>
      </c>
      <c r="O195" s="150" t="e">
        <f>VLOOKUP("reino unido",#REF!,7,FALSE)</f>
        <v>#REF!</v>
      </c>
      <c r="P195" s="149" t="e">
        <f>VLOOKUP("reino unido",#REF!,8,FALSE)/VLOOKUP("reino unido",#REF!,8,FALSE)-1</f>
        <v>#REF!</v>
      </c>
      <c r="Q195" s="150" t="e">
        <f>VLOOKUP("reino unido",#REF!,8,FALSE)</f>
        <v>#REF!</v>
      </c>
    </row>
    <row r="196" spans="3:17" ht="24" hidden="1" customHeight="1" x14ac:dyDescent="0.2">
      <c r="C196" s="148" t="s">
        <v>46</v>
      </c>
      <c r="D196" s="149" t="e">
        <f>VLOOKUP("irlanda",#REF!,6,FALSE)/VLOOKUP("irlanda",#REF!,6,FALSE)-1</f>
        <v>#REF!</v>
      </c>
      <c r="E196" s="150" t="e">
        <f>VLOOKUP("irlanda",#REF!,6,FALSE)</f>
        <v>#REF!</v>
      </c>
      <c r="F196" s="149" t="e">
        <f>VLOOKUP("irlanda",#REF!,5,FALSE)/VLOOKUP("irlanda",#REF!,5,FALSE)-1</f>
        <v>#REF!</v>
      </c>
      <c r="G196" s="150" t="e">
        <f>VLOOKUP("irlanda",#REF!,5,FALSE)</f>
        <v>#REF!</v>
      </c>
      <c r="H196" s="149" t="e">
        <f>VLOOKUP("irlanda",#REF!,4,FALSE)/VLOOKUP("irlanda",#REF!,4,FALSE)-1</f>
        <v>#REF!</v>
      </c>
      <c r="I196" s="150" t="e">
        <f>VLOOKUP("irlanda",#REF!,4,FALSE)</f>
        <v>#REF!</v>
      </c>
      <c r="J196" s="149" t="e">
        <f>VLOOKUP("irlanda",#REF!,3,FALSE)/VLOOKUP("irlanda",#REF!,3,FALSE)-1</f>
        <v>#REF!</v>
      </c>
      <c r="K196" s="150" t="e">
        <f>VLOOKUP("irlanda",#REF!,3,FALSE)</f>
        <v>#REF!</v>
      </c>
      <c r="L196" s="149" t="e">
        <f>VLOOKUP("irlanda",#REF!,2,FALSE)/VLOOKUP("irlanda",#REF!,2,FALSE)-1</f>
        <v>#REF!</v>
      </c>
      <c r="M196" s="150" t="e">
        <f>VLOOKUP("irlanda",#REF!,2,FALSE)</f>
        <v>#REF!</v>
      </c>
      <c r="N196" s="149" t="e">
        <f>VLOOKUP("irlanda",#REF!,7,FALSE)/VLOOKUP("irlanda",#REF!,7,FALSE)-1</f>
        <v>#REF!</v>
      </c>
      <c r="O196" s="150" t="e">
        <f>VLOOKUP("irlanda",#REF!,7,FALSE)</f>
        <v>#REF!</v>
      </c>
      <c r="P196" s="149" t="e">
        <f>VLOOKUP("irlanda",#REF!,8,FALSE)/VLOOKUP("irlanda",#REF!,8,FALSE)-1</f>
        <v>#REF!</v>
      </c>
      <c r="Q196" s="150" t="e">
        <f>VLOOKUP("irlanda",#REF!,8,FALSE)</f>
        <v>#REF!</v>
      </c>
    </row>
    <row r="197" spans="3:17" ht="24" hidden="1" customHeight="1" x14ac:dyDescent="0.2">
      <c r="C197" s="148" t="s">
        <v>47</v>
      </c>
      <c r="D197" s="149" t="e">
        <f>VLOOKUP("italia",#REF!,6,FALSE)/VLOOKUP("italia",#REF!,6,FALSE)-1</f>
        <v>#REF!</v>
      </c>
      <c r="E197" s="150" t="e">
        <f>VLOOKUP("italia",#REF!,6,FALSE)</f>
        <v>#REF!</v>
      </c>
      <c r="F197" s="149" t="e">
        <f>VLOOKUP("italia",#REF!,5,FALSE)/VLOOKUP("italia",#REF!,5,FALSE)-1</f>
        <v>#REF!</v>
      </c>
      <c r="G197" s="150" t="e">
        <f>VLOOKUP("italia",#REF!,5,FALSE)</f>
        <v>#REF!</v>
      </c>
      <c r="H197" s="149" t="e">
        <f>VLOOKUP("italia",#REF!,4,FALSE)/VLOOKUP("italia",#REF!,4,FALSE)-1</f>
        <v>#REF!</v>
      </c>
      <c r="I197" s="150" t="e">
        <f>VLOOKUP("italia",#REF!,4,FALSE)</f>
        <v>#REF!</v>
      </c>
      <c r="J197" s="149" t="e">
        <f>VLOOKUP("italia",#REF!,3,FALSE)/VLOOKUP("italia",#REF!,3,FALSE)-1</f>
        <v>#REF!</v>
      </c>
      <c r="K197" s="150" t="e">
        <f>VLOOKUP("italia",#REF!,3,FALSE)</f>
        <v>#REF!</v>
      </c>
      <c r="L197" s="149" t="e">
        <f>VLOOKUP("italia",#REF!,2,FALSE)/VLOOKUP("italia",#REF!,2,FALSE)-1</f>
        <v>#REF!</v>
      </c>
      <c r="M197" s="150" t="e">
        <f>VLOOKUP("italia",#REF!,2,FALSE)</f>
        <v>#REF!</v>
      </c>
      <c r="N197" s="149" t="e">
        <f>VLOOKUP("italia",#REF!,7,FALSE)/VLOOKUP("italia",#REF!,7,FALSE)-1</f>
        <v>#REF!</v>
      </c>
      <c r="O197" s="150" t="e">
        <f>VLOOKUP("italia",#REF!,7,FALSE)</f>
        <v>#REF!</v>
      </c>
      <c r="P197" s="149" t="e">
        <f>VLOOKUP("italia",#REF!,8,FALSE)/VLOOKUP("italia",#REF!,8,FALSE)-1</f>
        <v>#REF!</v>
      </c>
      <c r="Q197" s="150" t="e">
        <f>VLOOKUP("italia",#REF!,8,FALSE)</f>
        <v>#REF!</v>
      </c>
    </row>
    <row r="198" spans="3:17" ht="24" hidden="1" customHeight="1" x14ac:dyDescent="0.2">
      <c r="C198" s="148" t="s">
        <v>48</v>
      </c>
      <c r="D198" s="149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150" t="e">
        <f>(VLOOKUP("suecia",#REF!,6,FALSE)+VLOOKUP("noruega",#REF!,6,FALSE)+VLOOKUP("dinamarca",#REF!,6,FALSE)+VLOOKUP("finlandia",#REF!,6,FALSE))</f>
        <v>#REF!</v>
      </c>
      <c r="F198" s="149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150" t="e">
        <f>(VLOOKUP("suecia",#REF!,5,FALSE)+VLOOKUP("noruega",#REF!,5,FALSE)+VLOOKUP("dinamarca",#REF!,5,FALSE)+VLOOKUP("finlandia",#REF!,5,FALSE))</f>
        <v>#REF!</v>
      </c>
      <c r="H198" s="149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150" t="e">
        <f>(VLOOKUP("suecia",#REF!,4,FALSE)+VLOOKUP("noruega",#REF!,4,FALSE)+VLOOKUP("dinamarca",#REF!,4,FALSE)+VLOOKUP("finlandia",#REF!,4,FALSE))</f>
        <v>#REF!</v>
      </c>
      <c r="J198" s="149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150" t="e">
        <f>(VLOOKUP("suecia",#REF!,3,FALSE)+VLOOKUP("noruega",#REF!,3,FALSE)+VLOOKUP("dinamarca",#REF!,3,FALSE)+VLOOKUP("finlandia",#REF!,3,FALSE))</f>
        <v>#REF!</v>
      </c>
      <c r="L198" s="149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150" t="e">
        <f>(VLOOKUP("suecia",#REF!,2,FALSE)+VLOOKUP("noruega",#REF!,2,FALSE)+VLOOKUP("dinamarca",#REF!,2,FALSE)+VLOOKUP("finlandia",#REF!,2,FALSE))</f>
        <v>#REF!</v>
      </c>
      <c r="N198" s="149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150" t="e">
        <f>(VLOOKUP("suecia",#REF!,7,FALSE)+VLOOKUP("noruega",#REF!,7,FALSE)+VLOOKUP("dinamarca",#REF!,7,FALSE)+VLOOKUP("finlandia",#REF!,7,FALSE))</f>
        <v>#REF!</v>
      </c>
      <c r="P198" s="149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150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151" t="s">
        <v>49</v>
      </c>
      <c r="D199" s="149" t="e">
        <f>VLOOKUP("suecia",#REF!,6,FALSE)/VLOOKUP("suecia",#REF!,6,FALSE)-1</f>
        <v>#REF!</v>
      </c>
      <c r="E199" s="150" t="e">
        <f>VLOOKUP("suecia",#REF!,6,FALSE)</f>
        <v>#REF!</v>
      </c>
      <c r="F199" s="149" t="e">
        <f>VLOOKUP("suecia",#REF!,5,FALSE)/VLOOKUP("suecia",#REF!,5,FALSE)-1</f>
        <v>#REF!</v>
      </c>
      <c r="G199" s="150" t="e">
        <f>VLOOKUP("suecia",#REF!,5,FALSE)</f>
        <v>#REF!</v>
      </c>
      <c r="H199" s="149" t="e">
        <f>VLOOKUP("suecia",#REF!,4,FALSE)/VLOOKUP("suecia",#REF!,4,FALSE)-1</f>
        <v>#REF!</v>
      </c>
      <c r="I199" s="150" t="e">
        <f>VLOOKUP("suecia",#REF!,4,FALSE)</f>
        <v>#REF!</v>
      </c>
      <c r="J199" s="149" t="e">
        <f>VLOOKUP("suecia",#REF!,3,FALSE)/VLOOKUP("suecia",#REF!,3,FALSE)-1</f>
        <v>#REF!</v>
      </c>
      <c r="K199" s="150" t="e">
        <f>VLOOKUP("suecia",#REF!,3,FALSE)</f>
        <v>#REF!</v>
      </c>
      <c r="L199" s="149" t="e">
        <f>VLOOKUP("suecia",#REF!,2,FALSE)/VLOOKUP("suecia",#REF!,2,FALSE)-1</f>
        <v>#REF!</v>
      </c>
      <c r="M199" s="150" t="e">
        <f>VLOOKUP("suecia",#REF!,2,FALSE)</f>
        <v>#REF!</v>
      </c>
      <c r="N199" s="149" t="e">
        <f>VLOOKUP("suecia",#REF!,7,FALSE)/VLOOKUP("suecia",#REF!,7,FALSE)-1</f>
        <v>#REF!</v>
      </c>
      <c r="O199" s="150" t="e">
        <f>VLOOKUP("suecia",#REF!,7,FALSE)</f>
        <v>#REF!</v>
      </c>
      <c r="P199" s="149" t="e">
        <f>VLOOKUP("suecia",#REF!,8,FALSE)/VLOOKUP("suecia",#REF!,8,FALSE)-1</f>
        <v>#REF!</v>
      </c>
      <c r="Q199" s="150" t="e">
        <f>VLOOKUP("suecia",#REF!,8,FALSE)</f>
        <v>#REF!</v>
      </c>
    </row>
    <row r="200" spans="3:17" ht="24" hidden="1" customHeight="1" x14ac:dyDescent="0.2">
      <c r="C200" s="151" t="s">
        <v>50</v>
      </c>
      <c r="D200" s="149" t="e">
        <f>VLOOKUP("noruega",#REF!,6,FALSE)/VLOOKUP("noruega",#REF!,6,FALSE)-1</f>
        <v>#REF!</v>
      </c>
      <c r="E200" s="150" t="e">
        <f>VLOOKUP("noruega",#REF!,6,FALSE)</f>
        <v>#REF!</v>
      </c>
      <c r="F200" s="149" t="e">
        <f>VLOOKUP("noruega",#REF!,5,FALSE)/VLOOKUP("noruega",#REF!,5,FALSE)-1</f>
        <v>#REF!</v>
      </c>
      <c r="G200" s="150" t="e">
        <f>VLOOKUP("noruega",#REF!,5,FALSE)</f>
        <v>#REF!</v>
      </c>
      <c r="H200" s="149" t="e">
        <f>VLOOKUP("noruega",#REF!,4,FALSE)/VLOOKUP("noruega",#REF!,4,FALSE)-1</f>
        <v>#REF!</v>
      </c>
      <c r="I200" s="150" t="e">
        <f>VLOOKUP("noruega",#REF!,4,FALSE)</f>
        <v>#REF!</v>
      </c>
      <c r="J200" s="149" t="e">
        <f>VLOOKUP("noruega",#REF!,3,FALSE)/VLOOKUP("noruega",#REF!,3,FALSE)-1</f>
        <v>#REF!</v>
      </c>
      <c r="K200" s="150" t="e">
        <f>VLOOKUP("noruega",#REF!,3,FALSE)</f>
        <v>#REF!</v>
      </c>
      <c r="L200" s="149" t="e">
        <f>VLOOKUP("noruega",#REF!,2,FALSE)/VLOOKUP("noruega",#REF!,2,FALSE)-1</f>
        <v>#REF!</v>
      </c>
      <c r="M200" s="150" t="e">
        <f>VLOOKUP("noruega",#REF!,2,FALSE)</f>
        <v>#REF!</v>
      </c>
      <c r="N200" s="149" t="e">
        <f>VLOOKUP("noruega",#REF!,7,FALSE)/VLOOKUP("noruega",#REF!,7,FALSE)-1</f>
        <v>#REF!</v>
      </c>
      <c r="O200" s="150" t="e">
        <f>VLOOKUP("noruega",#REF!,7,FALSE)</f>
        <v>#REF!</v>
      </c>
      <c r="P200" s="149" t="e">
        <f>VLOOKUP("noruega",#REF!,8,FALSE)/VLOOKUP("noruega",#REF!,8,FALSE)-1</f>
        <v>#REF!</v>
      </c>
      <c r="Q200" s="150" t="e">
        <f>VLOOKUP("noruega",#REF!,8,FALSE)</f>
        <v>#REF!</v>
      </c>
    </row>
    <row r="201" spans="3:17" ht="24" hidden="1" customHeight="1" x14ac:dyDescent="0.2">
      <c r="C201" s="151" t="s">
        <v>51</v>
      </c>
      <c r="D201" s="149" t="e">
        <f>VLOOKUP("dinamarca",#REF!,6,FALSE)/VLOOKUP("dinamarca",#REF!,6,FALSE)-1</f>
        <v>#REF!</v>
      </c>
      <c r="E201" s="150" t="e">
        <f>VLOOKUP("dinamarca",#REF!,6,FALSE)</f>
        <v>#REF!</v>
      </c>
      <c r="F201" s="149" t="e">
        <f>VLOOKUP("dinamarca",#REF!,5,FALSE)/VLOOKUP("dinamarca",#REF!,5,FALSE)-1</f>
        <v>#REF!</v>
      </c>
      <c r="G201" s="150" t="e">
        <f>VLOOKUP("dinamarca",#REF!,5,FALSE)</f>
        <v>#REF!</v>
      </c>
      <c r="H201" s="149" t="e">
        <f>VLOOKUP("dinamarca",#REF!,4,FALSE)/VLOOKUP("dinamarca",#REF!,4,FALSE)-1</f>
        <v>#REF!</v>
      </c>
      <c r="I201" s="150" t="e">
        <f>VLOOKUP("dinamarca",#REF!,4,FALSE)</f>
        <v>#REF!</v>
      </c>
      <c r="J201" s="149" t="e">
        <f>VLOOKUP("dinamarca",#REF!,3,FALSE)/VLOOKUP("dinamarca",#REF!,3,FALSE)-1</f>
        <v>#REF!</v>
      </c>
      <c r="K201" s="150" t="e">
        <f>VLOOKUP("dinamarca",#REF!,3,FALSE)</f>
        <v>#REF!</v>
      </c>
      <c r="L201" s="149" t="e">
        <f>VLOOKUP("dinamarca",#REF!,2,FALSE)/VLOOKUP("dinamarca",#REF!,2,FALSE)-1</f>
        <v>#REF!</v>
      </c>
      <c r="M201" s="150" t="e">
        <f>VLOOKUP("dinamarca",#REF!,2,FALSE)</f>
        <v>#REF!</v>
      </c>
      <c r="N201" s="149" t="e">
        <f>VLOOKUP("dinamarca",#REF!,7,FALSE)/VLOOKUP("dinamarca",#REF!,7,FALSE)-1</f>
        <v>#REF!</v>
      </c>
      <c r="O201" s="150" t="e">
        <f>VLOOKUP("dinamarca",#REF!,7,FALSE)</f>
        <v>#REF!</v>
      </c>
      <c r="P201" s="149" t="e">
        <f>VLOOKUP("dinamarca",#REF!,8,FALSE)/VLOOKUP("dinamarca",#REF!,8,FALSE)-1</f>
        <v>#REF!</v>
      </c>
      <c r="Q201" s="150" t="e">
        <f>VLOOKUP("dinamarca",#REF!,8,FALSE)</f>
        <v>#REF!</v>
      </c>
    </row>
    <row r="202" spans="3:17" ht="24" hidden="1" customHeight="1" x14ac:dyDescent="0.2">
      <c r="C202" s="151" t="s">
        <v>52</v>
      </c>
      <c r="D202" s="149" t="s">
        <v>38</v>
      </c>
      <c r="E202" s="150" t="e">
        <f>VLOOKUP("finlandia",#REF!,6,FALSE)</f>
        <v>#REF!</v>
      </c>
      <c r="F202" s="149" t="e">
        <f>VLOOKUP("finlandia",#REF!,5,FALSE)/VLOOKUP("finlandia",#REF!,5,FALSE)-1</f>
        <v>#REF!</v>
      </c>
      <c r="G202" s="150" t="e">
        <f>VLOOKUP("finlandia",#REF!,5,FALSE)</f>
        <v>#REF!</v>
      </c>
      <c r="H202" s="149" t="e">
        <f>VLOOKUP("finlandia",#REF!,4,FALSE)/VLOOKUP("finlandia",#REF!,4,FALSE)-1</f>
        <v>#REF!</v>
      </c>
      <c r="I202" s="150" t="e">
        <f>VLOOKUP("finlandia",#REF!,4,FALSE)</f>
        <v>#REF!</v>
      </c>
      <c r="J202" s="149" t="e">
        <f>VLOOKUP("finlandia",#REF!,3,FALSE)/VLOOKUP("finlandia",#REF!,3,FALSE)-1</f>
        <v>#REF!</v>
      </c>
      <c r="K202" s="150" t="e">
        <f>VLOOKUP("finlandia",#REF!,3,FALSE)</f>
        <v>#REF!</v>
      </c>
      <c r="L202" s="149" t="s">
        <v>38</v>
      </c>
      <c r="M202" s="150" t="e">
        <f>VLOOKUP("finlandia",#REF!,2,FALSE)</f>
        <v>#REF!</v>
      </c>
      <c r="N202" s="149" t="e">
        <f>VLOOKUP("finlandia",#REF!,7,FALSE)/VLOOKUP("finlandia",#REF!,7,FALSE)-1</f>
        <v>#REF!</v>
      </c>
      <c r="O202" s="150" t="e">
        <f>VLOOKUP("finlandia",#REF!,7,FALSE)</f>
        <v>#REF!</v>
      </c>
      <c r="P202" s="149" t="e">
        <f>VLOOKUP("finlandia",#REF!,8,FALSE)/VLOOKUP("finlandia",#REF!,8,FALSE)-1</f>
        <v>#REF!</v>
      </c>
      <c r="Q202" s="150" t="e">
        <f>VLOOKUP("finlandia",#REF!,8,FALSE)</f>
        <v>#REF!</v>
      </c>
    </row>
    <row r="203" spans="3:17" ht="24" hidden="1" customHeight="1" x14ac:dyDescent="0.2">
      <c r="C203" s="148" t="s">
        <v>53</v>
      </c>
      <c r="D203" s="149" t="e">
        <f>VLOOKUP("suiza",#REF!,6,FALSE)/VLOOKUP("suiza",#REF!,6,FALSE)-1</f>
        <v>#REF!</v>
      </c>
      <c r="E203" s="150" t="e">
        <f>VLOOKUP("suiza",#REF!,6,FALSE)</f>
        <v>#REF!</v>
      </c>
      <c r="F203" s="149" t="e">
        <f>VLOOKUP("suiza",#REF!,5,FALSE)/VLOOKUP("suiza",#REF!,5,FALSE)-1</f>
        <v>#REF!</v>
      </c>
      <c r="G203" s="150" t="e">
        <f>VLOOKUP("suiza",#REF!,5,FALSE)</f>
        <v>#REF!</v>
      </c>
      <c r="H203" s="149" t="e">
        <f>VLOOKUP("suiza",#REF!,4,FALSE)/VLOOKUP("suiza",#REF!,4,FALSE)-1</f>
        <v>#REF!</v>
      </c>
      <c r="I203" s="150" t="e">
        <f>VLOOKUP("suiza",#REF!,4,FALSE)</f>
        <v>#REF!</v>
      </c>
      <c r="J203" s="149" t="e">
        <f>VLOOKUP("suiza",#REF!,3,FALSE)/VLOOKUP("suiza",#REF!,3,FALSE)-1</f>
        <v>#REF!</v>
      </c>
      <c r="K203" s="150" t="e">
        <f>VLOOKUP("suiza",#REF!,3,FALSE)</f>
        <v>#REF!</v>
      </c>
      <c r="L203" s="149" t="e">
        <f>VLOOKUP("suiza",#REF!,2,FALSE)/VLOOKUP("suiza",#REF!,2,FALSE)-1</f>
        <v>#REF!</v>
      </c>
      <c r="M203" s="150" t="e">
        <f>VLOOKUP("suiza",#REF!,2,FALSE)</f>
        <v>#REF!</v>
      </c>
      <c r="N203" s="149" t="e">
        <f>VLOOKUP("suiza",#REF!,7,FALSE)/VLOOKUP("suiza",#REF!,7,FALSE)-1</f>
        <v>#REF!</v>
      </c>
      <c r="O203" s="150" t="e">
        <f>VLOOKUP("suiza",#REF!,7,FALSE)</f>
        <v>#REF!</v>
      </c>
      <c r="P203" s="149" t="e">
        <f>VLOOKUP("suiza",#REF!,8,FALSE)/VLOOKUP("suiza",#REF!,8,FALSE)-1</f>
        <v>#REF!</v>
      </c>
      <c r="Q203" s="150" t="e">
        <f>VLOOKUP("suiza",#REF!,8,FALSE)</f>
        <v>#REF!</v>
      </c>
    </row>
    <row r="204" spans="3:17" ht="24" hidden="1" customHeight="1" x14ac:dyDescent="0.2">
      <c r="C204" s="148" t="s">
        <v>54</v>
      </c>
      <c r="D204" s="149" t="e">
        <f>VLOOKUP("austria",#REF!,6,FALSE)/VLOOKUP("austria",#REF!,6,FALSE)-1</f>
        <v>#REF!</v>
      </c>
      <c r="E204" s="150" t="e">
        <f>VLOOKUP("austria",#REF!,6,FALSE)</f>
        <v>#REF!</v>
      </c>
      <c r="F204" s="149" t="e">
        <f>VLOOKUP("austria",#REF!,5,FALSE)/VLOOKUP("austria",#REF!,5,FALSE)-1</f>
        <v>#REF!</v>
      </c>
      <c r="G204" s="150" t="e">
        <f>VLOOKUP("austria",#REF!,5,FALSE)</f>
        <v>#REF!</v>
      </c>
      <c r="H204" s="149" t="e">
        <f>VLOOKUP("austria",#REF!,4,FALSE)/VLOOKUP("austria",#REF!,4,FALSE)-1</f>
        <v>#REF!</v>
      </c>
      <c r="I204" s="150" t="e">
        <f>VLOOKUP("austria",#REF!,4,FALSE)</f>
        <v>#REF!</v>
      </c>
      <c r="J204" s="149" t="e">
        <f>VLOOKUP("austria",#REF!,3,FALSE)/VLOOKUP("austria",#REF!,3,FALSE)-1</f>
        <v>#REF!</v>
      </c>
      <c r="K204" s="150" t="e">
        <f>VLOOKUP("austria",#REF!,3,FALSE)</f>
        <v>#REF!</v>
      </c>
      <c r="L204" s="149" t="e">
        <f>VLOOKUP("austria",#REF!,2,FALSE)/VLOOKUP("austria",#REF!,2,FALSE)-1</f>
        <v>#REF!</v>
      </c>
      <c r="M204" s="150" t="e">
        <f>VLOOKUP("austria",#REF!,2,FALSE)</f>
        <v>#REF!</v>
      </c>
      <c r="N204" s="149" t="e">
        <f>VLOOKUP("austria",#REF!,7,FALSE)/VLOOKUP("austria",#REF!,7,FALSE)-1</f>
        <v>#REF!</v>
      </c>
      <c r="O204" s="150" t="e">
        <f>VLOOKUP("austria",#REF!,7,FALSE)</f>
        <v>#REF!</v>
      </c>
      <c r="P204" s="149" t="e">
        <f>VLOOKUP("austria",#REF!,8,FALSE)/VLOOKUP("austria",#REF!,8,FALSE)-1</f>
        <v>#REF!</v>
      </c>
      <c r="Q204" s="150" t="e">
        <f>VLOOKUP("austria",#REF!,8,FALSE)</f>
        <v>#REF!</v>
      </c>
    </row>
    <row r="205" spans="3:17" ht="24" hidden="1" customHeight="1" x14ac:dyDescent="0.2">
      <c r="C205" s="148" t="s">
        <v>55</v>
      </c>
      <c r="D205" s="149" t="e">
        <f>VLOOKUP("rusia",#REF!,6,FALSE)/VLOOKUP("rusia",#REF!,6,FALSE)-1</f>
        <v>#REF!</v>
      </c>
      <c r="E205" s="150" t="e">
        <f>VLOOKUP("rusia",#REF!,6,FALSE)</f>
        <v>#REF!</v>
      </c>
      <c r="F205" s="149" t="e">
        <f>VLOOKUP("rusia",#REF!,5,FALSE)/VLOOKUP("rusia",#REF!,5,FALSE)-1</f>
        <v>#REF!</v>
      </c>
      <c r="G205" s="150" t="e">
        <f>VLOOKUP("rusia",#REF!,5,FALSE)</f>
        <v>#REF!</v>
      </c>
      <c r="H205" s="149" t="e">
        <f>VLOOKUP("rusia",#REF!,4,FALSE)/VLOOKUP("rusia",#REF!,4,FALSE)-1</f>
        <v>#REF!</v>
      </c>
      <c r="I205" s="150" t="e">
        <f>VLOOKUP("rusia",#REF!,4,FALSE)</f>
        <v>#REF!</v>
      </c>
      <c r="J205" s="149" t="e">
        <f>VLOOKUP("rusia",#REF!,3,FALSE)/VLOOKUP("rusia",#REF!,3,FALSE)-1</f>
        <v>#REF!</v>
      </c>
      <c r="K205" s="150" t="e">
        <f>VLOOKUP("rusia",#REF!,3,FALSE)</f>
        <v>#REF!</v>
      </c>
      <c r="L205" s="149" t="e">
        <f>VLOOKUP("rusia",#REF!,2,FALSE)/VLOOKUP("rusia",#REF!,2,FALSE)-1</f>
        <v>#REF!</v>
      </c>
      <c r="M205" s="150" t="e">
        <f>VLOOKUP("rusia",#REF!,2,FALSE)</f>
        <v>#REF!</v>
      </c>
      <c r="N205" s="149" t="e">
        <f>VLOOKUP("rusia",#REF!,7,FALSE)/VLOOKUP("rusia",#REF!,7,FALSE)-1</f>
        <v>#REF!</v>
      </c>
      <c r="O205" s="150" t="e">
        <f>VLOOKUP("rusia",#REF!,7,FALSE)</f>
        <v>#REF!</v>
      </c>
      <c r="P205" s="149" t="e">
        <f>VLOOKUP("rusia",#REF!,8,FALSE)/VLOOKUP("rusia",#REF!,8,FALSE)-1</f>
        <v>#REF!</v>
      </c>
      <c r="Q205" s="150" t="e">
        <f>VLOOKUP("rusia",#REF!,8,FALSE)</f>
        <v>#REF!</v>
      </c>
    </row>
    <row r="206" spans="3:17" ht="24" hidden="1" customHeight="1" x14ac:dyDescent="0.2">
      <c r="C206" s="148" t="s">
        <v>56</v>
      </c>
      <c r="D206" s="149" t="e">
        <f>VLOOKUP("paises del este",#REF!,6,FALSE)/VLOOKUP("paises del este",#REF!,6,FALSE)-1</f>
        <v>#REF!</v>
      </c>
      <c r="E206" s="150" t="e">
        <f>VLOOKUP("paises del este",#REF!,6,FALSE)</f>
        <v>#REF!</v>
      </c>
      <c r="F206" s="149" t="e">
        <f>VLOOKUP("paises del este",#REF!,5,FALSE)/VLOOKUP("paises del este",#REF!,5,FALSE)-1</f>
        <v>#REF!</v>
      </c>
      <c r="G206" s="150" t="e">
        <f>VLOOKUP("paises del este",#REF!,5,FALSE)</f>
        <v>#REF!</v>
      </c>
      <c r="H206" s="149" t="e">
        <f>VLOOKUP("paises del este",#REF!,4,FALSE)/VLOOKUP("paises del este",#REF!,4,FALSE)-1</f>
        <v>#REF!</v>
      </c>
      <c r="I206" s="150" t="e">
        <f>VLOOKUP("paises del este",#REF!,4,FALSE)</f>
        <v>#REF!</v>
      </c>
      <c r="J206" s="149" t="e">
        <f>VLOOKUP("paises del este",#REF!,3,FALSE)/VLOOKUP("paises del este",#REF!,3,FALSE)-1</f>
        <v>#REF!</v>
      </c>
      <c r="K206" s="150" t="e">
        <f>VLOOKUP("paises del este",#REF!,3,FALSE)</f>
        <v>#REF!</v>
      </c>
      <c r="L206" s="149" t="e">
        <f>VLOOKUP("paises del este",#REF!,2,FALSE)/VLOOKUP("paises del este",#REF!,2,FALSE)-1</f>
        <v>#REF!</v>
      </c>
      <c r="M206" s="150" t="e">
        <f>VLOOKUP("paises del este",#REF!,2,FALSE)</f>
        <v>#REF!</v>
      </c>
      <c r="N206" s="149" t="e">
        <f>VLOOKUP("paises del este",#REF!,7,FALSE)/VLOOKUP("paises del este",#REF!,7,FALSE)-1</f>
        <v>#REF!</v>
      </c>
      <c r="O206" s="150" t="e">
        <f>VLOOKUP("paises del este",#REF!,7,FALSE)</f>
        <v>#REF!</v>
      </c>
      <c r="P206" s="149" t="e">
        <f>VLOOKUP("paises del este",#REF!,8,FALSE)/VLOOKUP("paises del este",#REF!,8,FALSE)-1</f>
        <v>#REF!</v>
      </c>
      <c r="Q206" s="150" t="e">
        <f>VLOOKUP("paises del este",#REF!,8,FALSE)</f>
        <v>#REF!</v>
      </c>
    </row>
    <row r="207" spans="3:17" ht="24" hidden="1" customHeight="1" x14ac:dyDescent="0.2">
      <c r="C207" s="148" t="s">
        <v>57</v>
      </c>
      <c r="D207" s="149" t="e">
        <f>VLOOKUP("resto de europa",#REF!,6,FALSE)/VLOOKUP("resto de europa",#REF!,6,FALSE)-1</f>
        <v>#REF!</v>
      </c>
      <c r="E207" s="150" t="e">
        <f>VLOOKUP("resto de europa",#REF!,6,FALSE)</f>
        <v>#REF!</v>
      </c>
      <c r="F207" s="149" t="e">
        <f>VLOOKUP("resto de europa",#REF!,5,FALSE)/VLOOKUP("resto de europa",#REF!,5,FALSE)-1</f>
        <v>#REF!</v>
      </c>
      <c r="G207" s="150" t="e">
        <f>VLOOKUP("resto de europa",#REF!,5,FALSE)</f>
        <v>#REF!</v>
      </c>
      <c r="H207" s="149" t="e">
        <f>VLOOKUP("resto de europa",#REF!,4,FALSE)/VLOOKUP("resto de europa",#REF!,4,FALSE)-1</f>
        <v>#REF!</v>
      </c>
      <c r="I207" s="150" t="e">
        <f>VLOOKUP("resto de europa",#REF!,4,FALSE)</f>
        <v>#REF!</v>
      </c>
      <c r="J207" s="149" t="e">
        <f>VLOOKUP("resto de europa",#REF!,3,FALSE)/VLOOKUP("resto de europa",#REF!,3,FALSE)-1</f>
        <v>#REF!</v>
      </c>
      <c r="K207" s="150" t="e">
        <f>VLOOKUP("resto de europa",#REF!,3,FALSE)</f>
        <v>#REF!</v>
      </c>
      <c r="L207" s="149" t="e">
        <f>VLOOKUP("resto de europa",#REF!,2,FALSE)/VLOOKUP("resto de europa",#REF!,2,FALSE)-1</f>
        <v>#REF!</v>
      </c>
      <c r="M207" s="150" t="e">
        <f>VLOOKUP("resto de europa",#REF!,2,FALSE)</f>
        <v>#REF!</v>
      </c>
      <c r="N207" s="149" t="e">
        <f>VLOOKUP("resto de europa",#REF!,7,FALSE)/VLOOKUP("resto de europa",#REF!,7,FALSE)-1</f>
        <v>#REF!</v>
      </c>
      <c r="O207" s="150" t="e">
        <f>VLOOKUP("resto de europa",#REF!,7,FALSE)</f>
        <v>#REF!</v>
      </c>
      <c r="P207" s="149" t="e">
        <f>VLOOKUP("resto de europa",#REF!,8,FALSE)/VLOOKUP("resto de europa",#REF!,8,FALSE)-1</f>
        <v>#REF!</v>
      </c>
      <c r="Q207" s="150" t="e">
        <f>VLOOKUP("resto de europa",#REF!,8,FALSE)</f>
        <v>#REF!</v>
      </c>
    </row>
    <row r="208" spans="3:17" ht="24" hidden="1" customHeight="1" x14ac:dyDescent="0.2">
      <c r="C208" s="148" t="s">
        <v>58</v>
      </c>
      <c r="D208" s="149" t="e">
        <f>VLOOKUP("usa",#REF!,6,FALSE)/VLOOKUP("usa",#REF!,6,FALSE)-1</f>
        <v>#REF!</v>
      </c>
      <c r="E208" s="150" t="e">
        <f>VLOOKUP("usa",#REF!,6,FALSE)</f>
        <v>#REF!</v>
      </c>
      <c r="F208" s="149" t="e">
        <f>VLOOKUP("usa",#REF!,5,FALSE)/VLOOKUP("usa",#REF!,5,FALSE)-1</f>
        <v>#REF!</v>
      </c>
      <c r="G208" s="150" t="e">
        <f>VLOOKUP("usa",#REF!,5,FALSE)</f>
        <v>#REF!</v>
      </c>
      <c r="H208" s="149" t="e">
        <f>VLOOKUP("usa",#REF!,4,FALSE)/VLOOKUP("usa",#REF!,4,FALSE)-1</f>
        <v>#REF!</v>
      </c>
      <c r="I208" s="150" t="e">
        <f>VLOOKUP("usa",#REF!,4,FALSE)</f>
        <v>#REF!</v>
      </c>
      <c r="J208" s="149" t="e">
        <f>VLOOKUP("usa",#REF!,3,FALSE)/VLOOKUP("usa",#REF!,3,FALSE)-1</f>
        <v>#REF!</v>
      </c>
      <c r="K208" s="150" t="e">
        <f>VLOOKUP("usa",#REF!,3,FALSE)</f>
        <v>#REF!</v>
      </c>
      <c r="L208" s="149" t="e">
        <f>VLOOKUP("usa",#REF!,2,FALSE)/VLOOKUP("usa",#REF!,2,FALSE)-1</f>
        <v>#REF!</v>
      </c>
      <c r="M208" s="150" t="e">
        <f>VLOOKUP("usa",#REF!,2,FALSE)</f>
        <v>#REF!</v>
      </c>
      <c r="N208" s="149" t="e">
        <f>VLOOKUP("usa",#REF!,7,FALSE)/VLOOKUP("usa",#REF!,7,FALSE)-1</f>
        <v>#REF!</v>
      </c>
      <c r="O208" s="150" t="e">
        <f>VLOOKUP("usa",#REF!,7,FALSE)</f>
        <v>#REF!</v>
      </c>
      <c r="P208" s="149" t="e">
        <f>VLOOKUP("usa",#REF!,8,FALSE)/VLOOKUP("usa",#REF!,8,FALSE)-1</f>
        <v>#REF!</v>
      </c>
      <c r="Q208" s="150" t="e">
        <f>VLOOKUP("usa",#REF!,8,FALSE)</f>
        <v>#REF!</v>
      </c>
    </row>
    <row r="209" spans="3:18" ht="24" hidden="1" customHeight="1" x14ac:dyDescent="0.2">
      <c r="C209" s="148" t="s">
        <v>59</v>
      </c>
      <c r="D209" s="149" t="e">
        <f>VLOOKUP("resto de america",#REF!,6,FALSE)/VLOOKUP("resto de america",#REF!,6,FALSE)-1</f>
        <v>#REF!</v>
      </c>
      <c r="E209" s="150" t="e">
        <f>VLOOKUP("resto de america",#REF!,6,FALSE)</f>
        <v>#REF!</v>
      </c>
      <c r="F209" s="149" t="e">
        <f>VLOOKUP("resto de america",#REF!,5,FALSE)/VLOOKUP("resto de america",#REF!,5,FALSE)-1</f>
        <v>#REF!</v>
      </c>
      <c r="G209" s="150" t="e">
        <f>VLOOKUP("resto de america",#REF!,5,FALSE)</f>
        <v>#REF!</v>
      </c>
      <c r="H209" s="149" t="e">
        <f>VLOOKUP("resto de america",#REF!,4,FALSE)/VLOOKUP("resto de america",#REF!,4,FALSE)-1</f>
        <v>#REF!</v>
      </c>
      <c r="I209" s="150" t="e">
        <f>VLOOKUP("resto de america",#REF!,4,FALSE)</f>
        <v>#REF!</v>
      </c>
      <c r="J209" s="149" t="e">
        <f>VLOOKUP("resto de america",#REF!,3,FALSE)/VLOOKUP("resto de america",#REF!,3,FALSE)-1</f>
        <v>#REF!</v>
      </c>
      <c r="K209" s="150" t="e">
        <f>VLOOKUP("resto de america",#REF!,3,FALSE)</f>
        <v>#REF!</v>
      </c>
      <c r="L209" s="149" t="e">
        <f>VLOOKUP("resto de america",#REF!,2,FALSE)/VLOOKUP("resto de america",#REF!,2,FALSE)-1</f>
        <v>#REF!</v>
      </c>
      <c r="M209" s="150" t="e">
        <f>VLOOKUP("resto de america",#REF!,2,FALSE)</f>
        <v>#REF!</v>
      </c>
      <c r="N209" s="149" t="e">
        <f>VLOOKUP("resto de america",#REF!,7,FALSE)/VLOOKUP("resto de america",#REF!,7,FALSE)-1</f>
        <v>#REF!</v>
      </c>
      <c r="O209" s="150" t="e">
        <f>VLOOKUP("resto de america",#REF!,7,FALSE)</f>
        <v>#REF!</v>
      </c>
      <c r="P209" s="149" t="e">
        <f>VLOOKUP("resto de america",#REF!,8,FALSE)/VLOOKUP("resto de america",#REF!,8,FALSE)-1</f>
        <v>#REF!</v>
      </c>
      <c r="Q209" s="150" t="e">
        <f>VLOOKUP("resto de america",#REF!,8,FALSE)</f>
        <v>#REF!</v>
      </c>
    </row>
    <row r="210" spans="3:18" ht="24" hidden="1" customHeight="1" x14ac:dyDescent="0.2">
      <c r="C210" s="148" t="s">
        <v>60</v>
      </c>
      <c r="D210" s="149" t="e">
        <f>VLOOKUP("resto del mundo",#REF!,6,FALSE)/VLOOKUP("resto del mundo",#REF!,6,FALSE)-1</f>
        <v>#REF!</v>
      </c>
      <c r="E210" s="150" t="e">
        <f>VLOOKUP("resto del mundo",#REF!,6,FALSE)</f>
        <v>#REF!</v>
      </c>
      <c r="F210" s="149" t="e">
        <f>VLOOKUP("resto del mundo",#REF!,5,FALSE)/VLOOKUP("resto del mundo",#REF!,5,FALSE)-1</f>
        <v>#REF!</v>
      </c>
      <c r="G210" s="150" t="e">
        <f>VLOOKUP("resto del mundo",#REF!,5,FALSE)</f>
        <v>#REF!</v>
      </c>
      <c r="H210" s="149" t="e">
        <f>VLOOKUP("resto del mundo",#REF!,4,FALSE)/VLOOKUP("resto del mundo",#REF!,4,FALSE)-1</f>
        <v>#REF!</v>
      </c>
      <c r="I210" s="150" t="e">
        <f>VLOOKUP("resto del mundo",#REF!,4,FALSE)</f>
        <v>#REF!</v>
      </c>
      <c r="J210" s="149" t="e">
        <f>VLOOKUP("resto del mundo",#REF!,3,FALSE)/VLOOKUP("resto del mundo",#REF!,3,FALSE)-1</f>
        <v>#REF!</v>
      </c>
      <c r="K210" s="150" t="e">
        <f>VLOOKUP("resto del mundo",#REF!,3,FALSE)</f>
        <v>#REF!</v>
      </c>
      <c r="L210" s="149" t="e">
        <f>VLOOKUP("resto del mundo",#REF!,2,FALSE)/VLOOKUP("resto del mundo",#REF!,2,FALSE)-1</f>
        <v>#REF!</v>
      </c>
      <c r="M210" s="150" t="e">
        <f>VLOOKUP("resto del mundo",#REF!,2,FALSE)</f>
        <v>#REF!</v>
      </c>
      <c r="N210" s="149" t="e">
        <f>VLOOKUP("resto del mundo",#REF!,7,FALSE)/VLOOKUP("resto del mundo",#REF!,7,FALSE)-1</f>
        <v>#REF!</v>
      </c>
      <c r="O210" s="150" t="e">
        <f>VLOOKUP("resto del mundo",#REF!,7,FALSE)</f>
        <v>#REF!</v>
      </c>
      <c r="P210" s="149" t="e">
        <f>VLOOKUP("resto del mundo",#REF!,8,FALSE)/VLOOKUP("resto del mundo",#REF!,8,FALSE)-1</f>
        <v>#REF!</v>
      </c>
      <c r="Q210" s="150" t="e">
        <f>VLOOKUP("resto del mundo",#REF!,8,FALSE)</f>
        <v>#REF!</v>
      </c>
    </row>
    <row r="211" spans="3:18" ht="24" hidden="1" customHeight="1" x14ac:dyDescent="0.2">
      <c r="C211" s="148" t="s">
        <v>61</v>
      </c>
      <c r="D211" s="149" t="e">
        <f>(VLOOKUP("total",#REF!,6,FALSE)-VLOOKUP("españa",#REF!,6,FALSE))/(VLOOKUP("total",#REF!,6,FALSE)-VLOOKUP("españa",#REF!,6,FALSE))-1</f>
        <v>#REF!</v>
      </c>
      <c r="E211" s="150" t="e">
        <f>VLOOKUP("total",#REF!,6,FALSE)-VLOOKUP("españa",#REF!,6,FALSE)</f>
        <v>#REF!</v>
      </c>
      <c r="F211" s="149" t="e">
        <f>(VLOOKUP("total",#REF!,5,FALSE)-VLOOKUP("españa",#REF!,5,FALSE))/(VLOOKUP("total",#REF!,5,FALSE)-VLOOKUP("españa",#REF!,5,FALSE))-1</f>
        <v>#REF!</v>
      </c>
      <c r="G211" s="150" t="e">
        <f>VLOOKUP("total",#REF!,5,FALSE)-VLOOKUP("españa",#REF!,5,FALSE)</f>
        <v>#REF!</v>
      </c>
      <c r="H211" s="149" t="e">
        <f>(VLOOKUP("total",#REF!,4,FALSE)-VLOOKUP("españa",#REF!,4,FALSE))/(VLOOKUP("total",#REF!,4,FALSE)-VLOOKUP("españa",#REF!,4,FALSE))-1</f>
        <v>#REF!</v>
      </c>
      <c r="I211" s="150" t="e">
        <f>VLOOKUP("total",#REF!,4,FALSE)-VLOOKUP("españa",#REF!,4,FALSE)</f>
        <v>#REF!</v>
      </c>
      <c r="J211" s="149" t="e">
        <f>(VLOOKUP("total",#REF!,3,FALSE)-VLOOKUP("españa",#REF!,3,FALSE))/(VLOOKUP("total",#REF!,3,FALSE)-VLOOKUP("españa",#REF!,3,FALSE))-1</f>
        <v>#REF!</v>
      </c>
      <c r="K211" s="150" t="e">
        <f>VLOOKUP("total",#REF!,3,FALSE)-VLOOKUP("españa",#REF!,3,FALSE)</f>
        <v>#REF!</v>
      </c>
      <c r="L211" s="149" t="e">
        <f>(VLOOKUP("total",#REF!,2,FALSE)-VLOOKUP("españa",#REF!,2,FALSE))/(VLOOKUP("total",#REF!,2,FALSE)-VLOOKUP("españa",#REF!,2,FALSE))-1</f>
        <v>#REF!</v>
      </c>
      <c r="M211" s="150" t="e">
        <f>VLOOKUP("total",#REF!,2,FALSE)-VLOOKUP("españa",#REF!,2,FALSE)</f>
        <v>#REF!</v>
      </c>
      <c r="N211" s="149" t="e">
        <f>(VLOOKUP("total",#REF!,7,FALSE)-VLOOKUP("españa",#REF!,7,FALSE))/(VLOOKUP("total",#REF!,7,FALSE)-VLOOKUP("españa",#REF!,7,FALSE))-1</f>
        <v>#REF!</v>
      </c>
      <c r="O211" s="150" t="e">
        <f>VLOOKUP("total",#REF!,7,FALSE)-VLOOKUP("españa",#REF!,7,FALSE)</f>
        <v>#REF!</v>
      </c>
      <c r="P211" s="149" t="e">
        <f>(VLOOKUP("total",#REF!,8,FALSE)-VLOOKUP("españa",#REF!,8,FALSE))/(VLOOKUP("total",#REF!,8,FALSE)-VLOOKUP("españa",#REF!,8,FALSE))-1</f>
        <v>#REF!</v>
      </c>
      <c r="Q211" s="150" t="e">
        <f>VLOOKUP("total",#REF!,8,FALSE)-VLOOKUP("españa",#REF!,8,FALSE)</f>
        <v>#REF!</v>
      </c>
    </row>
    <row r="212" spans="3:18" ht="24" hidden="1" customHeight="1" x14ac:dyDescent="0.2">
      <c r="C212" s="148" t="s">
        <v>8</v>
      </c>
      <c r="D212" s="149" t="e">
        <f>VLOOKUP("total",#REF!,6,FALSE)/VLOOKUP("total",#REF!,6,FALSE)-1</f>
        <v>#REF!</v>
      </c>
      <c r="E212" s="150" t="e">
        <f>VLOOKUP("total",#REF!,6,FALSE)</f>
        <v>#REF!</v>
      </c>
      <c r="F212" s="149" t="e">
        <f>VLOOKUP("total",#REF!,5,FALSE)/VLOOKUP("total",#REF!,5,FALSE)-1</f>
        <v>#REF!</v>
      </c>
      <c r="G212" s="150" t="e">
        <f>VLOOKUP("total",#REF!,5,FALSE)</f>
        <v>#REF!</v>
      </c>
      <c r="H212" s="149" t="e">
        <f>VLOOKUP("total",#REF!,4,FALSE)/VLOOKUP("total",#REF!,4,FALSE)-1</f>
        <v>#REF!</v>
      </c>
      <c r="I212" s="150" t="e">
        <f>VLOOKUP("total",#REF!,4,FALSE)</f>
        <v>#REF!</v>
      </c>
      <c r="J212" s="149" t="e">
        <f>VLOOKUP("total",#REF!,3,FALSE)/VLOOKUP("total",#REF!,3,FALSE)-1</f>
        <v>#REF!</v>
      </c>
      <c r="K212" s="150" t="e">
        <f>VLOOKUP("total",#REF!,3,FALSE)</f>
        <v>#REF!</v>
      </c>
      <c r="L212" s="149" t="e">
        <f>VLOOKUP("total",#REF!,2,FALSE)/VLOOKUP("total",#REF!,2,FALSE)-1</f>
        <v>#REF!</v>
      </c>
      <c r="M212" s="150" t="e">
        <f>VLOOKUP("total",#REF!,2,FALSE)</f>
        <v>#REF!</v>
      </c>
      <c r="N212" s="149" t="e">
        <f>VLOOKUP("total",#REF!,7,FALSE)/VLOOKUP("total",#REF!,7,FALSE)-1</f>
        <v>#REF!</v>
      </c>
      <c r="O212" s="150" t="e">
        <f>VLOOKUP("total",#REF!,7,FALSE)</f>
        <v>#REF!</v>
      </c>
      <c r="P212" s="149" t="e">
        <f>VLOOKUP("total",#REF!,8,FALSE)/VLOOKUP("total",#REF!,8,FALSE)-1</f>
        <v>#REF!</v>
      </c>
      <c r="Q212" s="150" t="e">
        <f>VLOOKUP("total",#REF!,8,FALSE)</f>
        <v>#REF!</v>
      </c>
    </row>
    <row r="213" spans="3:18" hidden="1" x14ac:dyDescent="0.2"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2"/>
    </row>
    <row r="214" spans="3:18" ht="35.25" hidden="1" customHeight="1" x14ac:dyDescent="0.2">
      <c r="C214" s="302" t="s">
        <v>29</v>
      </c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145"/>
    </row>
    <row r="215" spans="3:18" ht="20.100000000000001" hidden="1" customHeight="1" x14ac:dyDescent="0.2">
      <c r="C215" s="312" t="str">
        <f>I2</f>
        <v>acumulado abril 2019</v>
      </c>
      <c r="D215" s="313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152"/>
    </row>
    <row r="216" spans="3:18" ht="13.5" hidden="1" thickBot="1" x14ac:dyDescent="0.25">
      <c r="C216" s="146"/>
      <c r="D216" s="306" t="s">
        <v>24</v>
      </c>
      <c r="E216" s="307"/>
      <c r="F216" s="306" t="s">
        <v>23</v>
      </c>
      <c r="G216" s="307"/>
      <c r="H216" s="306" t="s">
        <v>22</v>
      </c>
      <c r="I216" s="307"/>
      <c r="J216" s="306" t="s">
        <v>21</v>
      </c>
      <c r="K216" s="307"/>
      <c r="L216" s="306" t="s">
        <v>20</v>
      </c>
      <c r="M216" s="307"/>
      <c r="N216" s="306" t="s">
        <v>63</v>
      </c>
      <c r="O216" s="307"/>
      <c r="P216" s="306" t="s">
        <v>64</v>
      </c>
      <c r="Q216" s="307"/>
    </row>
    <row r="217" spans="3:18" ht="28.5" hidden="1" customHeight="1" x14ac:dyDescent="0.2">
      <c r="C217" s="146"/>
      <c r="D217" s="147" t="s">
        <v>65</v>
      </c>
      <c r="E217" s="147" t="s">
        <v>66</v>
      </c>
      <c r="F217" s="147" t="s">
        <v>65</v>
      </c>
      <c r="G217" s="147" t="s">
        <v>66</v>
      </c>
      <c r="H217" s="147" t="s">
        <v>65</v>
      </c>
      <c r="I217" s="147" t="s">
        <v>66</v>
      </c>
      <c r="J217" s="147" t="s">
        <v>65</v>
      </c>
      <c r="K217" s="147" t="s">
        <v>66</v>
      </c>
      <c r="L217" s="147" t="s">
        <v>65</v>
      </c>
      <c r="M217" s="147" t="s">
        <v>66</v>
      </c>
      <c r="N217" s="147" t="s">
        <v>65</v>
      </c>
      <c r="O217" s="147" t="s">
        <v>66</v>
      </c>
      <c r="P217" s="147" t="s">
        <v>65</v>
      </c>
      <c r="Q217" s="147" t="s">
        <v>66</v>
      </c>
    </row>
    <row r="218" spans="3:18" ht="24" hidden="1" customHeight="1" x14ac:dyDescent="0.2">
      <c r="C218" s="148" t="s">
        <v>36</v>
      </c>
      <c r="D218" s="149" t="e">
        <f>VLOOKUP("españa",#REF!,6,FALSE)/VLOOKUP("españa",#REF!,6,FALSE)-1</f>
        <v>#REF!</v>
      </c>
      <c r="E218" s="150" t="e">
        <f>VLOOKUP("españa",#REF!,6,FALSE)</f>
        <v>#REF!</v>
      </c>
      <c r="F218" s="149" t="e">
        <f>VLOOKUP("españa",#REF!,5,FALSE)/VLOOKUP("españa",#REF!,5,FALSE)-1</f>
        <v>#REF!</v>
      </c>
      <c r="G218" s="150" t="e">
        <f>VLOOKUP("españa",#REF!,5,FALSE)</f>
        <v>#REF!</v>
      </c>
      <c r="H218" s="149" t="e">
        <f>VLOOKUP("españa",#REF!,4,FALSE)/VLOOKUP("españa",#REF!,4,FALSE)-1</f>
        <v>#REF!</v>
      </c>
      <c r="I218" s="150" t="e">
        <f>VLOOKUP("españa",#REF!,4,FALSE)</f>
        <v>#REF!</v>
      </c>
      <c r="J218" s="149" t="e">
        <f>VLOOKUP("españa",#REF!,3,FALSE)/VLOOKUP("españa",#REF!,3,FALSE)-1</f>
        <v>#REF!</v>
      </c>
      <c r="K218" s="150" t="e">
        <f>VLOOKUP("españa",#REF!,3,FALSE)</f>
        <v>#REF!</v>
      </c>
      <c r="L218" s="149" t="e">
        <f>VLOOKUP("españa",#REF!,2,FALSE)/VLOOKUP("españa",#REF!,2,FALSE)-1</f>
        <v>#REF!</v>
      </c>
      <c r="M218" s="150" t="e">
        <f>VLOOKUP("españa",#REF!,2,FALSE)</f>
        <v>#REF!</v>
      </c>
      <c r="N218" s="149" t="e">
        <f>VLOOKUP("españa",#REF!,7,FALSE)/VLOOKUP("españa",#REF!,7,FALSE)-1</f>
        <v>#REF!</v>
      </c>
      <c r="O218" s="150" t="e">
        <f>VLOOKUP("españa",#REF!,7,FALSE)</f>
        <v>#REF!</v>
      </c>
      <c r="P218" s="149" t="e">
        <f>VLOOKUP("españa",#REF!,8,FALSE)/VLOOKUP("españa",#REF!,8,FALSE)-1</f>
        <v>#REF!</v>
      </c>
      <c r="Q218" s="150" t="e">
        <f>VLOOKUP("españa",#REF!,8,FALSE)</f>
        <v>#REF!</v>
      </c>
    </row>
    <row r="219" spans="3:18" ht="24" hidden="1" customHeight="1" x14ac:dyDescent="0.2">
      <c r="C219" s="148" t="s">
        <v>41</v>
      </c>
      <c r="D219" s="149" t="e">
        <f>VLOOKUP("holanda",#REF!,6,FALSE)/VLOOKUP("holanda",#REF!,6,FALSE)-1</f>
        <v>#REF!</v>
      </c>
      <c r="E219" s="150" t="e">
        <f>VLOOKUP("holanda",#REF!,6,FALSE)</f>
        <v>#REF!</v>
      </c>
      <c r="F219" s="149" t="e">
        <f>VLOOKUP("holanda",#REF!,5,FALSE)/VLOOKUP("holanda",#REF!,5,FALSE)-1</f>
        <v>#REF!</v>
      </c>
      <c r="G219" s="150" t="e">
        <f>VLOOKUP("holanda",#REF!,5,FALSE)</f>
        <v>#REF!</v>
      </c>
      <c r="H219" s="149" t="e">
        <f>VLOOKUP("holanda",#REF!,4,FALSE)/VLOOKUP("holanda",#REF!,4,FALSE)-1</f>
        <v>#REF!</v>
      </c>
      <c r="I219" s="150" t="e">
        <f>VLOOKUP("holanda",#REF!,4,FALSE)</f>
        <v>#REF!</v>
      </c>
      <c r="J219" s="149" t="e">
        <f>VLOOKUP("holanda",#REF!,3,FALSE)/VLOOKUP("holanda",#REF!,3,FALSE)-1</f>
        <v>#REF!</v>
      </c>
      <c r="K219" s="150" t="e">
        <f>VLOOKUP("holanda",#REF!,3,FALSE)</f>
        <v>#REF!</v>
      </c>
      <c r="L219" s="149" t="e">
        <f>VLOOKUP("holanda",#REF!,2,FALSE)/VLOOKUP("holanda",#REF!,2,FALSE)-1</f>
        <v>#REF!</v>
      </c>
      <c r="M219" s="150" t="e">
        <f>VLOOKUP("holanda",#REF!,2,FALSE)</f>
        <v>#REF!</v>
      </c>
      <c r="N219" s="149" t="e">
        <f>VLOOKUP("holanda",#REF!,7,FALSE)/VLOOKUP("holanda",#REF!,7,FALSE)-1</f>
        <v>#REF!</v>
      </c>
      <c r="O219" s="150" t="e">
        <f>VLOOKUP("holanda",#REF!,7,FALSE)</f>
        <v>#REF!</v>
      </c>
      <c r="P219" s="149" t="e">
        <f>VLOOKUP("holanda",#REF!,8,FALSE)/VLOOKUP("holanda",#REF!,8,FALSE)-1</f>
        <v>#REF!</v>
      </c>
      <c r="Q219" s="150" t="e">
        <f>VLOOKUP("holanda",#REF!,8,FALSE)</f>
        <v>#REF!</v>
      </c>
    </row>
    <row r="220" spans="3:18" ht="24" hidden="1" customHeight="1" x14ac:dyDescent="0.2">
      <c r="C220" s="148" t="s">
        <v>42</v>
      </c>
      <c r="D220" s="149" t="e">
        <f>VLOOKUP("belgica",#REF!,6,FALSE)/VLOOKUP("belgica",#REF!,6,FALSE)-1</f>
        <v>#REF!</v>
      </c>
      <c r="E220" s="150" t="e">
        <f>VLOOKUP("belgica",#REF!,6,FALSE)</f>
        <v>#REF!</v>
      </c>
      <c r="F220" s="149" t="e">
        <f>VLOOKUP("belgica",#REF!,5,FALSE)/VLOOKUP("belgica",#REF!,5,FALSE)-1</f>
        <v>#REF!</v>
      </c>
      <c r="G220" s="150" t="e">
        <f>VLOOKUP("belgica",#REF!,5,FALSE)</f>
        <v>#REF!</v>
      </c>
      <c r="H220" s="149" t="e">
        <f>VLOOKUP("belgica",#REF!,4,FALSE)/VLOOKUP("belgica",#REF!,4,FALSE)-1</f>
        <v>#REF!</v>
      </c>
      <c r="I220" s="150" t="e">
        <f>VLOOKUP("belgica",#REF!,4,FALSE)</f>
        <v>#REF!</v>
      </c>
      <c r="J220" s="149" t="e">
        <f>VLOOKUP("belgica",#REF!,3,FALSE)/VLOOKUP("belgica",#REF!,3,FALSE)-1</f>
        <v>#REF!</v>
      </c>
      <c r="K220" s="150" t="e">
        <f>VLOOKUP("belgica",#REF!,3,FALSE)</f>
        <v>#REF!</v>
      </c>
      <c r="L220" s="149" t="e">
        <f>VLOOKUP("belgica",#REF!,2,FALSE)/VLOOKUP("belgica",#REF!,2,FALSE)-1</f>
        <v>#REF!</v>
      </c>
      <c r="M220" s="150" t="e">
        <f>VLOOKUP("belgica",#REF!,2,FALSE)</f>
        <v>#REF!</v>
      </c>
      <c r="N220" s="149" t="e">
        <f>VLOOKUP("belgica",#REF!,7,FALSE)/VLOOKUP("belgica",#REF!,7,FALSE)-1</f>
        <v>#REF!</v>
      </c>
      <c r="O220" s="150" t="e">
        <f>VLOOKUP("belgica",#REF!,7,FALSE)</f>
        <v>#REF!</v>
      </c>
      <c r="P220" s="149" t="e">
        <f>VLOOKUP("belgica",#REF!,8,FALSE)/VLOOKUP("belgica",#REF!,8,FALSE)-1</f>
        <v>#REF!</v>
      </c>
      <c r="Q220" s="150" t="e">
        <f>VLOOKUP("belgica",#REF!,8,FALSE)</f>
        <v>#REF!</v>
      </c>
    </row>
    <row r="221" spans="3:18" ht="24" hidden="1" customHeight="1" x14ac:dyDescent="0.2">
      <c r="C221" s="148" t="s">
        <v>43</v>
      </c>
      <c r="D221" s="149" t="e">
        <f>VLOOKUP("alemania",#REF!,6,FALSE)/VLOOKUP("alemania",#REF!,6,FALSE)-1</f>
        <v>#REF!</v>
      </c>
      <c r="E221" s="150" t="e">
        <f>VLOOKUP("alemania",#REF!,6,FALSE)</f>
        <v>#REF!</v>
      </c>
      <c r="F221" s="149" t="e">
        <f>VLOOKUP("alemania",#REF!,5,FALSE)/VLOOKUP("alemania",#REF!,5,FALSE)-1</f>
        <v>#REF!</v>
      </c>
      <c r="G221" s="150" t="e">
        <f>VLOOKUP("alemania",#REF!,5,FALSE)</f>
        <v>#REF!</v>
      </c>
      <c r="H221" s="149" t="e">
        <f>VLOOKUP("alemania",#REF!,4,FALSE)/VLOOKUP("alemania",#REF!,4,FALSE)-1</f>
        <v>#REF!</v>
      </c>
      <c r="I221" s="150" t="e">
        <f>VLOOKUP("alemania",#REF!,4,FALSE)</f>
        <v>#REF!</v>
      </c>
      <c r="J221" s="149" t="e">
        <f>VLOOKUP("alemania",#REF!,3,FALSE)/VLOOKUP("alemania",#REF!,3,FALSE)-1</f>
        <v>#REF!</v>
      </c>
      <c r="K221" s="150" t="e">
        <f>VLOOKUP("alemania",#REF!,3,FALSE)</f>
        <v>#REF!</v>
      </c>
      <c r="L221" s="149" t="e">
        <f>VLOOKUP("alemania",#REF!,2,FALSE)/VLOOKUP("alemania",#REF!,2,FALSE)-1</f>
        <v>#REF!</v>
      </c>
      <c r="M221" s="150" t="e">
        <f>VLOOKUP("alemania",#REF!,2,FALSE)</f>
        <v>#REF!</v>
      </c>
      <c r="N221" s="149" t="e">
        <f>VLOOKUP("alemania",#REF!,7,FALSE)/VLOOKUP("alemania",#REF!,7,FALSE)-1</f>
        <v>#REF!</v>
      </c>
      <c r="O221" s="150" t="e">
        <f>VLOOKUP("alemania",#REF!,7,FALSE)</f>
        <v>#REF!</v>
      </c>
      <c r="P221" s="149" t="e">
        <f>VLOOKUP("alemania",#REF!,8,FALSE)/VLOOKUP("alemania",#REF!,8,FALSE)-1</f>
        <v>#REF!</v>
      </c>
      <c r="Q221" s="150" t="e">
        <f>VLOOKUP("alemania",#REF!,8,FALSE)</f>
        <v>#REF!</v>
      </c>
    </row>
    <row r="222" spans="3:18" ht="24" hidden="1" customHeight="1" x14ac:dyDescent="0.2">
      <c r="C222" s="148" t="s">
        <v>44</v>
      </c>
      <c r="D222" s="149" t="e">
        <f>VLOOKUP("francia",#REF!,6,FALSE)/VLOOKUP("francia",#REF!,6,FALSE)-1</f>
        <v>#REF!</v>
      </c>
      <c r="E222" s="150" t="e">
        <f>VLOOKUP("francia",#REF!,6,FALSE)</f>
        <v>#REF!</v>
      </c>
      <c r="F222" s="149" t="e">
        <f>VLOOKUP("francia",#REF!,5,FALSE)/VLOOKUP("francia",#REF!,5,FALSE)-1</f>
        <v>#REF!</v>
      </c>
      <c r="G222" s="150" t="e">
        <f>VLOOKUP("francia",#REF!,5,FALSE)</f>
        <v>#REF!</v>
      </c>
      <c r="H222" s="149" t="e">
        <f>VLOOKUP("francia",#REF!,4,FALSE)/VLOOKUP("francia",#REF!,4,FALSE)-1</f>
        <v>#REF!</v>
      </c>
      <c r="I222" s="150" t="e">
        <f>VLOOKUP("francia",#REF!,4,FALSE)</f>
        <v>#REF!</v>
      </c>
      <c r="J222" s="149" t="e">
        <f>VLOOKUP("francia",#REF!,3,FALSE)/VLOOKUP("francia",#REF!,3,FALSE)-1</f>
        <v>#REF!</v>
      </c>
      <c r="K222" s="150" t="e">
        <f>VLOOKUP("francia",#REF!,3,FALSE)</f>
        <v>#REF!</v>
      </c>
      <c r="L222" s="149" t="e">
        <f>VLOOKUP("francia",#REF!,2,FALSE)/VLOOKUP("francia",#REF!,2,FALSE)-1</f>
        <v>#REF!</v>
      </c>
      <c r="M222" s="150" t="e">
        <f>VLOOKUP("francia",#REF!,2,FALSE)</f>
        <v>#REF!</v>
      </c>
      <c r="N222" s="149" t="e">
        <f>VLOOKUP("francia",#REF!,7,FALSE)/VLOOKUP("francia",#REF!,7,FALSE)-1</f>
        <v>#REF!</v>
      </c>
      <c r="O222" s="150" t="e">
        <f>VLOOKUP("francia",#REF!,7,FALSE)</f>
        <v>#REF!</v>
      </c>
      <c r="P222" s="149" t="e">
        <f>VLOOKUP("francia",#REF!,8,FALSE)/VLOOKUP("francia",#REF!,8,FALSE)-1</f>
        <v>#REF!</v>
      </c>
      <c r="Q222" s="150" t="e">
        <f>VLOOKUP("francia",#REF!,8,FALSE)</f>
        <v>#REF!</v>
      </c>
    </row>
    <row r="223" spans="3:18" ht="24" hidden="1" customHeight="1" x14ac:dyDescent="0.2">
      <c r="C223" s="148" t="s">
        <v>45</v>
      </c>
      <c r="D223" s="149" t="e">
        <f>VLOOKUP("reino unido",#REF!,6,FALSE)/VLOOKUP("reino unido",#REF!,6,FALSE)-1</f>
        <v>#REF!</v>
      </c>
      <c r="E223" s="150" t="e">
        <f>VLOOKUP("reino unido",#REF!,6,FALSE)</f>
        <v>#REF!</v>
      </c>
      <c r="F223" s="149" t="e">
        <f>VLOOKUP("reino unido",#REF!,5,FALSE)/VLOOKUP("reino unido",#REF!,5,FALSE)-1</f>
        <v>#REF!</v>
      </c>
      <c r="G223" s="150" t="e">
        <f>VLOOKUP("reino unido",#REF!,5,FALSE)</f>
        <v>#REF!</v>
      </c>
      <c r="H223" s="149" t="e">
        <f>VLOOKUP("reino unido",#REF!,4,FALSE)/VLOOKUP("reino unido",#REF!,4,FALSE)-1</f>
        <v>#REF!</v>
      </c>
      <c r="I223" s="150" t="e">
        <f>VLOOKUP("reino unido",#REF!,4,FALSE)</f>
        <v>#REF!</v>
      </c>
      <c r="J223" s="149" t="e">
        <f>VLOOKUP("reino unido",#REF!,3,FALSE)/VLOOKUP("reino unido",#REF!,3,FALSE)-1</f>
        <v>#REF!</v>
      </c>
      <c r="K223" s="150" t="e">
        <f>VLOOKUP("reino unido",#REF!,3,FALSE)</f>
        <v>#REF!</v>
      </c>
      <c r="L223" s="149" t="e">
        <f>VLOOKUP("reino unido",#REF!,2,FALSE)/VLOOKUP("reino unido",#REF!,2,FALSE)-1</f>
        <v>#REF!</v>
      </c>
      <c r="M223" s="150" t="e">
        <f>VLOOKUP("reino unido",#REF!,2,FALSE)</f>
        <v>#REF!</v>
      </c>
      <c r="N223" s="149" t="e">
        <f>VLOOKUP("reino unido",#REF!,7,FALSE)/VLOOKUP("reino unido",#REF!,7,FALSE)-1</f>
        <v>#REF!</v>
      </c>
      <c r="O223" s="150" t="e">
        <f>VLOOKUP("reino unido",#REF!,7,FALSE)</f>
        <v>#REF!</v>
      </c>
      <c r="P223" s="149" t="e">
        <f>VLOOKUP("reino unido",#REF!,8,FALSE)/VLOOKUP("reino unido",#REF!,8,FALSE)-1</f>
        <v>#REF!</v>
      </c>
      <c r="Q223" s="150" t="e">
        <f>VLOOKUP("reino unido",#REF!,8,FALSE)</f>
        <v>#REF!</v>
      </c>
    </row>
    <row r="224" spans="3:18" ht="24" hidden="1" customHeight="1" x14ac:dyDescent="0.2">
      <c r="C224" s="148" t="s">
        <v>46</v>
      </c>
      <c r="D224" s="149" t="e">
        <f>VLOOKUP("irlanda",#REF!,6,FALSE)/VLOOKUP("irlanda",#REF!,6,FALSE)-1</f>
        <v>#REF!</v>
      </c>
      <c r="E224" s="150" t="e">
        <f>VLOOKUP("irlanda",#REF!,6,FALSE)</f>
        <v>#REF!</v>
      </c>
      <c r="F224" s="149" t="e">
        <f>VLOOKUP("irlanda",#REF!,5,FALSE)/VLOOKUP("irlanda",#REF!,5,FALSE)-1</f>
        <v>#REF!</v>
      </c>
      <c r="G224" s="150" t="e">
        <f>VLOOKUP("irlanda",#REF!,5,FALSE)</f>
        <v>#REF!</v>
      </c>
      <c r="H224" s="149" t="e">
        <f>VLOOKUP("irlanda",#REF!,4,FALSE)/VLOOKUP("irlanda",#REF!,4,FALSE)-1</f>
        <v>#REF!</v>
      </c>
      <c r="I224" s="150" t="e">
        <f>VLOOKUP("irlanda",#REF!,4,FALSE)</f>
        <v>#REF!</v>
      </c>
      <c r="J224" s="149" t="e">
        <f>VLOOKUP("irlanda",#REF!,3,FALSE)/VLOOKUP("irlanda",#REF!,3,FALSE)-1</f>
        <v>#REF!</v>
      </c>
      <c r="K224" s="150" t="e">
        <f>VLOOKUP("irlanda",#REF!,3,FALSE)</f>
        <v>#REF!</v>
      </c>
      <c r="L224" s="149" t="e">
        <f>VLOOKUP("irlanda",#REF!,2,FALSE)/VLOOKUP("irlanda",#REF!,2,FALSE)-1</f>
        <v>#REF!</v>
      </c>
      <c r="M224" s="150" t="e">
        <f>VLOOKUP("irlanda",#REF!,2,FALSE)</f>
        <v>#REF!</v>
      </c>
      <c r="N224" s="149" t="e">
        <f>VLOOKUP("irlanda",#REF!,7,FALSE)/VLOOKUP("irlanda",#REF!,7,FALSE)-1</f>
        <v>#REF!</v>
      </c>
      <c r="O224" s="150" t="e">
        <f>VLOOKUP("irlanda",#REF!,7,FALSE)</f>
        <v>#REF!</v>
      </c>
      <c r="P224" s="149" t="e">
        <f>VLOOKUP("irlanda",#REF!,8,FALSE)/VLOOKUP("irlanda",#REF!,8,FALSE)-1</f>
        <v>#REF!</v>
      </c>
      <c r="Q224" s="150" t="e">
        <f>VLOOKUP("irlanda",#REF!,8,FALSE)</f>
        <v>#REF!</v>
      </c>
    </row>
    <row r="225" spans="3:17" ht="24" hidden="1" customHeight="1" x14ac:dyDescent="0.2">
      <c r="C225" s="148" t="s">
        <v>47</v>
      </c>
      <c r="D225" s="149" t="e">
        <f>VLOOKUP("italia",#REF!,6,FALSE)/VLOOKUP("italia",#REF!,6,FALSE)-1</f>
        <v>#REF!</v>
      </c>
      <c r="E225" s="150" t="e">
        <f>VLOOKUP("italia",#REF!,6,FALSE)</f>
        <v>#REF!</v>
      </c>
      <c r="F225" s="149" t="e">
        <f>VLOOKUP("italia",#REF!,5,FALSE)/VLOOKUP("italia",#REF!,5,FALSE)-1</f>
        <v>#REF!</v>
      </c>
      <c r="G225" s="150" t="e">
        <f>VLOOKUP("italia",#REF!,5,FALSE)</f>
        <v>#REF!</v>
      </c>
      <c r="H225" s="149" t="e">
        <f>VLOOKUP("italia",#REF!,4,FALSE)/VLOOKUP("italia",#REF!,4,FALSE)-1</f>
        <v>#REF!</v>
      </c>
      <c r="I225" s="150" t="e">
        <f>VLOOKUP("italia",#REF!,4,FALSE)</f>
        <v>#REF!</v>
      </c>
      <c r="J225" s="149" t="e">
        <f>VLOOKUP("italia",#REF!,3,FALSE)/VLOOKUP("italia",#REF!,3,FALSE)-1</f>
        <v>#REF!</v>
      </c>
      <c r="K225" s="150" t="e">
        <f>VLOOKUP("italia",#REF!,3,FALSE)</f>
        <v>#REF!</v>
      </c>
      <c r="L225" s="149" t="e">
        <f>VLOOKUP("italia",#REF!,2,FALSE)/VLOOKUP("italia",#REF!,2,FALSE)-1</f>
        <v>#REF!</v>
      </c>
      <c r="M225" s="150" t="e">
        <f>VLOOKUP("italia",#REF!,2,FALSE)</f>
        <v>#REF!</v>
      </c>
      <c r="N225" s="149" t="e">
        <f>VLOOKUP("italia",#REF!,7,FALSE)/VLOOKUP("italia",#REF!,7,FALSE)-1</f>
        <v>#REF!</v>
      </c>
      <c r="O225" s="150" t="e">
        <f>VLOOKUP("italia",#REF!,7,FALSE)</f>
        <v>#REF!</v>
      </c>
      <c r="P225" s="149" t="e">
        <f>VLOOKUP("italia",#REF!,8,FALSE)/VLOOKUP("italia",#REF!,8,FALSE)-1</f>
        <v>#REF!</v>
      </c>
      <c r="Q225" s="150" t="e">
        <f>VLOOKUP("italia",#REF!,8,FALSE)</f>
        <v>#REF!</v>
      </c>
    </row>
    <row r="226" spans="3:17" ht="24" hidden="1" customHeight="1" x14ac:dyDescent="0.2">
      <c r="C226" s="148" t="s">
        <v>48</v>
      </c>
      <c r="D226" s="149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150" t="e">
        <f>(VLOOKUP("suecia",#REF!,6,FALSE)+VLOOKUP("noruega",#REF!,6,FALSE)+VLOOKUP("dinamarca",#REF!,6,FALSE)+VLOOKUP("finlandia",#REF!,6,FALSE))</f>
        <v>#REF!</v>
      </c>
      <c r="F226" s="149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150" t="e">
        <f>(VLOOKUP("suecia",#REF!,5,FALSE)+VLOOKUP("noruega",#REF!,5,FALSE)+VLOOKUP("dinamarca",#REF!,5,FALSE)+VLOOKUP("finlandia",#REF!,5,FALSE))</f>
        <v>#REF!</v>
      </c>
      <c r="H226" s="149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150" t="e">
        <f>(VLOOKUP("suecia",#REF!,4,FALSE)+VLOOKUP("noruega",#REF!,4,FALSE)+VLOOKUP("dinamarca",#REF!,4,FALSE)+VLOOKUP("finlandia",#REF!,4,FALSE))</f>
        <v>#REF!</v>
      </c>
      <c r="J226" s="149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150" t="e">
        <f>(VLOOKUP("suecia",#REF!,3,FALSE)+VLOOKUP("noruega",#REF!,3,FALSE)+VLOOKUP("dinamarca",#REF!,3,FALSE)+VLOOKUP("finlandia",#REF!,3,FALSE))</f>
        <v>#REF!</v>
      </c>
      <c r="L226" s="149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150" t="e">
        <f>(VLOOKUP("suecia",#REF!,2,FALSE)+VLOOKUP("noruega",#REF!,2,FALSE)+VLOOKUP("dinamarca",#REF!,2,FALSE)+VLOOKUP("finlandia",#REF!,2,FALSE))</f>
        <v>#REF!</v>
      </c>
      <c r="N226" s="149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150" t="e">
        <f>(VLOOKUP("suecia",#REF!,7,FALSE)+VLOOKUP("noruega",#REF!,7,FALSE)+VLOOKUP("dinamarca",#REF!,7,FALSE)+VLOOKUP("finlandia",#REF!,7,FALSE))</f>
        <v>#REF!</v>
      </c>
      <c r="P226" s="149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150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151" t="s">
        <v>49</v>
      </c>
      <c r="D227" s="149" t="e">
        <f>VLOOKUP("suecia",#REF!,6,FALSE)/VLOOKUP("suecia",#REF!,6,FALSE)-1</f>
        <v>#REF!</v>
      </c>
      <c r="E227" s="150" t="e">
        <f>VLOOKUP("suecia",#REF!,6,FALSE)</f>
        <v>#REF!</v>
      </c>
      <c r="F227" s="149" t="e">
        <f>VLOOKUP("suecia",#REF!,5,FALSE)/VLOOKUP("suecia",#REF!,5,FALSE)-1</f>
        <v>#REF!</v>
      </c>
      <c r="G227" s="150" t="e">
        <f>VLOOKUP("suecia",#REF!,5,FALSE)</f>
        <v>#REF!</v>
      </c>
      <c r="H227" s="149" t="e">
        <f>VLOOKUP("suecia",#REF!,4,FALSE)/VLOOKUP("suecia",#REF!,4,FALSE)-1</f>
        <v>#REF!</v>
      </c>
      <c r="I227" s="150" t="e">
        <f>VLOOKUP("suecia",#REF!,4,FALSE)</f>
        <v>#REF!</v>
      </c>
      <c r="J227" s="149" t="e">
        <f>VLOOKUP("suecia",#REF!,3,FALSE)/VLOOKUP("suecia",#REF!,3,FALSE)-1</f>
        <v>#REF!</v>
      </c>
      <c r="K227" s="150" t="e">
        <f>VLOOKUP("suecia",#REF!,3,FALSE)</f>
        <v>#REF!</v>
      </c>
      <c r="L227" s="149" t="e">
        <f>VLOOKUP("suecia",#REF!,2,FALSE)/VLOOKUP("suecia",#REF!,2,FALSE)-1</f>
        <v>#REF!</v>
      </c>
      <c r="M227" s="150" t="e">
        <f>VLOOKUP("suecia",#REF!,2,FALSE)</f>
        <v>#REF!</v>
      </c>
      <c r="N227" s="149" t="e">
        <f>VLOOKUP("suecia",#REF!,7,FALSE)/VLOOKUP("suecia",#REF!,7,FALSE)-1</f>
        <v>#REF!</v>
      </c>
      <c r="O227" s="150" t="e">
        <f>VLOOKUP("suecia",#REF!,7,FALSE)</f>
        <v>#REF!</v>
      </c>
      <c r="P227" s="149" t="e">
        <f>VLOOKUP("suecia",#REF!,8,FALSE)/VLOOKUP("suecia",#REF!,8,FALSE)-1</f>
        <v>#REF!</v>
      </c>
      <c r="Q227" s="150" t="e">
        <f>VLOOKUP("suecia",#REF!,8,FALSE)</f>
        <v>#REF!</v>
      </c>
    </row>
    <row r="228" spans="3:17" ht="24" hidden="1" customHeight="1" x14ac:dyDescent="0.2">
      <c r="C228" s="151" t="s">
        <v>50</v>
      </c>
      <c r="D228" s="149" t="e">
        <f>VLOOKUP("noruega",#REF!,6,FALSE)/VLOOKUP("noruega",#REF!,6,FALSE)-1</f>
        <v>#REF!</v>
      </c>
      <c r="E228" s="150" t="e">
        <f>VLOOKUP("noruega",#REF!,6,FALSE)</f>
        <v>#REF!</v>
      </c>
      <c r="F228" s="149" t="e">
        <f>VLOOKUP("noruega",#REF!,5,FALSE)/VLOOKUP("noruega",#REF!,5,FALSE)-1</f>
        <v>#REF!</v>
      </c>
      <c r="G228" s="150" t="e">
        <f>VLOOKUP("noruega",#REF!,5,FALSE)</f>
        <v>#REF!</v>
      </c>
      <c r="H228" s="149" t="e">
        <f>VLOOKUP("noruega",#REF!,4,FALSE)/VLOOKUP("noruega",#REF!,4,FALSE)-1</f>
        <v>#REF!</v>
      </c>
      <c r="I228" s="150" t="e">
        <f>VLOOKUP("noruega",#REF!,4,FALSE)</f>
        <v>#REF!</v>
      </c>
      <c r="J228" s="149" t="e">
        <f>VLOOKUP("noruega",#REF!,3,FALSE)/VLOOKUP("noruega",#REF!,3,FALSE)-1</f>
        <v>#REF!</v>
      </c>
      <c r="K228" s="150" t="e">
        <f>VLOOKUP("noruega",#REF!,3,FALSE)</f>
        <v>#REF!</v>
      </c>
      <c r="L228" s="149" t="e">
        <f>VLOOKUP("noruega",#REF!,2,FALSE)/VLOOKUP("noruega",#REF!,2,FALSE)-1</f>
        <v>#REF!</v>
      </c>
      <c r="M228" s="150" t="e">
        <f>VLOOKUP("noruega",#REF!,2,FALSE)</f>
        <v>#REF!</v>
      </c>
      <c r="N228" s="149" t="e">
        <f>VLOOKUP("noruega",#REF!,7,FALSE)/VLOOKUP("noruega",#REF!,7,FALSE)-1</f>
        <v>#REF!</v>
      </c>
      <c r="O228" s="150" t="e">
        <f>VLOOKUP("noruega",#REF!,7,FALSE)</f>
        <v>#REF!</v>
      </c>
      <c r="P228" s="149" t="e">
        <f>VLOOKUP("noruega",#REF!,8,FALSE)/VLOOKUP("noruega",#REF!,8,FALSE)-1</f>
        <v>#REF!</v>
      </c>
      <c r="Q228" s="150" t="e">
        <f>VLOOKUP("noruega",#REF!,8,FALSE)</f>
        <v>#REF!</v>
      </c>
    </row>
    <row r="229" spans="3:17" ht="24" hidden="1" customHeight="1" x14ac:dyDescent="0.2">
      <c r="C229" s="151" t="s">
        <v>51</v>
      </c>
      <c r="D229" s="149" t="e">
        <f>VLOOKUP("dinamarca",#REF!,6,FALSE)/VLOOKUP("dinamarca",#REF!,6,FALSE)-1</f>
        <v>#REF!</v>
      </c>
      <c r="E229" s="150" t="e">
        <f>VLOOKUP("dinamarca",#REF!,6,FALSE)</f>
        <v>#REF!</v>
      </c>
      <c r="F229" s="149" t="e">
        <f>VLOOKUP("dinamarca",#REF!,5,FALSE)/VLOOKUP("dinamarca",#REF!,5,FALSE)-1</f>
        <v>#REF!</v>
      </c>
      <c r="G229" s="150" t="e">
        <f>VLOOKUP("dinamarca",#REF!,5,FALSE)</f>
        <v>#REF!</v>
      </c>
      <c r="H229" s="149" t="e">
        <f>VLOOKUP("dinamarca",#REF!,4,FALSE)/VLOOKUP("dinamarca",#REF!,4,FALSE)-1</f>
        <v>#REF!</v>
      </c>
      <c r="I229" s="150" t="e">
        <f>VLOOKUP("dinamarca",#REF!,4,FALSE)</f>
        <v>#REF!</v>
      </c>
      <c r="J229" s="149" t="e">
        <f>VLOOKUP("dinamarca",#REF!,3,FALSE)/VLOOKUP("dinamarca",#REF!,3,FALSE)-1</f>
        <v>#REF!</v>
      </c>
      <c r="K229" s="150" t="e">
        <f>VLOOKUP("dinamarca",#REF!,3,FALSE)</f>
        <v>#REF!</v>
      </c>
      <c r="L229" s="149" t="e">
        <f>VLOOKUP("dinamarca",#REF!,2,FALSE)/VLOOKUP("dinamarca",#REF!,2,FALSE)-1</f>
        <v>#REF!</v>
      </c>
      <c r="M229" s="150" t="e">
        <f>VLOOKUP("dinamarca",#REF!,2,FALSE)</f>
        <v>#REF!</v>
      </c>
      <c r="N229" s="149" t="e">
        <f>VLOOKUP("dinamarca",#REF!,7,FALSE)/VLOOKUP("dinamarca",#REF!,7,FALSE)-1</f>
        <v>#REF!</v>
      </c>
      <c r="O229" s="150" t="e">
        <f>VLOOKUP("dinamarca",#REF!,7,FALSE)</f>
        <v>#REF!</v>
      </c>
      <c r="P229" s="149" t="e">
        <f>VLOOKUP("dinamarca",#REF!,8,FALSE)/VLOOKUP("dinamarca",#REF!,8,FALSE)-1</f>
        <v>#REF!</v>
      </c>
      <c r="Q229" s="150" t="e">
        <f>VLOOKUP("dinamarca",#REF!,8,FALSE)</f>
        <v>#REF!</v>
      </c>
    </row>
    <row r="230" spans="3:17" ht="24" hidden="1" customHeight="1" x14ac:dyDescent="0.2">
      <c r="C230" s="151" t="s">
        <v>52</v>
      </c>
      <c r="D230" s="149" t="s">
        <v>38</v>
      </c>
      <c r="E230" s="150" t="e">
        <f>VLOOKUP("finlandia",#REF!,6,FALSE)</f>
        <v>#REF!</v>
      </c>
      <c r="F230" s="149" t="e">
        <f>VLOOKUP("finlandia",#REF!,5,FALSE)/VLOOKUP("finlandia",#REF!,5,FALSE)-1</f>
        <v>#REF!</v>
      </c>
      <c r="G230" s="150" t="e">
        <f>VLOOKUP("finlandia",#REF!,5,FALSE)</f>
        <v>#REF!</v>
      </c>
      <c r="H230" s="149" t="e">
        <f>VLOOKUP("finlandia",#REF!,4,FALSE)/VLOOKUP("finlandia",#REF!,4,FALSE)-1</f>
        <v>#REF!</v>
      </c>
      <c r="I230" s="150" t="e">
        <f>VLOOKUP("finlandia",#REF!,4,FALSE)</f>
        <v>#REF!</v>
      </c>
      <c r="J230" s="149" t="e">
        <f>VLOOKUP("finlandia",#REF!,3,FALSE)/VLOOKUP("finlandia",#REF!,3,FALSE)-1</f>
        <v>#REF!</v>
      </c>
      <c r="K230" s="150" t="e">
        <f>VLOOKUP("finlandia",#REF!,3,FALSE)</f>
        <v>#REF!</v>
      </c>
      <c r="L230" s="149" t="s">
        <v>38</v>
      </c>
      <c r="M230" s="150" t="e">
        <f>VLOOKUP("finlandia",#REF!,2,FALSE)</f>
        <v>#REF!</v>
      </c>
      <c r="N230" s="149" t="e">
        <f>VLOOKUP("finlandia",#REF!,7,FALSE)/VLOOKUP("finlandia",#REF!,7,FALSE)-1</f>
        <v>#REF!</v>
      </c>
      <c r="O230" s="150" t="e">
        <f>VLOOKUP("finlandia",#REF!,7,FALSE)</f>
        <v>#REF!</v>
      </c>
      <c r="P230" s="149" t="e">
        <f>VLOOKUP("finlandia",#REF!,8,FALSE)/VLOOKUP("finlandia",#REF!,8,FALSE)-1</f>
        <v>#REF!</v>
      </c>
      <c r="Q230" s="150" t="e">
        <f>VLOOKUP("finlandia",#REF!,8,FALSE)</f>
        <v>#REF!</v>
      </c>
    </row>
    <row r="231" spans="3:17" ht="24" hidden="1" customHeight="1" x14ac:dyDescent="0.2">
      <c r="C231" s="148" t="s">
        <v>53</v>
      </c>
      <c r="D231" s="149" t="e">
        <f>VLOOKUP("suiza",#REF!,6,FALSE)/VLOOKUP("suiza",#REF!,6,FALSE)-1</f>
        <v>#REF!</v>
      </c>
      <c r="E231" s="150" t="e">
        <f>VLOOKUP("suiza",#REF!,6,FALSE)</f>
        <v>#REF!</v>
      </c>
      <c r="F231" s="149" t="e">
        <f>VLOOKUP("suiza",#REF!,5,FALSE)/VLOOKUP("suiza",#REF!,5,FALSE)-1</f>
        <v>#REF!</v>
      </c>
      <c r="G231" s="150" t="e">
        <f>VLOOKUP("suiza",#REF!,5,FALSE)</f>
        <v>#REF!</v>
      </c>
      <c r="H231" s="149" t="e">
        <f>VLOOKUP("suiza",#REF!,4,FALSE)/VLOOKUP("suiza",#REF!,4,FALSE)-1</f>
        <v>#REF!</v>
      </c>
      <c r="I231" s="150" t="e">
        <f>VLOOKUP("suiza",#REF!,4,FALSE)</f>
        <v>#REF!</v>
      </c>
      <c r="J231" s="149" t="e">
        <f>VLOOKUP("suiza",#REF!,3,FALSE)/VLOOKUP("suiza",#REF!,3,FALSE)-1</f>
        <v>#REF!</v>
      </c>
      <c r="K231" s="150" t="e">
        <f>VLOOKUP("suiza",#REF!,3,FALSE)</f>
        <v>#REF!</v>
      </c>
      <c r="L231" s="149" t="e">
        <f>VLOOKUP("suiza",#REF!,2,FALSE)/VLOOKUP("suiza",#REF!,2,FALSE)-1</f>
        <v>#REF!</v>
      </c>
      <c r="M231" s="150" t="e">
        <f>VLOOKUP("suiza",#REF!,2,FALSE)</f>
        <v>#REF!</v>
      </c>
      <c r="N231" s="149" t="e">
        <f>VLOOKUP("suiza",#REF!,7,FALSE)/VLOOKUP("suiza",#REF!,7,FALSE)-1</f>
        <v>#REF!</v>
      </c>
      <c r="O231" s="150" t="e">
        <f>VLOOKUP("suiza",#REF!,7,FALSE)</f>
        <v>#REF!</v>
      </c>
      <c r="P231" s="149" t="e">
        <f>VLOOKUP("suiza",#REF!,8,FALSE)/VLOOKUP("suiza",#REF!,8,FALSE)-1</f>
        <v>#REF!</v>
      </c>
      <c r="Q231" s="150" t="e">
        <f>VLOOKUP("suiza",#REF!,8,FALSE)</f>
        <v>#REF!</v>
      </c>
    </row>
    <row r="232" spans="3:17" ht="24" hidden="1" customHeight="1" x14ac:dyDescent="0.2">
      <c r="C232" s="148" t="s">
        <v>54</v>
      </c>
      <c r="D232" s="149" t="e">
        <f>VLOOKUP("austria",#REF!,6,FALSE)/VLOOKUP("austria",#REF!,6,FALSE)-1</f>
        <v>#REF!</v>
      </c>
      <c r="E232" s="150" t="e">
        <f>VLOOKUP("austria",#REF!,6,FALSE)</f>
        <v>#REF!</v>
      </c>
      <c r="F232" s="149" t="e">
        <f>VLOOKUP("austria",#REF!,5,FALSE)/VLOOKUP("austria",#REF!,5,FALSE)-1</f>
        <v>#REF!</v>
      </c>
      <c r="G232" s="150" t="e">
        <f>VLOOKUP("austria",#REF!,5,FALSE)</f>
        <v>#REF!</v>
      </c>
      <c r="H232" s="149" t="e">
        <f>VLOOKUP("austria",#REF!,4,FALSE)/VLOOKUP("austria",#REF!,4,FALSE)-1</f>
        <v>#REF!</v>
      </c>
      <c r="I232" s="150" t="e">
        <f>VLOOKUP("austria",#REF!,4,FALSE)</f>
        <v>#REF!</v>
      </c>
      <c r="J232" s="149" t="e">
        <f>VLOOKUP("austria",#REF!,3,FALSE)/VLOOKUP("austria",#REF!,3,FALSE)-1</f>
        <v>#REF!</v>
      </c>
      <c r="K232" s="150" t="e">
        <f>VLOOKUP("austria",#REF!,3,FALSE)</f>
        <v>#REF!</v>
      </c>
      <c r="L232" s="149" t="e">
        <f>VLOOKUP("austria",#REF!,2,FALSE)/VLOOKUP("austria",#REF!,2,FALSE)-1</f>
        <v>#REF!</v>
      </c>
      <c r="M232" s="150" t="e">
        <f>VLOOKUP("austria",#REF!,2,FALSE)</f>
        <v>#REF!</v>
      </c>
      <c r="N232" s="149" t="e">
        <f>VLOOKUP("austria",#REF!,7,FALSE)/VLOOKUP("austria",#REF!,7,FALSE)-1</f>
        <v>#REF!</v>
      </c>
      <c r="O232" s="150" t="e">
        <f>VLOOKUP("austria",#REF!,7,FALSE)</f>
        <v>#REF!</v>
      </c>
      <c r="P232" s="149" t="e">
        <f>VLOOKUP("austria",#REF!,8,FALSE)/VLOOKUP("austria",#REF!,8,FALSE)-1</f>
        <v>#REF!</v>
      </c>
      <c r="Q232" s="150" t="e">
        <f>VLOOKUP("austria",#REF!,8,FALSE)</f>
        <v>#REF!</v>
      </c>
    </row>
    <row r="233" spans="3:17" ht="24" hidden="1" customHeight="1" x14ac:dyDescent="0.2">
      <c r="C233" s="148" t="s">
        <v>55</v>
      </c>
      <c r="D233" s="149" t="e">
        <f>VLOOKUP("rusia",#REF!,6,FALSE)/VLOOKUP("rusia",#REF!,6,FALSE)-1</f>
        <v>#REF!</v>
      </c>
      <c r="E233" s="150" t="e">
        <f>VLOOKUP("rusia",#REF!,6,FALSE)</f>
        <v>#REF!</v>
      </c>
      <c r="F233" s="149" t="e">
        <f>VLOOKUP("rusia",#REF!,5,FALSE)/VLOOKUP("rusia",#REF!,5,FALSE)-1</f>
        <v>#REF!</v>
      </c>
      <c r="G233" s="150" t="e">
        <f>VLOOKUP("rusia",#REF!,5,FALSE)</f>
        <v>#REF!</v>
      </c>
      <c r="H233" s="149" t="e">
        <f>VLOOKUP("rusia",#REF!,4,FALSE)/VLOOKUP("rusia",#REF!,4,FALSE)-1</f>
        <v>#REF!</v>
      </c>
      <c r="I233" s="150" t="e">
        <f>VLOOKUP("rusia",#REF!,4,FALSE)</f>
        <v>#REF!</v>
      </c>
      <c r="J233" s="149" t="e">
        <f>VLOOKUP("rusia",#REF!,3,FALSE)/VLOOKUP("rusia",#REF!,3,FALSE)-1</f>
        <v>#REF!</v>
      </c>
      <c r="K233" s="150" t="e">
        <f>VLOOKUP("rusia",#REF!,3,FALSE)</f>
        <v>#REF!</v>
      </c>
      <c r="L233" s="149" t="e">
        <f>VLOOKUP("rusia",#REF!,2,FALSE)/VLOOKUP("rusia",#REF!,2,FALSE)-1</f>
        <v>#REF!</v>
      </c>
      <c r="M233" s="150" t="e">
        <f>VLOOKUP("rusia",#REF!,2,FALSE)</f>
        <v>#REF!</v>
      </c>
      <c r="N233" s="149" t="e">
        <f>VLOOKUP("rusia",#REF!,7,FALSE)/VLOOKUP("rusia",#REF!,7,FALSE)-1</f>
        <v>#REF!</v>
      </c>
      <c r="O233" s="150" t="e">
        <f>VLOOKUP("rusia",#REF!,7,FALSE)</f>
        <v>#REF!</v>
      </c>
      <c r="P233" s="149" t="e">
        <f>VLOOKUP("rusia",#REF!,8,FALSE)/VLOOKUP("rusia",#REF!,8,FALSE)-1</f>
        <v>#REF!</v>
      </c>
      <c r="Q233" s="150" t="e">
        <f>VLOOKUP("rusia",#REF!,8,FALSE)</f>
        <v>#REF!</v>
      </c>
    </row>
    <row r="234" spans="3:17" ht="24" hidden="1" customHeight="1" x14ac:dyDescent="0.2">
      <c r="C234" s="148" t="s">
        <v>56</v>
      </c>
      <c r="D234" s="149" t="e">
        <f>VLOOKUP("paises del este",#REF!,6,FALSE)/VLOOKUP("paises del este",#REF!,6,FALSE)-1</f>
        <v>#REF!</v>
      </c>
      <c r="E234" s="150" t="e">
        <f>VLOOKUP("paises del este",#REF!,6,FALSE)</f>
        <v>#REF!</v>
      </c>
      <c r="F234" s="149" t="e">
        <f>VLOOKUP("paises del este",#REF!,5,FALSE)/VLOOKUP("paises del este",#REF!,5,FALSE)-1</f>
        <v>#REF!</v>
      </c>
      <c r="G234" s="150" t="e">
        <f>VLOOKUP("paises del este",#REF!,5,FALSE)</f>
        <v>#REF!</v>
      </c>
      <c r="H234" s="149" t="e">
        <f>VLOOKUP("paises del este",#REF!,4,FALSE)/VLOOKUP("paises del este",#REF!,4,FALSE)-1</f>
        <v>#REF!</v>
      </c>
      <c r="I234" s="150" t="e">
        <f>VLOOKUP("paises del este",#REF!,4,FALSE)</f>
        <v>#REF!</v>
      </c>
      <c r="J234" s="149" t="e">
        <f>VLOOKUP("paises del este",#REF!,3,FALSE)/VLOOKUP("paises del este",#REF!,3,FALSE)-1</f>
        <v>#REF!</v>
      </c>
      <c r="K234" s="150" t="e">
        <f>VLOOKUP("paises del este",#REF!,3,FALSE)</f>
        <v>#REF!</v>
      </c>
      <c r="L234" s="149" t="e">
        <f>VLOOKUP("paises del este",#REF!,2,FALSE)/VLOOKUP("paises del este",#REF!,2,FALSE)-1</f>
        <v>#REF!</v>
      </c>
      <c r="M234" s="150" t="e">
        <f>VLOOKUP("paises del este",#REF!,2,FALSE)</f>
        <v>#REF!</v>
      </c>
      <c r="N234" s="149" t="e">
        <f>VLOOKUP("paises del este",#REF!,7,FALSE)/VLOOKUP("paises del este",#REF!,7,FALSE)-1</f>
        <v>#REF!</v>
      </c>
      <c r="O234" s="150" t="e">
        <f>VLOOKUP("paises del este",#REF!,7,FALSE)</f>
        <v>#REF!</v>
      </c>
      <c r="P234" s="149" t="e">
        <f>VLOOKUP("paises del este",#REF!,8,FALSE)/VLOOKUP("paises del este",#REF!,8,FALSE)-1</f>
        <v>#REF!</v>
      </c>
      <c r="Q234" s="150" t="e">
        <f>VLOOKUP("paises del este",#REF!,8,FALSE)</f>
        <v>#REF!</v>
      </c>
    </row>
    <row r="235" spans="3:17" ht="24" hidden="1" customHeight="1" x14ac:dyDescent="0.2">
      <c r="C235" s="148" t="s">
        <v>57</v>
      </c>
      <c r="D235" s="149" t="e">
        <f>VLOOKUP("resto de europa",#REF!,6,FALSE)/VLOOKUP("resto de europa",#REF!,6,FALSE)-1</f>
        <v>#REF!</v>
      </c>
      <c r="E235" s="150" t="e">
        <f>VLOOKUP("resto de europa",#REF!,6,FALSE)</f>
        <v>#REF!</v>
      </c>
      <c r="F235" s="149" t="e">
        <f>VLOOKUP("resto de europa",#REF!,5,FALSE)/VLOOKUP("resto de europa",#REF!,5,FALSE)-1</f>
        <v>#REF!</v>
      </c>
      <c r="G235" s="150" t="e">
        <f>VLOOKUP("resto de europa",#REF!,5,FALSE)</f>
        <v>#REF!</v>
      </c>
      <c r="H235" s="149" t="e">
        <f>VLOOKUP("resto de europa",#REF!,4,FALSE)/VLOOKUP("resto de europa",#REF!,4,FALSE)-1</f>
        <v>#REF!</v>
      </c>
      <c r="I235" s="150" t="e">
        <f>VLOOKUP("resto de europa",#REF!,4,FALSE)</f>
        <v>#REF!</v>
      </c>
      <c r="J235" s="149" t="e">
        <f>VLOOKUP("resto de europa",#REF!,3,FALSE)/VLOOKUP("resto de europa",#REF!,3,FALSE)-1</f>
        <v>#REF!</v>
      </c>
      <c r="K235" s="150" t="e">
        <f>VLOOKUP("resto de europa",#REF!,3,FALSE)</f>
        <v>#REF!</v>
      </c>
      <c r="L235" s="149" t="e">
        <f>VLOOKUP("resto de europa",#REF!,2,FALSE)/VLOOKUP("resto de europa",#REF!,2,FALSE)-1</f>
        <v>#REF!</v>
      </c>
      <c r="M235" s="150" t="e">
        <f>VLOOKUP("resto de europa",#REF!,2,FALSE)</f>
        <v>#REF!</v>
      </c>
      <c r="N235" s="149" t="e">
        <f>VLOOKUP("resto de europa",#REF!,7,FALSE)/VLOOKUP("resto de europa",#REF!,7,FALSE)-1</f>
        <v>#REF!</v>
      </c>
      <c r="O235" s="150" t="e">
        <f>VLOOKUP("resto de europa",#REF!,7,FALSE)</f>
        <v>#REF!</v>
      </c>
      <c r="P235" s="149" t="e">
        <f>VLOOKUP("resto de europa",#REF!,8,FALSE)/VLOOKUP("resto de europa",#REF!,8,FALSE)-1</f>
        <v>#REF!</v>
      </c>
      <c r="Q235" s="150" t="e">
        <f>VLOOKUP("resto de europa",#REF!,8,FALSE)</f>
        <v>#REF!</v>
      </c>
    </row>
    <row r="236" spans="3:17" ht="24" hidden="1" customHeight="1" x14ac:dyDescent="0.2">
      <c r="C236" s="148" t="s">
        <v>58</v>
      </c>
      <c r="D236" s="149" t="e">
        <f>VLOOKUP("usa",#REF!,6,FALSE)/VLOOKUP("usa",#REF!,6,FALSE)-1</f>
        <v>#REF!</v>
      </c>
      <c r="E236" s="150" t="e">
        <f>VLOOKUP("usa",#REF!,6,FALSE)</f>
        <v>#REF!</v>
      </c>
      <c r="F236" s="149" t="e">
        <f>VLOOKUP("usa",#REF!,5,FALSE)/VLOOKUP("usa",#REF!,5,FALSE)-1</f>
        <v>#REF!</v>
      </c>
      <c r="G236" s="150" t="e">
        <f>VLOOKUP("usa",#REF!,5,FALSE)</f>
        <v>#REF!</v>
      </c>
      <c r="H236" s="149" t="e">
        <f>VLOOKUP("usa",#REF!,4,FALSE)/VLOOKUP("usa",#REF!,4,FALSE)-1</f>
        <v>#REF!</v>
      </c>
      <c r="I236" s="150" t="e">
        <f>VLOOKUP("usa",#REF!,4,FALSE)</f>
        <v>#REF!</v>
      </c>
      <c r="J236" s="149" t="e">
        <f>VLOOKUP("usa",#REF!,3,FALSE)/VLOOKUP("usa",#REF!,3,FALSE)-1</f>
        <v>#REF!</v>
      </c>
      <c r="K236" s="150" t="e">
        <f>VLOOKUP("usa",#REF!,3,FALSE)</f>
        <v>#REF!</v>
      </c>
      <c r="L236" s="149" t="e">
        <f>VLOOKUP("usa",#REF!,2,FALSE)/VLOOKUP("usa",#REF!,2,FALSE)-1</f>
        <v>#REF!</v>
      </c>
      <c r="M236" s="150" t="e">
        <f>VLOOKUP("usa",#REF!,2,FALSE)</f>
        <v>#REF!</v>
      </c>
      <c r="N236" s="149" t="e">
        <f>VLOOKUP("usa",#REF!,7,FALSE)/VLOOKUP("usa",#REF!,7,FALSE)-1</f>
        <v>#REF!</v>
      </c>
      <c r="O236" s="150" t="e">
        <f>VLOOKUP("usa",#REF!,7,FALSE)</f>
        <v>#REF!</v>
      </c>
      <c r="P236" s="149" t="e">
        <f>VLOOKUP("usa",#REF!,8,FALSE)/VLOOKUP("usa",#REF!,8,FALSE)-1</f>
        <v>#REF!</v>
      </c>
      <c r="Q236" s="150" t="e">
        <f>VLOOKUP("usa",#REF!,8,FALSE)</f>
        <v>#REF!</v>
      </c>
    </row>
    <row r="237" spans="3:17" ht="24" hidden="1" customHeight="1" x14ac:dyDescent="0.2">
      <c r="C237" s="148" t="s">
        <v>59</v>
      </c>
      <c r="D237" s="149" t="e">
        <f>VLOOKUP("resto de america",#REF!,6,FALSE)/VLOOKUP("resto de america",#REF!,6,FALSE)-1</f>
        <v>#REF!</v>
      </c>
      <c r="E237" s="150" t="e">
        <f>VLOOKUP("resto de america",#REF!,6,FALSE)</f>
        <v>#REF!</v>
      </c>
      <c r="F237" s="149" t="e">
        <f>VLOOKUP("resto de america",#REF!,5,FALSE)/VLOOKUP("resto de america",#REF!,5,FALSE)-1</f>
        <v>#REF!</v>
      </c>
      <c r="G237" s="150" t="e">
        <f>VLOOKUP("resto de america",#REF!,5,FALSE)</f>
        <v>#REF!</v>
      </c>
      <c r="H237" s="149" t="e">
        <f>VLOOKUP("resto de america",#REF!,4,FALSE)/VLOOKUP("resto de america",#REF!,4,FALSE)-1</f>
        <v>#REF!</v>
      </c>
      <c r="I237" s="150" t="e">
        <f>VLOOKUP("resto de america",#REF!,4,FALSE)</f>
        <v>#REF!</v>
      </c>
      <c r="J237" s="149" t="e">
        <f>VLOOKUP("resto de america",#REF!,3,FALSE)/VLOOKUP("resto de america",#REF!,3,FALSE)-1</f>
        <v>#REF!</v>
      </c>
      <c r="K237" s="150" t="e">
        <f>VLOOKUP("resto de america",#REF!,3,FALSE)</f>
        <v>#REF!</v>
      </c>
      <c r="L237" s="149" t="e">
        <f>VLOOKUP("resto de america",#REF!,2,FALSE)/VLOOKUP("resto de america",#REF!,2,FALSE)-1</f>
        <v>#REF!</v>
      </c>
      <c r="M237" s="150" t="e">
        <f>VLOOKUP("resto de america",#REF!,2,FALSE)</f>
        <v>#REF!</v>
      </c>
      <c r="N237" s="149" t="e">
        <f>VLOOKUP("resto de america",#REF!,7,FALSE)/VLOOKUP("resto de america",#REF!,7,FALSE)-1</f>
        <v>#REF!</v>
      </c>
      <c r="O237" s="150" t="e">
        <f>VLOOKUP("resto de america",#REF!,7,FALSE)</f>
        <v>#REF!</v>
      </c>
      <c r="P237" s="149" t="e">
        <f>VLOOKUP("resto de america",#REF!,8,FALSE)/VLOOKUP("resto de america",#REF!,8,FALSE)-1</f>
        <v>#REF!</v>
      </c>
      <c r="Q237" s="150" t="e">
        <f>VLOOKUP("resto de america",#REF!,8,FALSE)</f>
        <v>#REF!</v>
      </c>
    </row>
    <row r="238" spans="3:17" ht="24" hidden="1" customHeight="1" x14ac:dyDescent="0.2">
      <c r="C238" s="148" t="s">
        <v>60</v>
      </c>
      <c r="D238" s="149" t="e">
        <f>VLOOKUP("resto del mundo",#REF!,6,FALSE)/VLOOKUP("resto del mundo",#REF!,6,FALSE)-1</f>
        <v>#REF!</v>
      </c>
      <c r="E238" s="150" t="e">
        <f>VLOOKUP("resto del mundo",#REF!,6,FALSE)</f>
        <v>#REF!</v>
      </c>
      <c r="F238" s="149" t="e">
        <f>VLOOKUP("resto del mundo",#REF!,5,FALSE)/VLOOKUP("resto del mundo",#REF!,5,FALSE)-1</f>
        <v>#REF!</v>
      </c>
      <c r="G238" s="150" t="e">
        <f>VLOOKUP("resto del mundo",#REF!,5,FALSE)</f>
        <v>#REF!</v>
      </c>
      <c r="H238" s="149" t="e">
        <f>VLOOKUP("resto del mundo",#REF!,4,FALSE)/VLOOKUP("resto del mundo",#REF!,4,FALSE)-1</f>
        <v>#REF!</v>
      </c>
      <c r="I238" s="150" t="e">
        <f>VLOOKUP("resto del mundo",#REF!,4,FALSE)</f>
        <v>#REF!</v>
      </c>
      <c r="J238" s="149" t="e">
        <f>VLOOKUP("resto del mundo",#REF!,3,FALSE)/VLOOKUP("resto del mundo",#REF!,3,FALSE)-1</f>
        <v>#REF!</v>
      </c>
      <c r="K238" s="150" t="e">
        <f>VLOOKUP("resto del mundo",#REF!,3,FALSE)</f>
        <v>#REF!</v>
      </c>
      <c r="L238" s="149" t="e">
        <f>VLOOKUP("resto del mundo",#REF!,2,FALSE)/VLOOKUP("resto del mundo",#REF!,2,FALSE)-1</f>
        <v>#REF!</v>
      </c>
      <c r="M238" s="150" t="e">
        <f>VLOOKUP("resto del mundo",#REF!,2,FALSE)</f>
        <v>#REF!</v>
      </c>
      <c r="N238" s="149" t="e">
        <f>VLOOKUP("resto del mundo",#REF!,7,FALSE)/VLOOKUP("resto del mundo",#REF!,7,FALSE)-1</f>
        <v>#REF!</v>
      </c>
      <c r="O238" s="150" t="e">
        <f>VLOOKUP("resto del mundo",#REF!,7,FALSE)</f>
        <v>#REF!</v>
      </c>
      <c r="P238" s="149" t="e">
        <f>VLOOKUP("resto del mundo",#REF!,8,FALSE)/VLOOKUP("resto del mundo",#REF!,8,FALSE)-1</f>
        <v>#REF!</v>
      </c>
      <c r="Q238" s="150" t="e">
        <f>VLOOKUP("resto del mundo",#REF!,8,FALSE)</f>
        <v>#REF!</v>
      </c>
    </row>
    <row r="239" spans="3:17" ht="24" hidden="1" customHeight="1" x14ac:dyDescent="0.2">
      <c r="C239" s="148" t="s">
        <v>61</v>
      </c>
      <c r="D239" s="149" t="e">
        <f>(VLOOKUP("total",#REF!,6,FALSE)-VLOOKUP("españa",#REF!,6,FALSE))/(VLOOKUP("total",#REF!,6,FALSE)-VLOOKUP("españa",#REF!,6,FALSE))-1</f>
        <v>#REF!</v>
      </c>
      <c r="E239" s="150" t="e">
        <f>VLOOKUP("total",#REF!,6,FALSE)-VLOOKUP("españa",#REF!,6,FALSE)</f>
        <v>#REF!</v>
      </c>
      <c r="F239" s="149" t="e">
        <f>(VLOOKUP("total",#REF!,5,FALSE)-VLOOKUP("españa",#REF!,5,FALSE))/(VLOOKUP("total",#REF!,5,FALSE)-VLOOKUP("españa",#REF!,5,FALSE))-1</f>
        <v>#REF!</v>
      </c>
      <c r="G239" s="150" t="e">
        <f>VLOOKUP("total",#REF!,5,FALSE)-VLOOKUP("españa",#REF!,5,FALSE)</f>
        <v>#REF!</v>
      </c>
      <c r="H239" s="149" t="e">
        <f>(VLOOKUP("total",#REF!,4,FALSE)-VLOOKUP("españa",#REF!,4,FALSE))/(VLOOKUP("total",#REF!,4,FALSE)-VLOOKUP("españa",#REF!,4,FALSE))-1</f>
        <v>#REF!</v>
      </c>
      <c r="I239" s="150" t="e">
        <f>VLOOKUP("total",#REF!,4,FALSE)-VLOOKUP("españa",#REF!,4,FALSE)</f>
        <v>#REF!</v>
      </c>
      <c r="J239" s="149" t="e">
        <f>(VLOOKUP("total",#REF!,3,FALSE)-VLOOKUP("españa",#REF!,3,FALSE))/(VLOOKUP("total",#REF!,3,FALSE)-VLOOKUP("españa",#REF!,3,FALSE))-1</f>
        <v>#REF!</v>
      </c>
      <c r="K239" s="150" t="e">
        <f>VLOOKUP("total",#REF!,3,FALSE)-VLOOKUP("españa",#REF!,3,FALSE)</f>
        <v>#REF!</v>
      </c>
      <c r="L239" s="149" t="e">
        <f>(VLOOKUP("total",#REF!,2,FALSE)-VLOOKUP("españa",#REF!,2,FALSE))/(VLOOKUP("total",#REF!,2,FALSE)-VLOOKUP("españa",#REF!,2,FALSE))-1</f>
        <v>#REF!</v>
      </c>
      <c r="M239" s="150" t="e">
        <f>VLOOKUP("total",#REF!,2,FALSE)-VLOOKUP("españa",#REF!,2,FALSE)</f>
        <v>#REF!</v>
      </c>
      <c r="N239" s="149" t="e">
        <f>(VLOOKUP("total",#REF!,7,FALSE)-VLOOKUP("españa",#REF!,7,FALSE))/(VLOOKUP("total",#REF!,7,FALSE)-VLOOKUP("españa",#REF!,7,FALSE))-1</f>
        <v>#REF!</v>
      </c>
      <c r="O239" s="150" t="e">
        <f>VLOOKUP("total",#REF!,7,FALSE)-VLOOKUP("españa",#REF!,7,FALSE)</f>
        <v>#REF!</v>
      </c>
      <c r="P239" s="149" t="e">
        <f>(VLOOKUP("total",#REF!,8,FALSE)-VLOOKUP("españa",#REF!,8,FALSE))/(VLOOKUP("total",#REF!,8,FALSE)-VLOOKUP("españa",#REF!,8,FALSE))-1</f>
        <v>#REF!</v>
      </c>
      <c r="Q239" s="150" t="e">
        <f>VLOOKUP("total",#REF!,8,FALSE)-VLOOKUP("españa",#REF!,8,FALSE)</f>
        <v>#REF!</v>
      </c>
    </row>
    <row r="240" spans="3:17" ht="24" hidden="1" customHeight="1" x14ac:dyDescent="0.2">
      <c r="C240" s="148" t="s">
        <v>8</v>
      </c>
      <c r="D240" s="149" t="e">
        <f>VLOOKUP("total",#REF!,6,FALSE)/VLOOKUP("total",#REF!,6,FALSE)-1</f>
        <v>#REF!</v>
      </c>
      <c r="E240" s="150" t="e">
        <f>VLOOKUP("total",#REF!,6,FALSE)</f>
        <v>#REF!</v>
      </c>
      <c r="F240" s="149" t="e">
        <f>VLOOKUP("total",#REF!,5,FALSE)/VLOOKUP("total",#REF!,5,FALSE)-1</f>
        <v>#REF!</v>
      </c>
      <c r="G240" s="150" t="e">
        <f>VLOOKUP("total",#REF!,5,FALSE)</f>
        <v>#REF!</v>
      </c>
      <c r="H240" s="149" t="e">
        <f>VLOOKUP("total",#REF!,4,FALSE)/VLOOKUP("total",#REF!,4,FALSE)-1</f>
        <v>#REF!</v>
      </c>
      <c r="I240" s="150" t="e">
        <f>VLOOKUP("total",#REF!,4,FALSE)</f>
        <v>#REF!</v>
      </c>
      <c r="J240" s="149" t="e">
        <f>VLOOKUP("total",#REF!,3,FALSE)/VLOOKUP("total",#REF!,3,FALSE)-1</f>
        <v>#REF!</v>
      </c>
      <c r="K240" s="150" t="e">
        <f>VLOOKUP("total",#REF!,3,FALSE)</f>
        <v>#REF!</v>
      </c>
      <c r="L240" s="149" t="e">
        <f>VLOOKUP("total",#REF!,2,FALSE)/VLOOKUP("total",#REF!,2,FALSE)-1</f>
        <v>#REF!</v>
      </c>
      <c r="M240" s="150" t="e">
        <f>VLOOKUP("total",#REF!,2,FALSE)</f>
        <v>#REF!</v>
      </c>
      <c r="N240" s="149" t="e">
        <f>VLOOKUP("total",#REF!,7,FALSE)/VLOOKUP("total",#REF!,7,FALSE)-1</f>
        <v>#REF!</v>
      </c>
      <c r="O240" s="150" t="e">
        <f>VLOOKUP("total",#REF!,7,FALSE)</f>
        <v>#REF!</v>
      </c>
      <c r="P240" s="149" t="e">
        <f>VLOOKUP("total",#REF!,8,FALSE)/VLOOKUP("total",#REF!,8,FALSE)-1</f>
        <v>#REF!</v>
      </c>
      <c r="Q240" s="150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1"/>
      <c r="D242" s="1"/>
      <c r="E242" s="261" t="str">
        <f>$E$1</f>
        <v>INDICADORES TURÍSTICOS DE TENERIFE definitivo</v>
      </c>
      <c r="F242" s="261"/>
      <c r="G242" s="261"/>
      <c r="H242" s="261"/>
      <c r="I242" s="261"/>
      <c r="J242" s="261"/>
      <c r="K242" s="261"/>
      <c r="L242" s="1"/>
      <c r="M242" s="1"/>
    </row>
    <row r="243" spans="3:13" ht="5.25" customHeight="1" thickBot="1" x14ac:dyDescent="0.25"/>
    <row r="244" spans="3:13" ht="28.5" customHeight="1" thickBot="1" x14ac:dyDescent="0.25">
      <c r="C244" s="308" t="s">
        <v>67</v>
      </c>
      <c r="D244" s="309"/>
      <c r="E244" s="309"/>
      <c r="F244" s="309"/>
      <c r="G244" s="309"/>
      <c r="H244" s="309"/>
      <c r="I244" s="309"/>
      <c r="J244" s="309"/>
      <c r="K244" s="309"/>
      <c r="L244" s="309"/>
      <c r="M244" s="310"/>
    </row>
    <row r="245" spans="3:13" ht="5.25" customHeight="1" thickBot="1" x14ac:dyDescent="0.25">
      <c r="C245" s="153"/>
      <c r="D245" s="154"/>
      <c r="E245" s="154"/>
      <c r="F245" s="154"/>
      <c r="G245" s="155"/>
      <c r="H245" s="155"/>
      <c r="I245" s="155"/>
      <c r="J245" s="154"/>
      <c r="K245" s="154"/>
      <c r="L245" s="154"/>
      <c r="M245" s="156"/>
    </row>
    <row r="246" spans="3:13" ht="32.25" customHeight="1" thickTop="1" thickBot="1" x14ac:dyDescent="0.25">
      <c r="C246" s="119"/>
      <c r="D246" s="294" t="s">
        <v>7</v>
      </c>
      <c r="E246" s="295"/>
      <c r="F246" s="294" t="s">
        <v>30</v>
      </c>
      <c r="G246" s="295"/>
      <c r="H246" s="294" t="s">
        <v>31</v>
      </c>
      <c r="I246" s="295"/>
      <c r="J246" s="294" t="s">
        <v>32</v>
      </c>
      <c r="K246" s="295"/>
      <c r="L246" s="294" t="s">
        <v>33</v>
      </c>
      <c r="M246" s="311"/>
    </row>
    <row r="247" spans="3:13" ht="31.5" customHeight="1" thickBot="1" x14ac:dyDescent="0.25">
      <c r="C247" s="120"/>
      <c r="D247" s="157" t="s">
        <v>68</v>
      </c>
      <c r="E247" s="158" t="s">
        <v>69</v>
      </c>
      <c r="F247" s="157" t="s">
        <v>68</v>
      </c>
      <c r="G247" s="158" t="s">
        <v>69</v>
      </c>
      <c r="H247" s="157" t="s">
        <v>68</v>
      </c>
      <c r="I247" s="158" t="s">
        <v>69</v>
      </c>
      <c r="J247" s="157" t="s">
        <v>68</v>
      </c>
      <c r="K247" s="158" t="s">
        <v>69</v>
      </c>
      <c r="L247" s="157" t="s">
        <v>68</v>
      </c>
      <c r="M247" s="159" t="s">
        <v>69</v>
      </c>
    </row>
    <row r="248" spans="3:13" ht="18.75" thickBot="1" x14ac:dyDescent="0.25">
      <c r="C248" s="123" t="s">
        <v>36</v>
      </c>
      <c r="D248" s="160">
        <v>0.24294430252082214</v>
      </c>
      <c r="E248" s="161">
        <v>0.18185653944398827</v>
      </c>
      <c r="F248" s="160">
        <v>0.68491260349586014</v>
      </c>
      <c r="G248" s="161">
        <v>0.64717935039584873</v>
      </c>
      <c r="H248" s="160">
        <v>0.52469658481512838</v>
      </c>
      <c r="I248" s="161">
        <v>0.47230652503793624</v>
      </c>
      <c r="J248" s="160">
        <v>0.55074131959111261</v>
      </c>
      <c r="K248" s="161">
        <v>0.39095639274835525</v>
      </c>
      <c r="L248" s="160">
        <v>0.15097217649580646</v>
      </c>
      <c r="M248" s="162">
        <v>0.10204564876327145</v>
      </c>
    </row>
    <row r="249" spans="3:13" ht="26.25" thickBot="1" x14ac:dyDescent="0.25">
      <c r="C249" s="163" t="s">
        <v>70</v>
      </c>
      <c r="D249" s="164">
        <v>7.1933904624904343E-2</v>
      </c>
      <c r="E249" s="165">
        <v>4.8620246798208311E-2</v>
      </c>
      <c r="F249" s="164"/>
      <c r="G249" s="165"/>
      <c r="H249" s="164"/>
      <c r="I249" s="165"/>
      <c r="J249" s="164"/>
      <c r="K249" s="165"/>
      <c r="L249" s="164"/>
      <c r="M249" s="166"/>
    </row>
    <row r="250" spans="3:13" ht="26.25" thickBot="1" x14ac:dyDescent="0.25">
      <c r="C250" s="163" t="s">
        <v>39</v>
      </c>
      <c r="D250" s="164">
        <v>3.1500276484705679E-2</v>
      </c>
      <c r="E250" s="165">
        <v>2.5063478566541859E-2</v>
      </c>
      <c r="F250" s="164"/>
      <c r="G250" s="165"/>
      <c r="H250" s="164"/>
      <c r="I250" s="165"/>
      <c r="J250" s="164"/>
      <c r="K250" s="165"/>
      <c r="L250" s="164"/>
      <c r="M250" s="166"/>
    </row>
    <row r="251" spans="3:13" ht="18.75" thickBot="1" x14ac:dyDescent="0.25">
      <c r="C251" s="163" t="s">
        <v>40</v>
      </c>
      <c r="D251" s="164">
        <v>0.13951012141121211</v>
      </c>
      <c r="E251" s="165">
        <v>0.10817281407923811</v>
      </c>
      <c r="F251" s="164"/>
      <c r="G251" s="165"/>
      <c r="H251" s="164"/>
      <c r="I251" s="165"/>
      <c r="J251" s="164"/>
      <c r="K251" s="165"/>
      <c r="L251" s="164"/>
      <c r="M251" s="166"/>
    </row>
    <row r="252" spans="3:13" ht="18.75" thickBot="1" x14ac:dyDescent="0.25">
      <c r="C252" s="167" t="s">
        <v>41</v>
      </c>
      <c r="D252" s="168">
        <v>3.1394367263854181E-2</v>
      </c>
      <c r="E252" s="169">
        <v>2.8829619151548636E-2</v>
      </c>
      <c r="F252" s="168">
        <v>4.829806807727691E-3</v>
      </c>
      <c r="G252" s="169">
        <v>8.0988348831852186E-3</v>
      </c>
      <c r="H252" s="168">
        <v>5.9271803556308214E-3</v>
      </c>
      <c r="I252" s="169">
        <v>1.6864395088977791E-2</v>
      </c>
      <c r="J252" s="168">
        <v>1.0422826729745713E-2</v>
      </c>
      <c r="K252" s="169">
        <v>1.1734098809887784E-2</v>
      </c>
      <c r="L252" s="168">
        <v>3.7619878871711546E-2</v>
      </c>
      <c r="M252" s="170">
        <v>3.4184320044024309E-2</v>
      </c>
    </row>
    <row r="253" spans="3:13" ht="24" customHeight="1" thickBot="1" x14ac:dyDescent="0.25">
      <c r="C253" s="171" t="s">
        <v>42</v>
      </c>
      <c r="D253" s="164">
        <v>3.035810931874814E-2</v>
      </c>
      <c r="E253" s="165">
        <v>2.9894066263856406E-2</v>
      </c>
      <c r="F253" s="164">
        <v>6.439742410303588E-3</v>
      </c>
      <c r="G253" s="165">
        <v>6.1104981753373503E-3</v>
      </c>
      <c r="H253" s="164">
        <v>1.2842224103866779E-2</v>
      </c>
      <c r="I253" s="165">
        <v>1.4657194095737344E-2</v>
      </c>
      <c r="J253" s="164">
        <v>8.2580045619667138E-3</v>
      </c>
      <c r="K253" s="165">
        <v>8.7899582158507995E-3</v>
      </c>
      <c r="L253" s="164">
        <v>3.6594291290558675E-2</v>
      </c>
      <c r="M253" s="166">
        <v>3.6414638082614366E-2</v>
      </c>
    </row>
    <row r="254" spans="3:13" ht="24" customHeight="1" thickBot="1" x14ac:dyDescent="0.25">
      <c r="C254" s="167" t="s">
        <v>43</v>
      </c>
      <c r="D254" s="168">
        <v>8.9190222601506178E-2</v>
      </c>
      <c r="E254" s="169">
        <v>0.10409068441824475</v>
      </c>
      <c r="F254" s="168">
        <v>4.3698252069917204E-2</v>
      </c>
      <c r="G254" s="169">
        <v>5.3539603060098688E-2</v>
      </c>
      <c r="H254" s="168">
        <v>0.20166525543324865</v>
      </c>
      <c r="I254" s="169">
        <v>0.19168161125672506</v>
      </c>
      <c r="J254" s="168">
        <v>0.16099940863394441</v>
      </c>
      <c r="K254" s="169">
        <v>0.21978575715369547</v>
      </c>
      <c r="L254" s="168">
        <v>7.3070154453963435E-2</v>
      </c>
      <c r="M254" s="170">
        <v>7.8137194984826963E-2</v>
      </c>
    </row>
    <row r="255" spans="3:13" ht="24" customHeight="1" thickBot="1" x14ac:dyDescent="0.25">
      <c r="C255" s="171" t="s">
        <v>44</v>
      </c>
      <c r="D255" s="164">
        <v>3.9516339072466017E-2</v>
      </c>
      <c r="E255" s="165">
        <v>3.6906566940518956E-2</v>
      </c>
      <c r="F255" s="164">
        <v>2.4264029438822447E-2</v>
      </c>
      <c r="G255" s="165">
        <v>2.759423382354724E-2</v>
      </c>
      <c r="H255" s="164">
        <v>9.2294665537679926E-2</v>
      </c>
      <c r="I255" s="165">
        <v>9.0253828114222653E-2</v>
      </c>
      <c r="J255" s="164">
        <v>5.092084142941624E-2</v>
      </c>
      <c r="K255" s="165">
        <v>4.3007099908278695E-2</v>
      </c>
      <c r="L255" s="164">
        <v>3.6700876604997192E-2</v>
      </c>
      <c r="M255" s="166">
        <v>3.4966121918761396E-2</v>
      </c>
    </row>
    <row r="256" spans="3:13" ht="24" customHeight="1" thickBot="1" x14ac:dyDescent="0.25">
      <c r="C256" s="167" t="s">
        <v>45</v>
      </c>
      <c r="D256" s="168">
        <v>0.3667614260830373</v>
      </c>
      <c r="E256" s="169">
        <v>0.35185238587422019</v>
      </c>
      <c r="F256" s="168">
        <v>3.6281048758049675E-2</v>
      </c>
      <c r="G256" s="169">
        <v>4.8690001333640473E-2</v>
      </c>
      <c r="H256" s="168">
        <v>2.4978831498729891E-2</v>
      </c>
      <c r="I256" s="169">
        <v>5.3628086632638981E-2</v>
      </c>
      <c r="J256" s="168">
        <v>7.5631494466503343E-2</v>
      </c>
      <c r="K256" s="169">
        <v>9.7547304412813812E-2</v>
      </c>
      <c r="L256" s="168">
        <v>0.45141012371002165</v>
      </c>
      <c r="M256" s="170">
        <v>0.43352765938307763</v>
      </c>
    </row>
    <row r="257" spans="3:13" ht="24" customHeight="1" thickBot="1" x14ac:dyDescent="0.25">
      <c r="C257" s="171" t="s">
        <v>46</v>
      </c>
      <c r="D257" s="164">
        <v>2.2799521954445286E-2</v>
      </c>
      <c r="E257" s="165">
        <v>2.120799569769095E-2</v>
      </c>
      <c r="F257" s="164">
        <v>3.7373505059797607E-3</v>
      </c>
      <c r="G257" s="165">
        <v>5.4679259465816371E-3</v>
      </c>
      <c r="H257" s="164">
        <v>2.5402201524132089E-3</v>
      </c>
      <c r="I257" s="165">
        <v>5.0351772658297697E-3</v>
      </c>
      <c r="J257" s="164">
        <v>6.3043845568978626E-3</v>
      </c>
      <c r="K257" s="165">
        <v>7.1367100361223405E-3</v>
      </c>
      <c r="L257" s="164">
        <v>2.7624544939921412E-2</v>
      </c>
      <c r="M257" s="166">
        <v>2.566453159352652E-2</v>
      </c>
    </row>
    <row r="258" spans="3:13" ht="24" customHeight="1" thickBot="1" x14ac:dyDescent="0.25">
      <c r="C258" s="167" t="s">
        <v>47</v>
      </c>
      <c r="D258" s="168">
        <v>2.5472365531216117E-2</v>
      </c>
      <c r="E258" s="169">
        <v>2.8235167936262687E-2</v>
      </c>
      <c r="F258" s="168">
        <v>2.8921343146274148E-2</v>
      </c>
      <c r="G258" s="169">
        <v>3.0710102932796645E-2</v>
      </c>
      <c r="H258" s="168">
        <v>1.651143099068586E-2</v>
      </c>
      <c r="I258" s="169">
        <v>2.3175610429024694E-2</v>
      </c>
      <c r="J258" s="168">
        <v>1.4382867280560954E-2</v>
      </c>
      <c r="K258" s="169">
        <v>1.5159493154873119E-2</v>
      </c>
      <c r="L258" s="168">
        <v>2.7967986508667754E-2</v>
      </c>
      <c r="M258" s="170">
        <v>3.1252232302307309E-2</v>
      </c>
    </row>
    <row r="259" spans="3:13" ht="24" customHeight="1" thickBot="1" x14ac:dyDescent="0.25">
      <c r="C259" s="171" t="s">
        <v>48</v>
      </c>
      <c r="D259" s="164">
        <v>5.02280321627867E-2</v>
      </c>
      <c r="E259" s="165">
        <v>0.11157469873971283</v>
      </c>
      <c r="F259" s="164">
        <v>4.0593376264949403E-2</v>
      </c>
      <c r="G259" s="165">
        <v>4.913858949333786E-2</v>
      </c>
      <c r="H259" s="164">
        <v>5.6449336720293536E-3</v>
      </c>
      <c r="I259" s="165">
        <v>2.3313560491102218E-2</v>
      </c>
      <c r="J259" s="164">
        <v>3.4383712089211795E-2</v>
      </c>
      <c r="K259" s="165">
        <v>9.8136132531621206E-2</v>
      </c>
      <c r="L259" s="164">
        <v>5.4926965373984185E-2</v>
      </c>
      <c r="M259" s="166">
        <v>0.11981345228362872</v>
      </c>
    </row>
    <row r="260" spans="3:13" ht="24" customHeight="1" thickBot="1" x14ac:dyDescent="0.25">
      <c r="C260" s="172" t="s">
        <v>49</v>
      </c>
      <c r="D260" s="168">
        <v>1.5445969584628657E-2</v>
      </c>
      <c r="E260" s="169">
        <v>3.3324176255038293E-2</v>
      </c>
      <c r="F260" s="168">
        <v>1.3856945722171114E-2</v>
      </c>
      <c r="G260" s="169">
        <v>1.7785914331785502E-2</v>
      </c>
      <c r="H260" s="168">
        <v>2.8224668360146768E-3</v>
      </c>
      <c r="I260" s="169">
        <v>7.3803283211477449E-3</v>
      </c>
      <c r="J260" s="168">
        <v>9.2612148348399093E-3</v>
      </c>
      <c r="K260" s="169">
        <v>2.3643713693650849E-2</v>
      </c>
      <c r="L260" s="168">
        <v>1.7110495811197144E-2</v>
      </c>
      <c r="M260" s="170">
        <v>3.6931209372098005E-2</v>
      </c>
    </row>
    <row r="261" spans="3:13" ht="24" customHeight="1" thickBot="1" x14ac:dyDescent="0.25">
      <c r="C261" s="163" t="s">
        <v>50</v>
      </c>
      <c r="D261" s="164">
        <v>8.9550419213441437E-3</v>
      </c>
      <c r="E261" s="165">
        <v>2.0892304158679518E-2</v>
      </c>
      <c r="F261" s="164">
        <v>9.7171113155473787E-3</v>
      </c>
      <c r="G261" s="165">
        <v>1.0632751785259636E-2</v>
      </c>
      <c r="H261" s="164">
        <v>1.4112334180073384E-3</v>
      </c>
      <c r="I261" s="165">
        <v>5.0006897503103876E-3</v>
      </c>
      <c r="J261" s="164">
        <v>4.2662836867449526E-3</v>
      </c>
      <c r="K261" s="165">
        <v>1.1032034514386656E-2</v>
      </c>
      <c r="L261" s="164">
        <v>1.0101919246228656E-2</v>
      </c>
      <c r="M261" s="166">
        <v>2.4060581046794347E-2</v>
      </c>
    </row>
    <row r="262" spans="3:13" ht="24" customHeight="1" thickBot="1" x14ac:dyDescent="0.25">
      <c r="C262" s="172" t="s">
        <v>51</v>
      </c>
      <c r="D262" s="168">
        <v>1.2869178437707228E-2</v>
      </c>
      <c r="E262" s="169">
        <v>2.6640015015584741E-2</v>
      </c>
      <c r="F262" s="168">
        <v>9.7746090156393753E-3</v>
      </c>
      <c r="G262" s="169">
        <v>1.0681247802524217E-2</v>
      </c>
      <c r="H262" s="168">
        <v>9.8786339260513683E-4</v>
      </c>
      <c r="I262" s="169">
        <v>6.0008277003724651E-3</v>
      </c>
      <c r="J262" s="168">
        <v>8.5114471572188891E-3</v>
      </c>
      <c r="K262" s="169">
        <v>1.9289782699776926E-2</v>
      </c>
      <c r="L262" s="168">
        <v>1.4173478257780136E-2</v>
      </c>
      <c r="M262" s="170">
        <v>2.9623809108057984E-2</v>
      </c>
    </row>
    <row r="263" spans="3:13" ht="24" customHeight="1" thickBot="1" x14ac:dyDescent="0.25">
      <c r="C263" s="163" t="s">
        <v>52</v>
      </c>
      <c r="D263" s="164">
        <v>1.2957842219106676E-2</v>
      </c>
      <c r="E263" s="165">
        <v>3.0718203310410284E-2</v>
      </c>
      <c r="F263" s="164">
        <v>7.2447102115915365E-3</v>
      </c>
      <c r="G263" s="165">
        <v>1.0038675573768504E-2</v>
      </c>
      <c r="H263" s="164">
        <v>4.2337002540220151E-4</v>
      </c>
      <c r="I263" s="165">
        <v>4.9317147192716234E-3</v>
      </c>
      <c r="J263" s="164">
        <v>1.2344766410408043E-2</v>
      </c>
      <c r="K263" s="165">
        <v>4.4170601623806774E-2</v>
      </c>
      <c r="L263" s="164">
        <v>1.3541072058778247E-2</v>
      </c>
      <c r="M263" s="166">
        <v>2.9197852756678386E-2</v>
      </c>
    </row>
    <row r="264" spans="3:13" ht="24" customHeight="1" thickBot="1" x14ac:dyDescent="0.25">
      <c r="C264" s="167" t="s">
        <v>53</v>
      </c>
      <c r="D264" s="168">
        <v>9.4667058265034514E-3</v>
      </c>
      <c r="E264" s="169">
        <v>8.8044548932947417E-3</v>
      </c>
      <c r="F264" s="168">
        <v>8.3371665133394664E-3</v>
      </c>
      <c r="G264" s="169">
        <v>7.1167905335774301E-3</v>
      </c>
      <c r="H264" s="168">
        <v>1.6793677674287327E-2</v>
      </c>
      <c r="I264" s="169">
        <v>1.424334390950476E-2</v>
      </c>
      <c r="J264" s="168">
        <v>7.1808735321449695E-3</v>
      </c>
      <c r="K264" s="169">
        <v>7.9435177950651671E-3</v>
      </c>
      <c r="L264" s="168">
        <v>9.9029599926100855E-3</v>
      </c>
      <c r="M264" s="170">
        <v>8.9933672510999468E-3</v>
      </c>
    </row>
    <row r="265" spans="3:13" ht="24" customHeight="1" thickBot="1" x14ac:dyDescent="0.25">
      <c r="C265" s="171" t="s">
        <v>54</v>
      </c>
      <c r="D265" s="164">
        <v>5.3733945852289834E-3</v>
      </c>
      <c r="E265" s="165">
        <v>6.4443570896275601E-3</v>
      </c>
      <c r="F265" s="164">
        <v>2.9898804047838088E-3</v>
      </c>
      <c r="G265" s="165">
        <v>3.9039293897988629E-3</v>
      </c>
      <c r="H265" s="164">
        <v>6.7739204064352241E-3</v>
      </c>
      <c r="I265" s="165">
        <v>7.3458408056283628E-3</v>
      </c>
      <c r="J265" s="164">
        <v>7.5082368843456954E-3</v>
      </c>
      <c r="K265" s="165">
        <v>9.1353285547666769E-3</v>
      </c>
      <c r="L265" s="164">
        <v>4.9692442153781288E-3</v>
      </c>
      <c r="M265" s="166">
        <v>5.936932003079585E-3</v>
      </c>
    </row>
    <row r="266" spans="3:13" ht="24" customHeight="1" thickBot="1" x14ac:dyDescent="0.25">
      <c r="C266" s="167" t="s">
        <v>55</v>
      </c>
      <c r="D266" s="168">
        <v>1.6877520221807225E-2</v>
      </c>
      <c r="E266" s="169">
        <v>1.5535666314043265E-2</v>
      </c>
      <c r="F266" s="168">
        <v>1.0407083716651335E-2</v>
      </c>
      <c r="G266" s="169">
        <v>1.4185085049890278E-2</v>
      </c>
      <c r="H266" s="168">
        <v>1.5805814281682189E-2</v>
      </c>
      <c r="I266" s="169">
        <v>1.4657194095737344E-2</v>
      </c>
      <c r="J266" s="168">
        <v>1.0243304891442089E-2</v>
      </c>
      <c r="K266" s="169">
        <v>1.0743282263817645E-2</v>
      </c>
      <c r="L266" s="168">
        <v>1.8650061464197992E-2</v>
      </c>
      <c r="M266" s="170">
        <v>1.6745905130789766E-2</v>
      </c>
    </row>
    <row r="267" spans="3:13" ht="24" customHeight="1" thickBot="1" x14ac:dyDescent="0.25">
      <c r="C267" s="171" t="s">
        <v>56</v>
      </c>
      <c r="D267" s="164">
        <v>2.4484133801034782E-2</v>
      </c>
      <c r="E267" s="165">
        <v>2.7507660831938271E-2</v>
      </c>
      <c r="F267" s="164">
        <v>1.1442042318307267E-2</v>
      </c>
      <c r="G267" s="165">
        <v>1.1711788169396588E-2</v>
      </c>
      <c r="H267" s="164">
        <v>1.5805814281682189E-2</v>
      </c>
      <c r="I267" s="165">
        <v>1.4036418816388467E-2</v>
      </c>
      <c r="J267" s="164">
        <v>1.6801132043592126E-2</v>
      </c>
      <c r="K267" s="165">
        <v>1.9725741980047784E-2</v>
      </c>
      <c r="L267" s="164">
        <v>2.6890290551567161E-2</v>
      </c>
      <c r="M267" s="166">
        <v>3.0445957780053073E-2</v>
      </c>
    </row>
    <row r="268" spans="3:13" ht="24" customHeight="1" thickBot="1" x14ac:dyDescent="0.25">
      <c r="C268" s="167" t="s">
        <v>57</v>
      </c>
      <c r="D268" s="168">
        <v>2.3104303703005886E-2</v>
      </c>
      <c r="E268" s="169">
        <v>2.4546534905922405E-2</v>
      </c>
      <c r="F268" s="168">
        <v>2.627644894204232E-2</v>
      </c>
      <c r="G268" s="169">
        <v>2.7036529625004548E-2</v>
      </c>
      <c r="H268" s="168">
        <v>1.4535704205475586E-2</v>
      </c>
      <c r="I268" s="169">
        <v>1.0587667264450269E-2</v>
      </c>
      <c r="J268" s="168">
        <v>2.6231308608600151E-2</v>
      </c>
      <c r="K268" s="169">
        <v>3.4123721846655568E-2</v>
      </c>
      <c r="L268" s="168">
        <v>2.241607590769238E-2</v>
      </c>
      <c r="M268" s="170">
        <v>2.244075635032132E-2</v>
      </c>
    </row>
    <row r="269" spans="3:13" ht="24" customHeight="1" thickBot="1" x14ac:dyDescent="0.25">
      <c r="C269" s="171" t="s">
        <v>58</v>
      </c>
      <c r="D269" s="164">
        <v>5.0482940534310114E-3</v>
      </c>
      <c r="E269" s="165">
        <v>4.4980985149849773E-3</v>
      </c>
      <c r="F269" s="164">
        <v>9.7746090156393753E-3</v>
      </c>
      <c r="G269" s="165">
        <v>1.0717619815472654E-2</v>
      </c>
      <c r="H269" s="164">
        <v>1.1148744002257974E-2</v>
      </c>
      <c r="I269" s="165">
        <v>1.1691267761070493E-2</v>
      </c>
      <c r="J269" s="164">
        <v>4.2979640111514743E-3</v>
      </c>
      <c r="K269" s="165">
        <v>3.3404672124650384E-3</v>
      </c>
      <c r="L269" s="164">
        <v>4.9195044019734865E-3</v>
      </c>
      <c r="M269" s="166">
        <v>4.2913118132776682E-3</v>
      </c>
    </row>
    <row r="270" spans="3:13" ht="24" customHeight="1" thickBot="1" x14ac:dyDescent="0.25">
      <c r="C270" s="167" t="s">
        <v>59</v>
      </c>
      <c r="D270" s="168">
        <v>3.2232978862923945E-3</v>
      </c>
      <c r="E270" s="169">
        <v>3.6835738710612547E-3</v>
      </c>
      <c r="F270" s="168">
        <v>1.9779208831646734E-2</v>
      </c>
      <c r="G270" s="169">
        <v>2.0222839199330756E-2</v>
      </c>
      <c r="H270" s="168">
        <v>1.3830087496471917E-2</v>
      </c>
      <c r="I270" s="169">
        <v>1.303628086632639E-2</v>
      </c>
      <c r="J270" s="168">
        <v>4.9315704992819124E-3</v>
      </c>
      <c r="K270" s="169">
        <v>5.8231703864750715E-3</v>
      </c>
      <c r="L270" s="168">
        <v>1.9801182860134012E-3</v>
      </c>
      <c r="M270" s="170">
        <v>2.1020019948514842E-3</v>
      </c>
    </row>
    <row r="271" spans="3:13" ht="24" customHeight="1" thickBot="1" x14ac:dyDescent="0.25">
      <c r="C271" s="171" t="s">
        <v>60</v>
      </c>
      <c r="D271" s="164">
        <v>1.3757663413814186E-2</v>
      </c>
      <c r="E271" s="165">
        <v>1.4531929113083845E-2</v>
      </c>
      <c r="F271" s="164">
        <v>3.7316007359705611E-2</v>
      </c>
      <c r="G271" s="165">
        <v>2.8576278173155029E-2</v>
      </c>
      <c r="H271" s="164">
        <v>1.8204911092294666E-2</v>
      </c>
      <c r="I271" s="165">
        <v>2.3485998068699131E-2</v>
      </c>
      <c r="J271" s="164">
        <v>1.0760750190081946E-2</v>
      </c>
      <c r="K271" s="165">
        <v>1.6911822989208593E-2</v>
      </c>
      <c r="L271" s="164">
        <v>1.3384746930935085E-2</v>
      </c>
      <c r="M271" s="166">
        <v>1.3037968320488501E-2</v>
      </c>
    </row>
    <row r="272" spans="3:13" ht="30.75" customHeight="1" thickBot="1" x14ac:dyDescent="0.25">
      <c r="C272" s="173" t="s">
        <v>61</v>
      </c>
      <c r="D272" s="174">
        <v>0.75705569747917789</v>
      </c>
      <c r="E272" s="175">
        <v>0.81814346055601173</v>
      </c>
      <c r="F272" s="174">
        <v>0.31508739650413986</v>
      </c>
      <c r="G272" s="175">
        <v>0.35282064960415127</v>
      </c>
      <c r="H272" s="174">
        <v>0.47530341518487162</v>
      </c>
      <c r="I272" s="175">
        <v>0.52769347496206376</v>
      </c>
      <c r="J272" s="174">
        <v>0.44925868040888739</v>
      </c>
      <c r="K272" s="175">
        <v>0.60904360725164475</v>
      </c>
      <c r="L272" s="174">
        <v>0.84902782350419348</v>
      </c>
      <c r="M272" s="176">
        <v>0.89795435123672851</v>
      </c>
    </row>
    <row r="273" spans="3:18" ht="24" customHeight="1" thickBot="1" x14ac:dyDescent="0.25">
      <c r="C273" s="177" t="s">
        <v>8</v>
      </c>
      <c r="D273" s="178">
        <v>1</v>
      </c>
      <c r="E273" s="179">
        <v>1</v>
      </c>
      <c r="F273" s="178">
        <v>1</v>
      </c>
      <c r="G273" s="179">
        <v>1</v>
      </c>
      <c r="H273" s="178">
        <v>1</v>
      </c>
      <c r="I273" s="179">
        <v>1</v>
      </c>
      <c r="J273" s="178">
        <v>1</v>
      </c>
      <c r="K273" s="179">
        <v>1</v>
      </c>
      <c r="L273" s="178">
        <v>1</v>
      </c>
      <c r="M273" s="180">
        <v>1</v>
      </c>
    </row>
    <row r="274" spans="3:18" ht="18" customHeight="1" x14ac:dyDescent="0.2">
      <c r="C274" s="181"/>
      <c r="D274" s="182"/>
      <c r="E274" s="183"/>
      <c r="F274" s="182"/>
      <c r="G274" s="183"/>
      <c r="H274" s="182"/>
      <c r="I274" s="183"/>
      <c r="J274" s="182"/>
      <c r="K274" s="183"/>
      <c r="L274" s="182"/>
      <c r="M274" s="183"/>
    </row>
    <row r="275" spans="3:18" ht="5.25" customHeight="1" thickBot="1" x14ac:dyDescent="0.25"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3:18" ht="20.100000000000001" customHeight="1" thickBot="1" x14ac:dyDescent="0.25">
      <c r="C276" s="268" t="s">
        <v>71</v>
      </c>
      <c r="D276" s="269"/>
      <c r="E276" s="269"/>
      <c r="F276" s="269"/>
      <c r="G276" s="269"/>
      <c r="H276" s="269"/>
      <c r="I276" s="269"/>
      <c r="J276" s="269"/>
      <c r="K276" s="269"/>
      <c r="L276" s="269"/>
      <c r="M276" s="270"/>
    </row>
    <row r="277" spans="3:18" ht="5.25" customHeight="1" x14ac:dyDescent="0.2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03"/>
    </row>
    <row r="278" spans="3:18" ht="45.75" customHeight="1" thickBot="1" x14ac:dyDescent="0.25">
      <c r="C278" s="314" t="s">
        <v>7</v>
      </c>
      <c r="D278" s="315" t="s">
        <v>72</v>
      </c>
      <c r="E278" s="184" t="s">
        <v>73</v>
      </c>
      <c r="F278" s="185">
        <v>1119</v>
      </c>
      <c r="G278" s="186">
        <v>-6.6317335291369073E-2</v>
      </c>
      <c r="H278" s="318" t="s">
        <v>96</v>
      </c>
      <c r="I278" s="319"/>
      <c r="J278" s="319"/>
      <c r="K278" s="319"/>
      <c r="L278" s="320"/>
      <c r="M278" s="321" t="s">
        <v>100</v>
      </c>
      <c r="N278" s="187"/>
      <c r="O278" s="188"/>
      <c r="P278" s="189"/>
      <c r="R278" s="97"/>
    </row>
    <row r="279" spans="3:18" ht="45.75" customHeight="1" thickTop="1" thickBot="1" x14ac:dyDescent="0.25">
      <c r="C279" s="314"/>
      <c r="D279" s="316"/>
      <c r="E279" s="190" t="s">
        <v>74</v>
      </c>
      <c r="F279" s="191">
        <v>714.04</v>
      </c>
      <c r="G279" s="186">
        <v>-0.1220243950422979</v>
      </c>
      <c r="H279" s="318" t="s">
        <v>97</v>
      </c>
      <c r="I279" s="319"/>
      <c r="J279" s="319"/>
      <c r="K279" s="319"/>
      <c r="L279" s="320"/>
      <c r="M279" s="321"/>
      <c r="N279" s="187"/>
      <c r="O279" s="188"/>
      <c r="P279" s="189"/>
    </row>
    <row r="280" spans="3:18" ht="45.75" customHeight="1" thickTop="1" thickBot="1" x14ac:dyDescent="0.25">
      <c r="C280" s="314"/>
      <c r="D280" s="317"/>
      <c r="E280" s="192" t="s">
        <v>75</v>
      </c>
      <c r="F280" s="193">
        <v>411.21</v>
      </c>
      <c r="G280" s="186">
        <v>4.9058625440073333E-2</v>
      </c>
      <c r="H280" s="318" t="str">
        <f>CONCATENATE("El gasto medio por turista en destino ascendió a ",FIXED($F$280,0),"€. Experimenta un ",IF(G280&gt;0,"incremento del ","descenso del "),FIXED(G280*100,1),"% respecto al mismo periodo del año anterior.")</f>
        <v>El gasto medio por turista en destino ascendió a 411€. Experimenta un incremento del 4,9% respecto al mismo periodo del año anterior.</v>
      </c>
      <c r="I280" s="319"/>
      <c r="J280" s="319"/>
      <c r="K280" s="319"/>
      <c r="L280" s="320"/>
      <c r="M280" s="321"/>
      <c r="N280" s="187"/>
      <c r="O280" s="188"/>
      <c r="P280" s="189"/>
      <c r="R280" s="97"/>
    </row>
    <row r="281" spans="3:18" ht="45.75" customHeight="1" thickTop="1" thickBot="1" x14ac:dyDescent="0.25">
      <c r="C281" s="314"/>
      <c r="D281" s="322" t="s">
        <v>76</v>
      </c>
      <c r="E281" s="194" t="s">
        <v>73</v>
      </c>
      <c r="F281" s="195">
        <v>120.78</v>
      </c>
      <c r="G281" s="186">
        <v>-2.0437956204379493E-2</v>
      </c>
      <c r="H281" s="325" t="s">
        <v>98</v>
      </c>
      <c r="I281" s="326"/>
      <c r="J281" s="326"/>
      <c r="K281" s="326"/>
      <c r="L281" s="327"/>
      <c r="M281" s="321"/>
      <c r="N281" s="187"/>
      <c r="O281" s="188"/>
      <c r="P281" s="189"/>
      <c r="R281" s="97"/>
    </row>
    <row r="282" spans="3:18" ht="45.75" customHeight="1" thickTop="1" thickBot="1" x14ac:dyDescent="0.25">
      <c r="C282" s="314"/>
      <c r="D282" s="323"/>
      <c r="E282" s="196" t="s">
        <v>74</v>
      </c>
      <c r="F282" s="197">
        <v>77.040000000000006</v>
      </c>
      <c r="G282" s="186">
        <v>-7.8689308777804334E-2</v>
      </c>
      <c r="H282" s="325" t="str">
        <f>CONCATENATE("La media del gasto diario por turista en origen fue de ",FIXED($F$282,0),"€, ",IF(G282&gt;0,"aumentando un ","disminuyendo un "),FIXED(G282*100,1),"% respecto al mismo período del año anterior.")</f>
        <v>La media del gasto diario por turista en origen fue de 77€, disminuyendo un -7,9% respecto al mismo período del año anterior.</v>
      </c>
      <c r="I282" s="326"/>
      <c r="J282" s="326"/>
      <c r="K282" s="326"/>
      <c r="L282" s="327"/>
      <c r="M282" s="321"/>
      <c r="N282" s="187"/>
      <c r="O282" s="188"/>
      <c r="P282" s="189"/>
      <c r="R282" s="97"/>
    </row>
    <row r="283" spans="3:18" ht="45.75" customHeight="1" thickTop="1" thickBot="1" x14ac:dyDescent="0.25">
      <c r="C283" s="314"/>
      <c r="D283" s="324"/>
      <c r="E283" s="198" t="s">
        <v>75</v>
      </c>
      <c r="F283" s="199">
        <v>43.84</v>
      </c>
      <c r="G283" s="186">
        <v>9.4358462306540103E-2</v>
      </c>
      <c r="H283" s="325" t="s">
        <v>99</v>
      </c>
      <c r="I283" s="326"/>
      <c r="J283" s="326"/>
      <c r="K283" s="326"/>
      <c r="L283" s="327"/>
      <c r="M283" s="321"/>
      <c r="N283" s="187"/>
      <c r="O283" s="188"/>
      <c r="P283" s="189"/>
    </row>
    <row r="284" spans="3:18" ht="5.25" customHeight="1" thickTop="1" thickBot="1" x14ac:dyDescent="0.25"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1"/>
      <c r="O284" s="97"/>
      <c r="R284" s="97"/>
    </row>
    <row r="285" spans="3:18" ht="19.5" customHeight="1" thickBot="1" x14ac:dyDescent="0.25">
      <c r="C285" s="268" t="s">
        <v>77</v>
      </c>
      <c r="D285" s="269"/>
      <c r="E285" s="269"/>
      <c r="F285" s="269"/>
      <c r="G285" s="269"/>
      <c r="H285" s="269"/>
      <c r="I285" s="269"/>
      <c r="J285" s="269"/>
      <c r="K285" s="269"/>
      <c r="L285" s="269"/>
      <c r="M285" s="270"/>
      <c r="O285" s="97"/>
      <c r="P285" s="97"/>
      <c r="Q285" s="97"/>
    </row>
    <row r="286" spans="3:18" ht="5.25" customHeight="1" x14ac:dyDescent="0.2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03"/>
      <c r="O286" s="97"/>
      <c r="P286" s="97"/>
      <c r="Q286" s="97"/>
    </row>
    <row r="287" spans="3:18" s="97" customFormat="1" ht="47.25" customHeight="1" thickBot="1" x14ac:dyDescent="0.25">
      <c r="C287" s="314" t="s">
        <v>7</v>
      </c>
      <c r="D287" s="328"/>
      <c r="E287" s="202" t="s">
        <v>8</v>
      </c>
      <c r="F287" s="203">
        <v>156642</v>
      </c>
      <c r="G287" s="186">
        <v>3.5902997758129329E-2</v>
      </c>
      <c r="H287" s="329" t="s">
        <v>101</v>
      </c>
      <c r="I287" s="329"/>
      <c r="J287" s="329"/>
      <c r="K287" s="329"/>
      <c r="L287" s="330"/>
      <c r="M287" s="321" t="s">
        <v>107</v>
      </c>
      <c r="Q287" s="204"/>
    </row>
    <row r="288" spans="3:18" s="97" customFormat="1" ht="47.25" customHeight="1" thickTop="1" thickBot="1" x14ac:dyDescent="0.25">
      <c r="C288" s="314"/>
      <c r="D288" s="328"/>
      <c r="E288" s="205" t="s">
        <v>78</v>
      </c>
      <c r="F288" s="206">
        <v>88529</v>
      </c>
      <c r="G288" s="207">
        <v>1.087043401806409E-2</v>
      </c>
      <c r="H288" s="331" t="s">
        <v>102</v>
      </c>
      <c r="I288" s="332"/>
      <c r="J288" s="332"/>
      <c r="K288" s="332"/>
      <c r="L288" s="333"/>
      <c r="M288" s="321"/>
      <c r="O288" s="208"/>
      <c r="Q288" s="204"/>
    </row>
    <row r="289" spans="3:20" s="97" customFormat="1" ht="47.25" customHeight="1" thickTop="1" thickBot="1" x14ac:dyDescent="0.25">
      <c r="C289" s="314"/>
      <c r="D289" s="328"/>
      <c r="E289" s="209" t="s">
        <v>79</v>
      </c>
      <c r="F289" s="210">
        <v>48816</v>
      </c>
      <c r="G289" s="207">
        <v>2.9173686156880319E-3</v>
      </c>
      <c r="H289" s="334" t="s">
        <v>103</v>
      </c>
      <c r="I289" s="332"/>
      <c r="J289" s="332"/>
      <c r="K289" s="332"/>
      <c r="L289" s="333"/>
      <c r="M289" s="321"/>
      <c r="O289" s="208"/>
      <c r="Q289" s="204"/>
    </row>
    <row r="290" spans="3:20" s="97" customFormat="1" ht="47.25" customHeight="1" thickTop="1" thickBot="1" x14ac:dyDescent="0.25">
      <c r="C290" s="314"/>
      <c r="D290" s="328"/>
      <c r="E290" s="205" t="s">
        <v>80</v>
      </c>
      <c r="F290" s="206">
        <v>17798</v>
      </c>
      <c r="G290" s="207">
        <v>0.32494602843743015</v>
      </c>
      <c r="H290" s="331" t="s">
        <v>104</v>
      </c>
      <c r="I290" s="332"/>
      <c r="J290" s="332"/>
      <c r="K290" s="332"/>
      <c r="L290" s="333"/>
      <c r="M290" s="321"/>
      <c r="O290" s="208"/>
      <c r="Q290" s="204"/>
    </row>
    <row r="291" spans="3:20" s="97" customFormat="1" ht="47.25" customHeight="1" thickTop="1" thickBot="1" x14ac:dyDescent="0.25">
      <c r="C291" s="314"/>
      <c r="D291" s="328"/>
      <c r="E291" s="209" t="s">
        <v>81</v>
      </c>
      <c r="F291" s="210">
        <v>527</v>
      </c>
      <c r="G291" s="207">
        <v>-5.3859964093357249E-2</v>
      </c>
      <c r="H291" s="334" t="s">
        <v>105</v>
      </c>
      <c r="I291" s="332"/>
      <c r="J291" s="332"/>
      <c r="K291" s="332"/>
      <c r="L291" s="333"/>
      <c r="M291" s="321"/>
      <c r="O291" s="208"/>
      <c r="Q291" s="204"/>
    </row>
    <row r="292" spans="3:20" s="97" customFormat="1" ht="47.25" customHeight="1" thickTop="1" thickBot="1" x14ac:dyDescent="0.25">
      <c r="C292" s="314"/>
      <c r="D292" s="328"/>
      <c r="E292" s="205" t="s">
        <v>82</v>
      </c>
      <c r="F292" s="206">
        <v>972</v>
      </c>
      <c r="G292" s="207">
        <v>0</v>
      </c>
      <c r="H292" s="331" t="s">
        <v>106</v>
      </c>
      <c r="I292" s="332"/>
      <c r="J292" s="332"/>
      <c r="K292" s="332"/>
      <c r="L292" s="333"/>
      <c r="M292" s="321"/>
      <c r="O292" s="208"/>
      <c r="Q292" s="204"/>
    </row>
    <row r="293" spans="3:20" ht="5.25" customHeight="1" thickTop="1" x14ac:dyDescent="0.2">
      <c r="C293" s="57" t="s">
        <v>83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211"/>
      <c r="P293" s="97"/>
      <c r="Q293" s="97"/>
      <c r="R293" s="97"/>
    </row>
    <row r="294" spans="3:20" ht="18.75" customHeight="1" thickBot="1" x14ac:dyDescent="0.2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11"/>
      <c r="P294" s="97"/>
      <c r="Q294" s="97"/>
      <c r="R294" s="97"/>
    </row>
    <row r="295" spans="3:20" ht="50.25" customHeight="1" thickBot="1" x14ac:dyDescent="0.25">
      <c r="C295" s="1"/>
      <c r="D295" s="1"/>
      <c r="E295" s="261" t="str">
        <f>E242</f>
        <v>INDICADORES TURÍSTICOS DE TENERIFE definitivo</v>
      </c>
      <c r="F295" s="261"/>
      <c r="G295" s="261"/>
      <c r="H295" s="261"/>
      <c r="I295" s="261"/>
      <c r="J295" s="261"/>
      <c r="K295" s="261"/>
      <c r="L295" s="1"/>
      <c r="M295" s="1"/>
      <c r="O295" s="97"/>
      <c r="P295" s="97"/>
      <c r="Q295" s="97"/>
      <c r="R295" s="97"/>
      <c r="S295" s="97"/>
      <c r="T295" s="97"/>
    </row>
    <row r="296" spans="3:20" ht="5.25" customHeight="1" thickBot="1" x14ac:dyDescent="0.25">
      <c r="O296" s="97"/>
      <c r="P296" s="97"/>
      <c r="Q296" s="97"/>
      <c r="R296" s="97"/>
      <c r="S296" s="97"/>
      <c r="T296" s="97"/>
    </row>
    <row r="297" spans="3:20" ht="18" customHeight="1" thickBot="1" x14ac:dyDescent="0.25">
      <c r="C297" s="308" t="s">
        <v>84</v>
      </c>
      <c r="D297" s="309"/>
      <c r="E297" s="309"/>
      <c r="F297" s="309"/>
      <c r="G297" s="309"/>
      <c r="H297" s="309"/>
      <c r="I297" s="309"/>
      <c r="J297" s="309"/>
      <c r="K297" s="309"/>
      <c r="L297" s="309"/>
      <c r="M297" s="310"/>
      <c r="O297" s="97"/>
      <c r="P297" s="97"/>
      <c r="Q297" s="97"/>
      <c r="R297" s="97"/>
      <c r="S297" s="97"/>
      <c r="T297" s="97"/>
    </row>
    <row r="298" spans="3:20" ht="5.25" customHeight="1" x14ac:dyDescent="0.2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03"/>
      <c r="O298" s="97"/>
      <c r="P298" s="97"/>
      <c r="Q298" s="97"/>
      <c r="R298" s="97"/>
      <c r="S298" s="97"/>
      <c r="T298" s="97"/>
    </row>
    <row r="299" spans="3:20" ht="27.75" customHeight="1" x14ac:dyDescent="0.2">
      <c r="C299" s="353" t="s">
        <v>7</v>
      </c>
      <c r="D299" s="354"/>
      <c r="E299" s="212" t="s">
        <v>8</v>
      </c>
      <c r="F299" s="21">
        <v>176060</v>
      </c>
      <c r="G299" s="213">
        <v>7.114610077509953E-2</v>
      </c>
      <c r="H299" s="359" t="s">
        <v>108</v>
      </c>
      <c r="I299" s="359"/>
      <c r="J299" s="359"/>
      <c r="K299" s="359"/>
      <c r="L299" s="360"/>
      <c r="M299" s="321" t="s">
        <v>9</v>
      </c>
      <c r="O299" s="97"/>
      <c r="P299" s="97"/>
      <c r="Q299" s="97"/>
      <c r="R299" s="97"/>
      <c r="S299" s="97"/>
      <c r="T299" s="97"/>
    </row>
    <row r="300" spans="3:20" ht="34.5" customHeight="1" x14ac:dyDescent="0.2">
      <c r="C300" s="355"/>
      <c r="D300" s="356"/>
      <c r="E300" s="214" t="s">
        <v>85</v>
      </c>
      <c r="F300" s="28">
        <v>97555</v>
      </c>
      <c r="G300" s="92">
        <v>3.1934924261656894E-2</v>
      </c>
      <c r="H300" s="361" t="str">
        <f>CONCATENATE("La oferta hotelera estimada por el STDE del Cabildo de Tenerife se sitúa en ",FIXED(F300,0)," plazas, un ",FIXED(F300/F299*100,1),"% del total de plazas. ",IF(G300&gt;0,"Aumentan un ","Disminuyen un"),FIXED(G300*100,1),"% respecto al mismo periodo del año anterior.")</f>
        <v>La oferta hotelera estimada por el STDE del Cabildo de Tenerife se sitúa en 97.555 plazas, un 55,4% del total de plazas. Aumentan un 3,2% respecto al mismo periodo del año anterior.</v>
      </c>
      <c r="I300" s="361"/>
      <c r="J300" s="361"/>
      <c r="K300" s="361"/>
      <c r="L300" s="362"/>
      <c r="M300" s="321"/>
      <c r="O300" s="97"/>
      <c r="P300" s="97"/>
      <c r="Q300" s="97"/>
      <c r="R300" s="97"/>
      <c r="S300" s="97"/>
      <c r="T300" s="97"/>
    </row>
    <row r="301" spans="3:20" ht="41.25" customHeight="1" thickBot="1" x14ac:dyDescent="0.25">
      <c r="C301" s="357"/>
      <c r="D301" s="358"/>
      <c r="E301" s="215" t="s">
        <v>86</v>
      </c>
      <c r="F301" s="216">
        <v>78505</v>
      </c>
      <c r="G301" s="217">
        <v>0.12423027352140914</v>
      </c>
      <c r="H301" s="363" t="s">
        <v>109</v>
      </c>
      <c r="I301" s="363"/>
      <c r="J301" s="363"/>
      <c r="K301" s="363"/>
      <c r="L301" s="364"/>
      <c r="M301" s="321"/>
      <c r="Q301" s="218"/>
    </row>
    <row r="302" spans="3:20" ht="18.75" hidden="1" customHeight="1" x14ac:dyDescent="0.2">
      <c r="C302" s="365" t="s">
        <v>12</v>
      </c>
      <c r="D302" s="366"/>
      <c r="E302" s="219" t="s">
        <v>8</v>
      </c>
      <c r="F302" s="220">
        <v>4163</v>
      </c>
      <c r="G302" s="221">
        <v>0.2896530359355638</v>
      </c>
      <c r="H302" s="347" t="str">
        <f>CONCATENATE("Las plazas estimadas por el STDE  del Cabildo de Tenerife en la zona de Santa Cruz, ascienden a ",FIXED(F303,0),", todas ellas pertenecientes a la tipología hotelera. Se registra un ",IF(G303&gt;0,"incremento ","descenso "),"con respecto al año anterior del ",FIXED(G303*100,1),"%.")</f>
        <v>Las plazas estimadas por el STDE  del Cabildo de Tenerife en la zona de Santa Cruz, ascienden a 2.560, todas ellas pertenecientes a la tipología hotelera. Se registra un incremento con respecto al año anterior del 0,9%.</v>
      </c>
      <c r="I302" s="347"/>
      <c r="J302" s="347"/>
      <c r="K302" s="347"/>
      <c r="L302" s="348"/>
      <c r="M302" s="321"/>
      <c r="Q302" s="218"/>
    </row>
    <row r="303" spans="3:20" ht="48.75" customHeight="1" thickTop="1" thickBot="1" x14ac:dyDescent="0.25">
      <c r="C303" s="367"/>
      <c r="D303" s="368"/>
      <c r="E303" s="222" t="s">
        <v>85</v>
      </c>
      <c r="F303" s="223">
        <v>2560</v>
      </c>
      <c r="G303" s="217">
        <v>9.0658257784785867E-3</v>
      </c>
      <c r="H303" s="351"/>
      <c r="I303" s="351"/>
      <c r="J303" s="351"/>
      <c r="K303" s="351"/>
      <c r="L303" s="352"/>
      <c r="M303" s="321"/>
    </row>
    <row r="304" spans="3:20" ht="42" customHeight="1" thickTop="1" x14ac:dyDescent="0.2">
      <c r="C304" s="369" t="s">
        <v>13</v>
      </c>
      <c r="D304" s="370"/>
      <c r="E304" s="224" t="s">
        <v>8</v>
      </c>
      <c r="F304" s="225">
        <v>2346</v>
      </c>
      <c r="G304" s="221">
        <v>0.49331635900700199</v>
      </c>
      <c r="H304" s="335" t="s">
        <v>110</v>
      </c>
      <c r="I304" s="335"/>
      <c r="J304" s="335"/>
      <c r="K304" s="335"/>
      <c r="L304" s="336"/>
      <c r="M304" s="321"/>
    </row>
    <row r="305" spans="3:18" ht="34.5" customHeight="1" x14ac:dyDescent="0.2">
      <c r="C305" s="371"/>
      <c r="D305" s="372"/>
      <c r="E305" s="226" t="s">
        <v>85</v>
      </c>
      <c r="F305" s="48">
        <v>846</v>
      </c>
      <c r="G305" s="92">
        <v>2.6699029126213691E-2</v>
      </c>
      <c r="H305" s="337" t="str">
        <f>CONCATENATE("Las plazas hoteleras estimadas se sitúan en ",FIXED(F305,0)," plazas, registrando un ",IF(G305&gt;0,"incremento del ","descenso del "),FIXED(G305*100,1),"%.")</f>
        <v>Las plazas hoteleras estimadas se sitúan en 846 plazas, registrando un incremento del 2,7%.</v>
      </c>
      <c r="I305" s="337"/>
      <c r="J305" s="337"/>
      <c r="K305" s="337"/>
      <c r="L305" s="338"/>
      <c r="M305" s="321"/>
    </row>
    <row r="306" spans="3:18" ht="34.5" customHeight="1" thickBot="1" x14ac:dyDescent="0.25">
      <c r="C306" s="373"/>
      <c r="D306" s="374"/>
      <c r="E306" s="227" t="s">
        <v>86</v>
      </c>
      <c r="F306" s="228">
        <v>1500</v>
      </c>
      <c r="G306" s="217">
        <v>1.0080321285140563</v>
      </c>
      <c r="H306" s="339" t="s">
        <v>111</v>
      </c>
      <c r="I306" s="339"/>
      <c r="J306" s="339"/>
      <c r="K306" s="339"/>
      <c r="L306" s="340"/>
      <c r="M306" s="321"/>
    </row>
    <row r="307" spans="3:18" ht="39.75" customHeight="1" thickTop="1" x14ac:dyDescent="0.2">
      <c r="C307" s="341" t="s">
        <v>14</v>
      </c>
      <c r="D307" s="342"/>
      <c r="E307" s="219" t="s">
        <v>8</v>
      </c>
      <c r="F307" s="220">
        <v>31577</v>
      </c>
      <c r="G307" s="221">
        <v>7.0080314480328143E-2</v>
      </c>
      <c r="H307" s="347" t="s">
        <v>112</v>
      </c>
      <c r="I307" s="347"/>
      <c r="J307" s="347"/>
      <c r="K307" s="347"/>
      <c r="L307" s="348"/>
      <c r="M307" s="321"/>
    </row>
    <row r="308" spans="3:18" ht="34.5" customHeight="1" x14ac:dyDescent="0.2">
      <c r="C308" s="343"/>
      <c r="D308" s="344"/>
      <c r="E308" s="229" t="s">
        <v>85</v>
      </c>
      <c r="F308" s="41">
        <v>20084</v>
      </c>
      <c r="G308" s="92">
        <v>1.8613379317340417E-2</v>
      </c>
      <c r="H308" s="349" t="str">
        <f>CONCATENATE("La oferta hotelera asciende a ",FIXED(F308,0),", cifra que se ",IF(G308&gt;0,"incrementa un ","reduce un "),FIXED(G308*100,1),"% respecto al año anterior.")</f>
        <v>La oferta hotelera asciende a 20.084, cifra que se incrementa un 1,9% respecto al año anterior.</v>
      </c>
      <c r="I308" s="349"/>
      <c r="J308" s="349"/>
      <c r="K308" s="349"/>
      <c r="L308" s="350"/>
      <c r="M308" s="321"/>
    </row>
    <row r="309" spans="3:18" ht="34.5" customHeight="1" thickBot="1" x14ac:dyDescent="0.25">
      <c r="C309" s="345"/>
      <c r="D309" s="346"/>
      <c r="E309" s="222" t="s">
        <v>86</v>
      </c>
      <c r="F309" s="223">
        <v>11493</v>
      </c>
      <c r="G309" s="217">
        <v>0.17371323529411775</v>
      </c>
      <c r="H309" s="351" t="str">
        <f>CONCATENATE("Las plazas extrahoteras estimadas ascienden a ",FIXED(F309,0),", las cuales ",IF(G309&gt;0,"se incrementan un ","descienden un "),FIXED(G309*100,1),"%.")</f>
        <v>Las plazas extrahoteras estimadas ascienden a 11.493, las cuales se incrementan un 17,4%.</v>
      </c>
      <c r="I309" s="351"/>
      <c r="J309" s="351"/>
      <c r="K309" s="351"/>
      <c r="L309" s="352"/>
      <c r="M309" s="321"/>
    </row>
    <row r="310" spans="3:18" ht="34.5" customHeight="1" thickTop="1" x14ac:dyDescent="0.2">
      <c r="C310" s="376" t="s">
        <v>15</v>
      </c>
      <c r="D310" s="377"/>
      <c r="E310" s="230" t="s">
        <v>8</v>
      </c>
      <c r="F310" s="231">
        <v>137974</v>
      </c>
      <c r="G310" s="221">
        <v>6.0865152470436223E-2</v>
      </c>
      <c r="H310" s="335" t="str">
        <f>CONCATENATE("Las plazas estimadas para la zona Sur por el STDE del Cabildo ascienden a ",FIXED(F310,0)," experimentando un ",IF(G310&gt;0,"incremento interanual del ","descenso interanual del "),FIXED(G310*100,1),"%.")</f>
        <v>Las plazas estimadas para la zona Sur por el STDE del Cabildo ascienden a 137.974 experimentando un incremento interanual del 6,1%.</v>
      </c>
      <c r="I310" s="335"/>
      <c r="J310" s="335"/>
      <c r="K310" s="335"/>
      <c r="L310" s="336"/>
      <c r="M310" s="321"/>
    </row>
    <row r="311" spans="3:18" ht="34.5" customHeight="1" x14ac:dyDescent="0.2">
      <c r="C311" s="378"/>
      <c r="D311" s="379"/>
      <c r="E311" s="232" t="s">
        <v>85</v>
      </c>
      <c r="F311" s="54">
        <v>74065</v>
      </c>
      <c r="G311" s="92">
        <v>3.6482969016765177E-2</v>
      </c>
      <c r="H311" s="337" t="str">
        <f>CONCATENATE("Las plazas hoteleras, con un oferta de ",FIXED(F311,0)," plazas, se ",IF(G311&gt;0,"incrementan un ","reducen un "),FIXED(G311*100,1),"% respecto al mismo período del año anterior.")</f>
        <v>Las plazas hoteleras, con un oferta de 74.065 plazas, se incrementan un 3,6% respecto al mismo período del año anterior.</v>
      </c>
      <c r="I311" s="337"/>
      <c r="J311" s="337"/>
      <c r="K311" s="337"/>
      <c r="L311" s="338"/>
      <c r="M311" s="321"/>
    </row>
    <row r="312" spans="3:18" ht="34.5" customHeight="1" x14ac:dyDescent="0.2">
      <c r="C312" s="378"/>
      <c r="D312" s="379"/>
      <c r="E312" s="233" t="s">
        <v>86</v>
      </c>
      <c r="F312" s="234">
        <v>63909</v>
      </c>
      <c r="G312" s="235">
        <v>9.0597269624573373E-2</v>
      </c>
      <c r="H312" s="380" t="s">
        <v>113</v>
      </c>
      <c r="I312" s="380"/>
      <c r="J312" s="380"/>
      <c r="K312" s="380"/>
      <c r="L312" s="381"/>
      <c r="M312" s="321"/>
    </row>
    <row r="313" spans="3:18" ht="5.25" customHeight="1" thickBot="1" x14ac:dyDescent="0.25"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1"/>
      <c r="O313" s="97"/>
      <c r="R313" s="97"/>
    </row>
    <row r="314" spans="3:18" ht="19.5" customHeight="1" thickBot="1" x14ac:dyDescent="0.25">
      <c r="C314" s="268" t="s">
        <v>87</v>
      </c>
      <c r="D314" s="269"/>
      <c r="E314" s="269"/>
      <c r="F314" s="269"/>
      <c r="G314" s="269"/>
      <c r="H314" s="269"/>
      <c r="I314" s="269"/>
      <c r="J314" s="269"/>
      <c r="K314" s="269"/>
      <c r="L314" s="269"/>
      <c r="M314" s="270"/>
      <c r="O314" s="97"/>
      <c r="P314" s="97"/>
      <c r="Q314" s="97"/>
    </row>
    <row r="315" spans="3:18" ht="5.25" customHeight="1" x14ac:dyDescent="0.2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03"/>
      <c r="O315" s="97"/>
      <c r="P315" s="97"/>
      <c r="Q315" s="97"/>
    </row>
    <row r="316" spans="3:18" ht="44.25" customHeight="1" thickBot="1" x14ac:dyDescent="0.25">
      <c r="C316" s="382" t="s">
        <v>88</v>
      </c>
      <c r="D316" s="383"/>
      <c r="E316" s="236" t="s">
        <v>89</v>
      </c>
      <c r="F316" s="237">
        <v>292033</v>
      </c>
      <c r="G316" s="186">
        <v>7.4357757494821985E-2</v>
      </c>
      <c r="H316" s="384" t="s">
        <v>114</v>
      </c>
      <c r="I316" s="384"/>
      <c r="J316" s="384"/>
      <c r="K316" s="384"/>
      <c r="L316" s="385"/>
      <c r="M316" s="321" t="s">
        <v>116</v>
      </c>
    </row>
    <row r="317" spans="3:18" ht="40.5" customHeight="1" thickTop="1" thickBot="1" x14ac:dyDescent="0.25">
      <c r="C317" s="382"/>
      <c r="D317" s="383"/>
      <c r="E317" s="238" t="s">
        <v>90</v>
      </c>
      <c r="F317" s="239">
        <v>103</v>
      </c>
      <c r="G317" s="240">
        <v>-0.14166666666666672</v>
      </c>
      <c r="H317" s="386" t="s">
        <v>115</v>
      </c>
      <c r="I317" s="386"/>
      <c r="J317" s="386"/>
      <c r="K317" s="386"/>
      <c r="L317" s="387"/>
      <c r="M317" s="321"/>
    </row>
    <row r="318" spans="3:18" ht="13.5" thickTop="1" x14ac:dyDescent="0.2"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</row>
    <row r="319" spans="3:18" ht="29.25" customHeight="1" x14ac:dyDescent="0.2"/>
    <row r="320" spans="3:18" ht="18" customHeight="1" x14ac:dyDescent="0.2">
      <c r="C320" s="375" t="s">
        <v>91</v>
      </c>
      <c r="D320" s="375"/>
      <c r="E320" s="375"/>
      <c r="F320" s="375"/>
      <c r="G320" s="375"/>
      <c r="H320" s="375"/>
      <c r="I320" s="375"/>
      <c r="J320" s="375"/>
      <c r="K320" s="375"/>
      <c r="L320" s="375"/>
      <c r="M320" s="375"/>
    </row>
    <row r="322" spans="5:6" ht="6.75" customHeight="1" x14ac:dyDescent="0.2"/>
    <row r="324" spans="5:6" ht="8.25" customHeight="1" x14ac:dyDescent="0.2"/>
    <row r="327" spans="5:6" x14ac:dyDescent="0.2">
      <c r="E327" s="242"/>
      <c r="F327" s="242"/>
    </row>
    <row r="328" spans="5:6" x14ac:dyDescent="0.2">
      <c r="E328" s="242"/>
      <c r="F328" s="242"/>
    </row>
    <row r="331" spans="5:6" ht="21.75" customHeight="1" x14ac:dyDescent="0.2"/>
    <row r="333" spans="5:6" ht="6" customHeight="1" x14ac:dyDescent="0.2"/>
  </sheetData>
  <mergeCells count="163">
    <mergeCell ref="C320:M320"/>
    <mergeCell ref="C310:D312"/>
    <mergeCell ref="H310:L310"/>
    <mergeCell ref="H311:L311"/>
    <mergeCell ref="H312:L312"/>
    <mergeCell ref="C314:M314"/>
    <mergeCell ref="C316:D317"/>
    <mergeCell ref="H316:L316"/>
    <mergeCell ref="M316:M317"/>
    <mergeCell ref="H317:L317"/>
    <mergeCell ref="H304:L304"/>
    <mergeCell ref="H305:L305"/>
    <mergeCell ref="H306:L306"/>
    <mergeCell ref="C307:D309"/>
    <mergeCell ref="H307:L307"/>
    <mergeCell ref="H308:L308"/>
    <mergeCell ref="H309:L309"/>
    <mergeCell ref="E295:K295"/>
    <mergeCell ref="C297:M297"/>
    <mergeCell ref="C299:D301"/>
    <mergeCell ref="H299:L299"/>
    <mergeCell ref="M299:M312"/>
    <mergeCell ref="H300:L300"/>
    <mergeCell ref="H301:L301"/>
    <mergeCell ref="C302:D303"/>
    <mergeCell ref="H302:L303"/>
    <mergeCell ref="C304:D306"/>
    <mergeCell ref="C285:M285"/>
    <mergeCell ref="C287:D292"/>
    <mergeCell ref="H287:L287"/>
    <mergeCell ref="M287:M292"/>
    <mergeCell ref="H288:L288"/>
    <mergeCell ref="H289:L289"/>
    <mergeCell ref="H290:L290"/>
    <mergeCell ref="H291:L291"/>
    <mergeCell ref="H292:L292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H283:L283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82" priority="281" stopIfTrue="1" operator="greaterThan">
      <formula>0</formula>
    </cfRule>
    <cfRule type="cellIs" dxfId="281" priority="282" stopIfTrue="1" operator="lessThan">
      <formula>0</formula>
    </cfRule>
    <cfRule type="cellIs" dxfId="280" priority="283" stopIfTrue="1" operator="equal">
      <formula>0</formula>
    </cfRule>
  </conditionalFormatting>
  <conditionalFormatting sqref="G9:G10 G15:G23">
    <cfRule type="cellIs" dxfId="279" priority="278" operator="equal">
      <formula>0</formula>
    </cfRule>
    <cfRule type="cellIs" dxfId="278" priority="279" operator="lessThan">
      <formula>0</formula>
    </cfRule>
    <cfRule type="cellIs" dxfId="277" priority="280" operator="greaterThan">
      <formula>0</formula>
    </cfRule>
  </conditionalFormatting>
  <conditionalFormatting sqref="G10 G15:G23">
    <cfRule type="cellIs" dxfId="276" priority="275" stopIfTrue="1" operator="greaterThan">
      <formula>0</formula>
    </cfRule>
    <cfRule type="cellIs" dxfId="275" priority="276" stopIfTrue="1" operator="lessThan">
      <formula>0</formula>
    </cfRule>
    <cfRule type="cellIs" dxfId="274" priority="277" stopIfTrue="1" operator="equal">
      <formula>0</formula>
    </cfRule>
  </conditionalFormatting>
  <conditionalFormatting sqref="G10 G15:G23">
    <cfRule type="cellIs" dxfId="273" priority="272" operator="equal">
      <formula>0</formula>
    </cfRule>
    <cfRule type="cellIs" dxfId="272" priority="273" operator="lessThan">
      <formula>0</formula>
    </cfRule>
    <cfRule type="cellIs" dxfId="271" priority="274" operator="greaterThan">
      <formula>0</formula>
    </cfRule>
  </conditionalFormatting>
  <conditionalFormatting sqref="G316:G317 G299:G312 G287:G289 L110:L114 G110:G114 L102:L106 G102:G106 L94:L98 G94:G98 L87:L90 G86:G90 L9:L11 L15:L23">
    <cfRule type="cellIs" dxfId="270" priority="266" operator="equal">
      <formula>0</formula>
    </cfRule>
    <cfRule type="cellIs" dxfId="269" priority="267" operator="lessThan">
      <formula>0</formula>
    </cfRule>
    <cfRule type="cellIs" dxfId="268" priority="268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7" priority="269" stopIfTrue="1" operator="greaterThan">
      <formula>0</formula>
    </cfRule>
    <cfRule type="cellIs" dxfId="266" priority="270" stopIfTrue="1" operator="lessThan">
      <formula>0</formula>
    </cfRule>
    <cfRule type="cellIs" dxfId="265" priority="271" stopIfTrue="1" operator="equal">
      <formula>0</formula>
    </cfRule>
  </conditionalFormatting>
  <conditionalFormatting sqref="G27:G28 G33:G41">
    <cfRule type="cellIs" dxfId="264" priority="215" stopIfTrue="1" operator="greaterThan">
      <formula>0</formula>
    </cfRule>
    <cfRule type="cellIs" dxfId="263" priority="216" stopIfTrue="1" operator="lessThan">
      <formula>0</formula>
    </cfRule>
    <cfRule type="cellIs" dxfId="262" priority="217" stopIfTrue="1" operator="equal">
      <formula>0</formula>
    </cfRule>
  </conditionalFormatting>
  <conditionalFormatting sqref="G27:G28 G33:G41">
    <cfRule type="cellIs" dxfId="261" priority="212" operator="equal">
      <formula>0</formula>
    </cfRule>
    <cfRule type="cellIs" dxfId="260" priority="213" operator="lessThan">
      <formula>0</formula>
    </cfRule>
    <cfRule type="cellIs" dxfId="259" priority="214" operator="greaterThan">
      <formula>0</formula>
    </cfRule>
  </conditionalFormatting>
  <conditionalFormatting sqref="G45:G47 G51:G59">
    <cfRule type="cellIs" dxfId="258" priority="257" stopIfTrue="1" operator="greaterThan">
      <formula>0</formula>
    </cfRule>
    <cfRule type="cellIs" dxfId="257" priority="258" stopIfTrue="1" operator="lessThan">
      <formula>0</formula>
    </cfRule>
    <cfRule type="cellIs" dxfId="256" priority="259" stopIfTrue="1" operator="equal">
      <formula>0</formula>
    </cfRule>
  </conditionalFormatting>
  <conditionalFormatting sqref="G45:G47 G51:G59">
    <cfRule type="cellIs" dxfId="255" priority="254" operator="equal">
      <formula>0</formula>
    </cfRule>
    <cfRule type="cellIs" dxfId="254" priority="255" operator="lessThan">
      <formula>0</formula>
    </cfRule>
    <cfRule type="cellIs" dxfId="253" priority="256" operator="greaterThan">
      <formula>0</formula>
    </cfRule>
  </conditionalFormatting>
  <conditionalFormatting sqref="G46:G47 G51:G59">
    <cfRule type="cellIs" dxfId="252" priority="251" stopIfTrue="1" operator="greaterThan">
      <formula>0</formula>
    </cfRule>
    <cfRule type="cellIs" dxfId="251" priority="252" stopIfTrue="1" operator="lessThan">
      <formula>0</formula>
    </cfRule>
    <cfRule type="cellIs" dxfId="250" priority="253" stopIfTrue="1" operator="equal">
      <formula>0</formula>
    </cfRule>
  </conditionalFormatting>
  <conditionalFormatting sqref="G46:G47 G51:G59">
    <cfRule type="cellIs" dxfId="249" priority="248" operator="equal">
      <formula>0</formula>
    </cfRule>
    <cfRule type="cellIs" dxfId="248" priority="249" operator="lessThan">
      <formula>0</formula>
    </cfRule>
    <cfRule type="cellIs" dxfId="247" priority="250" operator="greaterThan">
      <formula>0</formula>
    </cfRule>
  </conditionalFormatting>
  <conditionalFormatting sqref="L27:L29 L33:L41">
    <cfRule type="cellIs" dxfId="246" priority="260" operator="equal">
      <formula>0</formula>
    </cfRule>
    <cfRule type="cellIs" dxfId="245" priority="261" operator="lessThan">
      <formula>0</formula>
    </cfRule>
    <cfRule type="cellIs" dxfId="244" priority="262" operator="greaterThan">
      <formula>0</formula>
    </cfRule>
  </conditionalFormatting>
  <conditionalFormatting sqref="L27:L29 L33:L41">
    <cfRule type="cellIs" dxfId="243" priority="263" stopIfTrue="1" operator="greaterThan">
      <formula>0</formula>
    </cfRule>
    <cfRule type="cellIs" dxfId="242" priority="264" stopIfTrue="1" operator="lessThan">
      <formula>0</formula>
    </cfRule>
    <cfRule type="cellIs" dxfId="241" priority="265" stopIfTrue="1" operator="equal">
      <formula>0</formula>
    </cfRule>
  </conditionalFormatting>
  <conditionalFormatting sqref="L45:L47 L51:L59">
    <cfRule type="cellIs" dxfId="240" priority="242" operator="equal">
      <formula>0</formula>
    </cfRule>
    <cfRule type="cellIs" dxfId="239" priority="243" operator="lessThan">
      <formula>0</formula>
    </cfRule>
    <cfRule type="cellIs" dxfId="238" priority="244" operator="greaterThan">
      <formula>0</formula>
    </cfRule>
  </conditionalFormatting>
  <conditionalFormatting sqref="L45:L47 L51:L59">
    <cfRule type="cellIs" dxfId="237" priority="245" stopIfTrue="1" operator="greaterThan">
      <formula>0</formula>
    </cfRule>
    <cfRule type="cellIs" dxfId="236" priority="246" stopIfTrue="1" operator="lessThan">
      <formula>0</formula>
    </cfRule>
    <cfRule type="cellIs" dxfId="235" priority="247" stopIfTrue="1" operator="equal">
      <formula>0</formula>
    </cfRule>
  </conditionalFormatting>
  <conditionalFormatting sqref="G68:G70 G74:G82">
    <cfRule type="cellIs" dxfId="234" priority="239" stopIfTrue="1" operator="greaterThan">
      <formula>0</formula>
    </cfRule>
    <cfRule type="cellIs" dxfId="233" priority="240" stopIfTrue="1" operator="lessThan">
      <formula>0</formula>
    </cfRule>
    <cfRule type="cellIs" dxfId="232" priority="241" stopIfTrue="1" operator="equal">
      <formula>0</formula>
    </cfRule>
  </conditionalFormatting>
  <conditionalFormatting sqref="G68:G70 G74:G82">
    <cfRule type="cellIs" dxfId="231" priority="236" operator="equal">
      <formula>0</formula>
    </cfRule>
    <cfRule type="cellIs" dxfId="230" priority="237" operator="lessThan">
      <formula>0</formula>
    </cfRule>
    <cfRule type="cellIs" dxfId="229" priority="238" operator="greaterThan">
      <formula>0</formula>
    </cfRule>
  </conditionalFormatting>
  <conditionalFormatting sqref="G69:G70 G74:G82">
    <cfRule type="cellIs" dxfId="228" priority="233" stopIfTrue="1" operator="greaterThan">
      <formula>0</formula>
    </cfRule>
    <cfRule type="cellIs" dxfId="227" priority="234" stopIfTrue="1" operator="lessThan">
      <formula>0</formula>
    </cfRule>
    <cfRule type="cellIs" dxfId="226" priority="235" stopIfTrue="1" operator="equal">
      <formula>0</formula>
    </cfRule>
  </conditionalFormatting>
  <conditionalFormatting sqref="G69:G70 G74:G82">
    <cfRule type="cellIs" dxfId="225" priority="230" operator="equal">
      <formula>0</formula>
    </cfRule>
    <cfRule type="cellIs" dxfId="224" priority="231" operator="lessThan">
      <formula>0</formula>
    </cfRule>
    <cfRule type="cellIs" dxfId="223" priority="232" operator="greaterThan">
      <formula>0</formula>
    </cfRule>
  </conditionalFormatting>
  <conditionalFormatting sqref="L68:L70 L74:L82">
    <cfRule type="cellIs" dxfId="222" priority="224" operator="equal">
      <formula>0</formula>
    </cfRule>
    <cfRule type="cellIs" dxfId="221" priority="225" operator="lessThan">
      <formula>0</formula>
    </cfRule>
    <cfRule type="cellIs" dxfId="220" priority="226" operator="greaterThan">
      <formula>0</formula>
    </cfRule>
  </conditionalFormatting>
  <conditionalFormatting sqref="L68:L70 L74:L82">
    <cfRule type="cellIs" dxfId="219" priority="227" stopIfTrue="1" operator="greaterThan">
      <formula>0</formula>
    </cfRule>
    <cfRule type="cellIs" dxfId="218" priority="228" stopIfTrue="1" operator="lessThan">
      <formula>0</formula>
    </cfRule>
    <cfRule type="cellIs" dxfId="217" priority="229" stopIfTrue="1" operator="equal">
      <formula>0</formula>
    </cfRule>
  </conditionalFormatting>
  <conditionalFormatting sqref="G11">
    <cfRule type="cellIs" dxfId="216" priority="221" stopIfTrue="1" operator="greaterThan">
      <formula>0</formula>
    </cfRule>
    <cfRule type="cellIs" dxfId="215" priority="222" stopIfTrue="1" operator="lessThan">
      <formula>0</formula>
    </cfRule>
    <cfRule type="cellIs" dxfId="214" priority="223" stopIfTrue="1" operator="equal">
      <formula>0</formula>
    </cfRule>
  </conditionalFormatting>
  <conditionalFormatting sqref="G11">
    <cfRule type="cellIs" dxfId="213" priority="218" operator="equal">
      <formula>0</formula>
    </cfRule>
    <cfRule type="cellIs" dxfId="212" priority="219" operator="lessThan">
      <formula>0</formula>
    </cfRule>
    <cfRule type="cellIs" dxfId="211" priority="220" operator="greaterThan">
      <formula>0</formula>
    </cfRule>
  </conditionalFormatting>
  <conditionalFormatting sqref="G28 G33:G41">
    <cfRule type="cellIs" dxfId="210" priority="209" stopIfTrue="1" operator="greaterThan">
      <formula>0</formula>
    </cfRule>
    <cfRule type="cellIs" dxfId="209" priority="210" stopIfTrue="1" operator="lessThan">
      <formula>0</formula>
    </cfRule>
    <cfRule type="cellIs" dxfId="208" priority="211" stopIfTrue="1" operator="equal">
      <formula>0</formula>
    </cfRule>
  </conditionalFormatting>
  <conditionalFormatting sqref="G28 G33:G41">
    <cfRule type="cellIs" dxfId="207" priority="206" operator="equal">
      <formula>0</formula>
    </cfRule>
    <cfRule type="cellIs" dxfId="206" priority="207" operator="lessThan">
      <formula>0</formula>
    </cfRule>
    <cfRule type="cellIs" dxfId="205" priority="208" operator="greaterThan">
      <formula>0</formula>
    </cfRule>
  </conditionalFormatting>
  <conditionalFormatting sqref="G29">
    <cfRule type="cellIs" dxfId="204" priority="203" stopIfTrue="1" operator="greaterThan">
      <formula>0</formula>
    </cfRule>
    <cfRule type="cellIs" dxfId="203" priority="204" stopIfTrue="1" operator="lessThan">
      <formula>0</formula>
    </cfRule>
    <cfRule type="cellIs" dxfId="202" priority="205" stopIfTrue="1" operator="equal">
      <formula>0</formula>
    </cfRule>
  </conditionalFormatting>
  <conditionalFormatting sqref="G29">
    <cfRule type="cellIs" dxfId="201" priority="200" operator="equal">
      <formula>0</formula>
    </cfRule>
    <cfRule type="cellIs" dxfId="200" priority="201" operator="lessThan">
      <formula>0</formula>
    </cfRule>
    <cfRule type="cellIs" dxfId="199" priority="202" operator="greaterThan">
      <formula>0</formula>
    </cfRule>
  </conditionalFormatting>
  <conditionalFormatting sqref="E124:E149">
    <cfRule type="cellIs" dxfId="198" priority="194" operator="equal">
      <formula>0</formula>
    </cfRule>
    <cfRule type="cellIs" dxfId="197" priority="195" operator="lessThan">
      <formula>0</formula>
    </cfRule>
    <cfRule type="cellIs" dxfId="196" priority="196" operator="greaterThan">
      <formula>0</formula>
    </cfRule>
  </conditionalFormatting>
  <conditionalFormatting sqref="E124:E149">
    <cfRule type="cellIs" dxfId="195" priority="197" stopIfTrue="1" operator="greaterThan">
      <formula>0</formula>
    </cfRule>
    <cfRule type="cellIs" dxfId="194" priority="198" stopIfTrue="1" operator="lessThan">
      <formula>0</formula>
    </cfRule>
    <cfRule type="cellIs" dxfId="193" priority="199" stopIfTrue="1" operator="equal">
      <formula>0</formula>
    </cfRule>
  </conditionalFormatting>
  <conditionalFormatting sqref="G124:G149 I124:I149 K124:K149 M124:M149">
    <cfRule type="cellIs" dxfId="192" priority="188" operator="equal">
      <formula>0</formula>
    </cfRule>
    <cfRule type="cellIs" dxfId="191" priority="189" operator="lessThan">
      <formula>0</formula>
    </cfRule>
    <cfRule type="cellIs" dxfId="190" priority="190" operator="greaterThan">
      <formula>0</formula>
    </cfRule>
  </conditionalFormatting>
  <conditionalFormatting sqref="G124:G149 I124:I149 K124:K149 M124:M149">
    <cfRule type="cellIs" dxfId="189" priority="191" stopIfTrue="1" operator="greaterThan">
      <formula>0</formula>
    </cfRule>
    <cfRule type="cellIs" dxfId="188" priority="192" stopIfTrue="1" operator="lessThan">
      <formula>0</formula>
    </cfRule>
    <cfRule type="cellIs" dxfId="187" priority="193" stopIfTrue="1" operator="equal">
      <formula>0</formula>
    </cfRule>
  </conditionalFormatting>
  <conditionalFormatting sqref="E156:E181">
    <cfRule type="cellIs" dxfId="186" priority="182" operator="equal">
      <formula>0</formula>
    </cfRule>
    <cfRule type="cellIs" dxfId="185" priority="183" operator="lessThan">
      <formula>0</formula>
    </cfRule>
    <cfRule type="cellIs" dxfId="184" priority="184" operator="greaterThan">
      <formula>0</formula>
    </cfRule>
  </conditionalFormatting>
  <conditionalFormatting sqref="E156:E181">
    <cfRule type="cellIs" dxfId="183" priority="185" stopIfTrue="1" operator="greaterThan">
      <formula>0</formula>
    </cfRule>
    <cfRule type="cellIs" dxfId="182" priority="186" stopIfTrue="1" operator="lessThan">
      <formula>0</formula>
    </cfRule>
    <cfRule type="cellIs" dxfId="181" priority="187" stopIfTrue="1" operator="equal">
      <formula>0</formula>
    </cfRule>
  </conditionalFormatting>
  <conditionalFormatting sqref="G156:G181 I156:I181 K156:K181 M156:M181">
    <cfRule type="cellIs" dxfId="180" priority="176" operator="equal">
      <formula>0</formula>
    </cfRule>
    <cfRule type="cellIs" dxfId="179" priority="177" operator="lessThan">
      <formula>0</formula>
    </cfRule>
    <cfRule type="cellIs" dxfId="178" priority="178" operator="greaterThan">
      <formula>0</formula>
    </cfRule>
  </conditionalFormatting>
  <conditionalFormatting sqref="G156:G181 I156:I181 K156:K181 M156:M181">
    <cfRule type="cellIs" dxfId="177" priority="179" stopIfTrue="1" operator="greaterThan">
      <formula>0</formula>
    </cfRule>
    <cfRule type="cellIs" dxfId="176" priority="180" stopIfTrue="1" operator="lessThan">
      <formula>0</formula>
    </cfRule>
    <cfRule type="cellIs" dxfId="175" priority="181" stopIfTrue="1" operator="equal">
      <formula>0</formula>
    </cfRule>
  </conditionalFormatting>
  <conditionalFormatting sqref="L86">
    <cfRule type="cellIs" dxfId="174" priority="170" operator="equal">
      <formula>0</formula>
    </cfRule>
    <cfRule type="cellIs" dxfId="173" priority="171" operator="lessThan">
      <formula>0</formula>
    </cfRule>
    <cfRule type="cellIs" dxfId="172" priority="172" operator="greaterThan">
      <formula>0</formula>
    </cfRule>
  </conditionalFormatting>
  <conditionalFormatting sqref="L86">
    <cfRule type="cellIs" dxfId="171" priority="173" stopIfTrue="1" operator="greaterThan">
      <formula>0</formula>
    </cfRule>
    <cfRule type="cellIs" dxfId="170" priority="174" stopIfTrue="1" operator="lessThan">
      <formula>0</formula>
    </cfRule>
    <cfRule type="cellIs" dxfId="169" priority="175" stopIfTrue="1" operator="equal">
      <formula>0</formula>
    </cfRule>
  </conditionalFormatting>
  <conditionalFormatting sqref="G12:G13">
    <cfRule type="cellIs" dxfId="168" priority="167" stopIfTrue="1" operator="greaterThan">
      <formula>0</formula>
    </cfRule>
    <cfRule type="cellIs" dxfId="167" priority="168" stopIfTrue="1" operator="lessThan">
      <formula>0</formula>
    </cfRule>
    <cfRule type="cellIs" dxfId="166" priority="169" stopIfTrue="1" operator="equal">
      <formula>0</formula>
    </cfRule>
  </conditionalFormatting>
  <conditionalFormatting sqref="G12:G13">
    <cfRule type="cellIs" dxfId="165" priority="164" operator="equal">
      <formula>0</formula>
    </cfRule>
    <cfRule type="cellIs" dxfId="164" priority="165" operator="lessThan">
      <formula>0</formula>
    </cfRule>
    <cfRule type="cellIs" dxfId="163" priority="166" operator="greaterThan">
      <formula>0</formula>
    </cfRule>
  </conditionalFormatting>
  <conditionalFormatting sqref="G12:G13">
    <cfRule type="cellIs" dxfId="162" priority="161" stopIfTrue="1" operator="greaterThan">
      <formula>0</formula>
    </cfRule>
    <cfRule type="cellIs" dxfId="161" priority="162" stopIfTrue="1" operator="lessThan">
      <formula>0</formula>
    </cfRule>
    <cfRule type="cellIs" dxfId="160" priority="163" stopIfTrue="1" operator="equal">
      <formula>0</formula>
    </cfRule>
  </conditionalFormatting>
  <conditionalFormatting sqref="G12:G13">
    <cfRule type="cellIs" dxfId="159" priority="158" operator="equal">
      <formula>0</formula>
    </cfRule>
    <cfRule type="cellIs" dxfId="158" priority="159" operator="lessThan">
      <formula>0</formula>
    </cfRule>
    <cfRule type="cellIs" dxfId="157" priority="160" operator="greaterThan">
      <formula>0</formula>
    </cfRule>
  </conditionalFormatting>
  <conditionalFormatting sqref="L12:L13">
    <cfRule type="cellIs" dxfId="156" priority="152" operator="equal">
      <formula>0</formula>
    </cfRule>
    <cfRule type="cellIs" dxfId="155" priority="153" operator="lessThan">
      <formula>0</formula>
    </cfRule>
    <cfRule type="cellIs" dxfId="154" priority="154" operator="greaterThan">
      <formula>0</formula>
    </cfRule>
  </conditionalFormatting>
  <conditionalFormatting sqref="L12:L13">
    <cfRule type="cellIs" dxfId="153" priority="155" stopIfTrue="1" operator="greaterThan">
      <formula>0</formula>
    </cfRule>
    <cfRule type="cellIs" dxfId="152" priority="156" stopIfTrue="1" operator="lessThan">
      <formula>0</formula>
    </cfRule>
    <cfRule type="cellIs" dxfId="151" priority="157" stopIfTrue="1" operator="equal">
      <formula>0</formula>
    </cfRule>
  </conditionalFormatting>
  <conditionalFormatting sqref="G30:G31">
    <cfRule type="cellIs" dxfId="150" priority="143" stopIfTrue="1" operator="greaterThan">
      <formula>0</formula>
    </cfRule>
    <cfRule type="cellIs" dxfId="149" priority="144" stopIfTrue="1" operator="lessThan">
      <formula>0</formula>
    </cfRule>
    <cfRule type="cellIs" dxfId="148" priority="145" stopIfTrue="1" operator="equal">
      <formula>0</formula>
    </cfRule>
  </conditionalFormatting>
  <conditionalFormatting sqref="G30:G31">
    <cfRule type="cellIs" dxfId="147" priority="140" operator="equal">
      <formula>0</formula>
    </cfRule>
    <cfRule type="cellIs" dxfId="146" priority="141" operator="lessThan">
      <formula>0</formula>
    </cfRule>
    <cfRule type="cellIs" dxfId="145" priority="142" operator="greaterThan">
      <formula>0</formula>
    </cfRule>
  </conditionalFormatting>
  <conditionalFormatting sqref="L30:L31">
    <cfRule type="cellIs" dxfId="144" priority="146" operator="equal">
      <formula>0</formula>
    </cfRule>
    <cfRule type="cellIs" dxfId="143" priority="147" operator="lessThan">
      <formula>0</formula>
    </cfRule>
    <cfRule type="cellIs" dxfId="142" priority="148" operator="greaterThan">
      <formula>0</formula>
    </cfRule>
  </conditionalFormatting>
  <conditionalFormatting sqref="L30:L31">
    <cfRule type="cellIs" dxfId="141" priority="149" stopIfTrue="1" operator="greaterThan">
      <formula>0</formula>
    </cfRule>
    <cfRule type="cellIs" dxfId="140" priority="150" stopIfTrue="1" operator="lessThan">
      <formula>0</formula>
    </cfRule>
    <cfRule type="cellIs" dxfId="139" priority="151" stopIfTrue="1" operator="equal">
      <formula>0</formula>
    </cfRule>
  </conditionalFormatting>
  <conditionalFormatting sqref="G30:G31">
    <cfRule type="cellIs" dxfId="138" priority="137" stopIfTrue="1" operator="greaterThan">
      <formula>0</formula>
    </cfRule>
    <cfRule type="cellIs" dxfId="137" priority="138" stopIfTrue="1" operator="lessThan">
      <formula>0</formula>
    </cfRule>
    <cfRule type="cellIs" dxfId="136" priority="139" stopIfTrue="1" operator="equal">
      <formula>0</formula>
    </cfRule>
  </conditionalFormatting>
  <conditionalFormatting sqref="G30:G31">
    <cfRule type="cellIs" dxfId="135" priority="134" operator="equal">
      <formula>0</formula>
    </cfRule>
    <cfRule type="cellIs" dxfId="134" priority="135" operator="lessThan">
      <formula>0</formula>
    </cfRule>
    <cfRule type="cellIs" dxfId="133" priority="136" operator="greaterThan">
      <formula>0</formula>
    </cfRule>
  </conditionalFormatting>
  <conditionalFormatting sqref="G48:G49">
    <cfRule type="cellIs" dxfId="132" priority="131" stopIfTrue="1" operator="greaterThan">
      <formula>0</formula>
    </cfRule>
    <cfRule type="cellIs" dxfId="131" priority="132" stopIfTrue="1" operator="lessThan">
      <formula>0</formula>
    </cfRule>
    <cfRule type="cellIs" dxfId="130" priority="133" stopIfTrue="1" operator="equal">
      <formula>0</formula>
    </cfRule>
  </conditionalFormatting>
  <conditionalFormatting sqref="G48:G49">
    <cfRule type="cellIs" dxfId="129" priority="128" operator="equal">
      <formula>0</formula>
    </cfRule>
    <cfRule type="cellIs" dxfId="128" priority="129" operator="lessThan">
      <formula>0</formula>
    </cfRule>
    <cfRule type="cellIs" dxfId="127" priority="130" operator="greaterThan">
      <formula>0</formula>
    </cfRule>
  </conditionalFormatting>
  <conditionalFormatting sqref="G48:G49">
    <cfRule type="cellIs" dxfId="126" priority="125" stopIfTrue="1" operator="greaterThan">
      <formula>0</formula>
    </cfRule>
    <cfRule type="cellIs" dxfId="125" priority="126" stopIfTrue="1" operator="lessThan">
      <formula>0</formula>
    </cfRule>
    <cfRule type="cellIs" dxfId="124" priority="127" stopIfTrue="1" operator="equal">
      <formula>0</formula>
    </cfRule>
  </conditionalFormatting>
  <conditionalFormatting sqref="G48:G49">
    <cfRule type="cellIs" dxfId="123" priority="122" operator="equal">
      <formula>0</formula>
    </cfRule>
    <cfRule type="cellIs" dxfId="122" priority="123" operator="lessThan">
      <formula>0</formula>
    </cfRule>
    <cfRule type="cellIs" dxfId="121" priority="124" operator="greaterThan">
      <formula>0</formula>
    </cfRule>
  </conditionalFormatting>
  <conditionalFormatting sqref="L48:L49">
    <cfRule type="cellIs" dxfId="120" priority="116" operator="equal">
      <formula>0</formula>
    </cfRule>
    <cfRule type="cellIs" dxfId="119" priority="117" operator="lessThan">
      <formula>0</formula>
    </cfRule>
    <cfRule type="cellIs" dxfId="118" priority="118" operator="greaterThan">
      <formula>0</formula>
    </cfRule>
  </conditionalFormatting>
  <conditionalFormatting sqref="L48:L49">
    <cfRule type="cellIs" dxfId="117" priority="119" stopIfTrue="1" operator="greaterThan">
      <formula>0</formula>
    </cfRule>
    <cfRule type="cellIs" dxfId="116" priority="120" stopIfTrue="1" operator="lessThan">
      <formula>0</formula>
    </cfRule>
    <cfRule type="cellIs" dxfId="115" priority="121" stopIfTrue="1" operator="equal">
      <formula>0</formula>
    </cfRule>
  </conditionalFormatting>
  <conditionalFormatting sqref="G71:G72">
    <cfRule type="cellIs" dxfId="114" priority="113" stopIfTrue="1" operator="greaterThan">
      <formula>0</formula>
    </cfRule>
    <cfRule type="cellIs" dxfId="113" priority="114" stopIfTrue="1" operator="lessThan">
      <formula>0</formula>
    </cfRule>
    <cfRule type="cellIs" dxfId="112" priority="115" stopIfTrue="1" operator="equal">
      <formula>0</formula>
    </cfRule>
  </conditionalFormatting>
  <conditionalFormatting sqref="G71:G72">
    <cfRule type="cellIs" dxfId="111" priority="110" operator="equal">
      <formula>0</formula>
    </cfRule>
    <cfRule type="cellIs" dxfId="110" priority="111" operator="lessThan">
      <formula>0</formula>
    </cfRule>
    <cfRule type="cellIs" dxfId="109" priority="112" operator="greaterThan">
      <formula>0</formula>
    </cfRule>
  </conditionalFormatting>
  <conditionalFormatting sqref="G71:G72">
    <cfRule type="cellIs" dxfId="108" priority="107" stopIfTrue="1" operator="greaterThan">
      <formula>0</formula>
    </cfRule>
    <cfRule type="cellIs" dxfId="107" priority="108" stopIfTrue="1" operator="lessThan">
      <formula>0</formula>
    </cfRule>
    <cfRule type="cellIs" dxfId="106" priority="109" stopIfTrue="1" operator="equal">
      <formula>0</formula>
    </cfRule>
  </conditionalFormatting>
  <conditionalFormatting sqref="G71:G72">
    <cfRule type="cellIs" dxfId="105" priority="104" operator="equal">
      <formula>0</formula>
    </cfRule>
    <cfRule type="cellIs" dxfId="104" priority="105" operator="lessThan">
      <formula>0</formula>
    </cfRule>
    <cfRule type="cellIs" dxfId="103" priority="106" operator="greaterThan">
      <formula>0</formula>
    </cfRule>
  </conditionalFormatting>
  <conditionalFormatting sqref="L71:L72">
    <cfRule type="cellIs" dxfId="102" priority="98" operator="equal">
      <formula>0</formula>
    </cfRule>
    <cfRule type="cellIs" dxfId="101" priority="99" operator="lessThan">
      <formula>0</formula>
    </cfRule>
    <cfRule type="cellIs" dxfId="100" priority="100" operator="greaterThan">
      <formula>0</formula>
    </cfRule>
  </conditionalFormatting>
  <conditionalFormatting sqref="L71:L72">
    <cfRule type="cellIs" dxfId="99" priority="101" stopIfTrue="1" operator="greaterThan">
      <formula>0</formula>
    </cfRule>
    <cfRule type="cellIs" dxfId="98" priority="102" stopIfTrue="1" operator="lessThan">
      <formula>0</formula>
    </cfRule>
    <cfRule type="cellIs" dxfId="97" priority="103" stopIfTrue="1" operator="equal">
      <formula>0</formula>
    </cfRule>
  </conditionalFormatting>
  <conditionalFormatting sqref="G14">
    <cfRule type="cellIs" dxfId="96" priority="95" stopIfTrue="1" operator="greaterThan">
      <formula>0</formula>
    </cfRule>
    <cfRule type="cellIs" dxfId="95" priority="96" stopIfTrue="1" operator="lessThan">
      <formula>0</formula>
    </cfRule>
    <cfRule type="cellIs" dxfId="94" priority="97" stopIfTrue="1" operator="equal">
      <formula>0</formula>
    </cfRule>
  </conditionalFormatting>
  <conditionalFormatting sqref="G14">
    <cfRule type="cellIs" dxfId="93" priority="92" operator="equal">
      <formula>0</formula>
    </cfRule>
    <cfRule type="cellIs" dxfId="92" priority="93" operator="lessThan">
      <formula>0</formula>
    </cfRule>
    <cfRule type="cellIs" dxfId="91" priority="94" operator="greaterThan">
      <formula>0</formula>
    </cfRule>
  </conditionalFormatting>
  <conditionalFormatting sqref="G14">
    <cfRule type="cellIs" dxfId="90" priority="89" stopIfTrue="1" operator="greaterThan">
      <formula>0</formula>
    </cfRule>
    <cfRule type="cellIs" dxfId="89" priority="90" stopIfTrue="1" operator="lessThan">
      <formula>0</formula>
    </cfRule>
    <cfRule type="cellIs" dxfId="88" priority="91" stopIfTrue="1" operator="equal">
      <formula>0</formula>
    </cfRule>
  </conditionalFormatting>
  <conditionalFormatting sqref="G14">
    <cfRule type="cellIs" dxfId="87" priority="86" operator="equal">
      <formula>0</formula>
    </cfRule>
    <cfRule type="cellIs" dxfId="86" priority="87" operator="lessThan">
      <formula>0</formula>
    </cfRule>
    <cfRule type="cellIs" dxfId="85" priority="88" operator="greaterThan">
      <formula>0</formula>
    </cfRule>
  </conditionalFormatting>
  <conditionalFormatting sqref="L14">
    <cfRule type="cellIs" dxfId="84" priority="80" operator="equal">
      <formula>0</formula>
    </cfRule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L14">
    <cfRule type="cellIs" dxfId="81" priority="83" stopIfTrue="1" operator="greaterThan">
      <formula>0</formula>
    </cfRule>
    <cfRule type="cellIs" dxfId="80" priority="84" stopIfTrue="1" operator="lessThan">
      <formula>0</formula>
    </cfRule>
    <cfRule type="cellIs" dxfId="79" priority="85" stopIfTrue="1" operator="equal">
      <formula>0</formula>
    </cfRule>
  </conditionalFormatting>
  <conditionalFormatting sqref="G32">
    <cfRule type="cellIs" dxfId="78" priority="77" stopIfTrue="1" operator="greaterThan">
      <formula>0</formula>
    </cfRule>
    <cfRule type="cellIs" dxfId="77" priority="78" stopIfTrue="1" operator="lessThan">
      <formula>0</formula>
    </cfRule>
    <cfRule type="cellIs" dxfId="76" priority="79" stopIfTrue="1" operator="equal">
      <formula>0</formula>
    </cfRule>
  </conditionalFormatting>
  <conditionalFormatting sqref="G32">
    <cfRule type="cellIs" dxfId="75" priority="74" operator="equal">
      <formula>0</formula>
    </cfRule>
    <cfRule type="cellIs" dxfId="74" priority="75" operator="lessThan">
      <formula>0</formula>
    </cfRule>
    <cfRule type="cellIs" dxfId="73" priority="76" operator="greaterThan">
      <formula>0</formula>
    </cfRule>
  </conditionalFormatting>
  <conditionalFormatting sqref="G32">
    <cfRule type="cellIs" dxfId="72" priority="71" stopIfTrue="1" operator="greaterThan">
      <formula>0</formula>
    </cfRule>
    <cfRule type="cellIs" dxfId="71" priority="72" stopIfTrue="1" operator="lessThan">
      <formula>0</formula>
    </cfRule>
    <cfRule type="cellIs" dxfId="70" priority="73" stopIfTrue="1" operator="equal">
      <formula>0</formula>
    </cfRule>
  </conditionalFormatting>
  <conditionalFormatting sqref="G32">
    <cfRule type="cellIs" dxfId="69" priority="68" operator="equal">
      <formula>0</formula>
    </cfRule>
    <cfRule type="cellIs" dxfId="68" priority="69" operator="lessThan">
      <formula>0</formula>
    </cfRule>
    <cfRule type="cellIs" dxfId="67" priority="70" operator="greaterThan">
      <formula>0</formula>
    </cfRule>
  </conditionalFormatting>
  <conditionalFormatting sqref="L32">
    <cfRule type="cellIs" dxfId="66" priority="62" operator="equal">
      <formula>0</formula>
    </cfRule>
    <cfRule type="cellIs" dxfId="65" priority="63" operator="lessThan">
      <formula>0</formula>
    </cfRule>
    <cfRule type="cellIs" dxfId="64" priority="64" operator="greaterThan">
      <formula>0</formula>
    </cfRule>
  </conditionalFormatting>
  <conditionalFormatting sqref="L32">
    <cfRule type="cellIs" dxfId="63" priority="65" stopIfTrue="1" operator="greaterThan">
      <formula>0</formula>
    </cfRule>
    <cfRule type="cellIs" dxfId="62" priority="66" stopIfTrue="1" operator="lessThan">
      <formula>0</formula>
    </cfRule>
    <cfRule type="cellIs" dxfId="61" priority="67" stopIfTrue="1" operator="equal">
      <formula>0</formula>
    </cfRule>
  </conditionalFormatting>
  <conditionalFormatting sqref="G50">
    <cfRule type="cellIs" dxfId="60" priority="59" stopIfTrue="1" operator="greaterThan">
      <formula>0</formula>
    </cfRule>
    <cfRule type="cellIs" dxfId="59" priority="60" stopIfTrue="1" operator="lessThan">
      <formula>0</formula>
    </cfRule>
    <cfRule type="cellIs" dxfId="58" priority="61" stopIfTrue="1" operator="equal">
      <formula>0</formula>
    </cfRule>
  </conditionalFormatting>
  <conditionalFormatting sqref="G50">
    <cfRule type="cellIs" dxfId="57" priority="56" operator="equal">
      <formula>0</formula>
    </cfRule>
    <cfRule type="cellIs" dxfId="56" priority="57" operator="lessThan">
      <formula>0</formula>
    </cfRule>
    <cfRule type="cellIs" dxfId="55" priority="58" operator="greaterThan">
      <formula>0</formula>
    </cfRule>
  </conditionalFormatting>
  <conditionalFormatting sqref="G50">
    <cfRule type="cellIs" dxfId="54" priority="53" stopIfTrue="1" operator="greaterThan">
      <formula>0</formula>
    </cfRule>
    <cfRule type="cellIs" dxfId="53" priority="54" stopIfTrue="1" operator="lessThan">
      <formula>0</formula>
    </cfRule>
    <cfRule type="cellIs" dxfId="52" priority="55" stopIfTrue="1" operator="equal">
      <formula>0</formula>
    </cfRule>
  </conditionalFormatting>
  <conditionalFormatting sqref="G50">
    <cfRule type="cellIs" dxfId="51" priority="50" operator="equal">
      <formula>0</formula>
    </cfRule>
    <cfRule type="cellIs" dxfId="50" priority="51" operator="lessThan">
      <formula>0</formula>
    </cfRule>
    <cfRule type="cellIs" dxfId="49" priority="52" operator="greaterThan">
      <formula>0</formula>
    </cfRule>
  </conditionalFormatting>
  <conditionalFormatting sqref="L50">
    <cfRule type="cellIs" dxfId="48" priority="44" operator="equal">
      <formula>0</formula>
    </cfRule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L50">
    <cfRule type="cellIs" dxfId="45" priority="47" stopIfTrue="1" operator="greaterThan">
      <formula>0</formula>
    </cfRule>
    <cfRule type="cellIs" dxfId="44" priority="48" stopIfTrue="1" operator="lessThan">
      <formula>0</formula>
    </cfRule>
    <cfRule type="cellIs" dxfId="43" priority="49" stopIfTrue="1" operator="equal">
      <formula>0</formula>
    </cfRule>
  </conditionalFormatting>
  <conditionalFormatting sqref="G73">
    <cfRule type="cellIs" dxfId="42" priority="41" stopIfTrue="1" operator="greaterThan">
      <formula>0</formula>
    </cfRule>
    <cfRule type="cellIs" dxfId="41" priority="42" stopIfTrue="1" operator="lessThan">
      <formula>0</formula>
    </cfRule>
    <cfRule type="cellIs" dxfId="40" priority="43" stopIfTrue="1" operator="equal">
      <formula>0</formula>
    </cfRule>
  </conditionalFormatting>
  <conditionalFormatting sqref="G73">
    <cfRule type="cellIs" dxfId="39" priority="38" operator="equal">
      <formula>0</formula>
    </cfRule>
    <cfRule type="cellIs" dxfId="38" priority="39" operator="lessThan">
      <formula>0</formula>
    </cfRule>
    <cfRule type="cellIs" dxfId="37" priority="40" operator="greaterThan">
      <formula>0</formula>
    </cfRule>
  </conditionalFormatting>
  <conditionalFormatting sqref="G73">
    <cfRule type="cellIs" dxfId="36" priority="35" stopIfTrue="1" operator="greaterThan">
      <formula>0</formula>
    </cfRule>
    <cfRule type="cellIs" dxfId="35" priority="36" stopIfTrue="1" operator="lessThan">
      <formula>0</formula>
    </cfRule>
    <cfRule type="cellIs" dxfId="34" priority="37" stopIfTrue="1" operator="equal">
      <formula>0</formula>
    </cfRule>
  </conditionalFormatting>
  <conditionalFormatting sqref="G73">
    <cfRule type="cellIs" dxfId="33" priority="32" operator="equal">
      <formula>0</formula>
    </cfRule>
    <cfRule type="cellIs" dxfId="32" priority="33" operator="lessThan">
      <formula>0</formula>
    </cfRule>
    <cfRule type="cellIs" dxfId="31" priority="34" operator="greaterThan">
      <formula>0</formula>
    </cfRule>
  </conditionalFormatting>
  <conditionalFormatting sqref="L73">
    <cfRule type="cellIs" dxfId="30" priority="26" operator="equal">
      <formula>0</formula>
    </cfRule>
    <cfRule type="cellIs" dxfId="29" priority="27" operator="lessThan">
      <formula>0</formula>
    </cfRule>
    <cfRule type="cellIs" dxfId="28" priority="28" operator="greaterThan">
      <formula>0</formula>
    </cfRule>
  </conditionalFormatting>
  <conditionalFormatting sqref="L73">
    <cfRule type="cellIs" dxfId="27" priority="29" stopIfTrue="1" operator="greaterThan">
      <formula>0</formula>
    </cfRule>
    <cfRule type="cellIs" dxfId="26" priority="30" stopIfTrue="1" operator="lessThan">
      <formula>0</formula>
    </cfRule>
    <cfRule type="cellIs" dxfId="25" priority="31" stopIfTrue="1" operator="equal">
      <formula>0</formula>
    </cfRule>
  </conditionalFormatting>
  <conditionalFormatting sqref="G290:G292">
    <cfRule type="cellIs" dxfId="24" priority="20" operator="equal">
      <formula>0</formula>
    </cfRule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290:G292">
    <cfRule type="cellIs" dxfId="21" priority="23" stopIfTrue="1" operator="greaterThan">
      <formula>0</formula>
    </cfRule>
    <cfRule type="cellIs" dxfId="20" priority="24" stopIfTrue="1" operator="lessThan">
      <formula>0</formula>
    </cfRule>
    <cfRule type="cellIs" dxfId="19" priority="25" stopIfTrue="1" operator="equal">
      <formula>0</formula>
    </cfRule>
  </conditionalFormatting>
  <conditionalFormatting sqref="G278">
    <cfRule type="cellIs" dxfId="18" priority="14" operator="equal">
      <formula>0</formula>
    </cfRule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G278">
    <cfRule type="cellIs" dxfId="15" priority="17" stopIfTrue="1" operator="greaterThan">
      <formula>0</formula>
    </cfRule>
    <cfRule type="cellIs" dxfId="14" priority="18" stopIfTrue="1" operator="lessThan">
      <formula>0</formula>
    </cfRule>
    <cfRule type="cellIs" dxfId="13" priority="19" stopIfTrue="1" operator="equal">
      <formula>0</formula>
    </cfRule>
  </conditionalFormatting>
  <conditionalFormatting sqref="G279">
    <cfRule type="cellIs" dxfId="12" priority="8" operator="equal">
      <formula>0</formula>
    </cfRule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G279">
    <cfRule type="cellIs" dxfId="9" priority="11" stopIfTrue="1" operator="greaterThan">
      <formula>0</formula>
    </cfRule>
    <cfRule type="cellIs" dxfId="8" priority="12" stopIfTrue="1" operator="lessThan">
      <formula>0</formula>
    </cfRule>
    <cfRule type="cellIs" dxfId="7" priority="13" stopIfTrue="1" operator="equal">
      <formula>0</formula>
    </cfRule>
  </conditionalFormatting>
  <conditionalFormatting sqref="G280:G283">
    <cfRule type="cellIs" dxfId="6" priority="2" operator="equal">
      <formula>0</formula>
    </cfRule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G280:G283">
    <cfRule type="cellIs" dxfId="3" priority="5" stopIfTrue="1" operator="greaterThan">
      <formula>0</formula>
    </cfRule>
    <cfRule type="cellIs" dxfId="2" priority="6" stopIfTrue="1" operator="lessThan">
      <formula>0</formula>
    </cfRule>
    <cfRule type="cellIs" dxfId="1" priority="7" stopIfTrue="1" operator="equal">
      <formula>0</formula>
    </cfRule>
  </conditionalFormatting>
  <conditionalFormatting sqref="N278">
    <cfRule type="expression" dxfId="0" priority="1">
      <formula>$C283="Todos los países"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3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abril</mes>
    <year xmlns="36c86fb7-c3ab-4219-b2b9-06651c03637a">2019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2019-05-31T23:00:00+00:00</PublishingStartDate>
    <Pagina xmlns="36c86fb7-c3ab-4219-b2b9-06651c03637a" xsi:nil="true"/>
    <_dlc_DocId xmlns="8b099203-c902-4a5b-992f-1f849b15ff82">Q5F7QW3RQ55V-2035-408</_dlc_DocId>
    <_dlc_DocIdUrl xmlns="8b099203-c902-4a5b-992f-1f849b15ff82">
      <Url>http://admin.webtenerife.com/es/investigacion/Situacion-turistica/indicadores-turisticos/_layouts/DocIdRedir.aspx?ID=Q5F7QW3RQ55V-2035-408</Url>
      <Description>Q5F7QW3RQ55V-2035-408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A8C78AE-8901-497E-8E27-7C9B898BA45D}"/>
</file>

<file path=customXml/itemProps2.xml><?xml version="1.0" encoding="utf-8"?>
<ds:datastoreItem xmlns:ds="http://schemas.openxmlformats.org/officeDocument/2006/customXml" ds:itemID="{1F1F18D6-734F-4137-840B-A8932190B53E}"/>
</file>

<file path=customXml/itemProps3.xml><?xml version="1.0" encoding="utf-8"?>
<ds:datastoreItem xmlns:ds="http://schemas.openxmlformats.org/officeDocument/2006/customXml" ds:itemID="{DF955E98-9C10-4CCA-A8B6-DD68278FF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(abril y acumulado 2019)</dc:title>
  <dc:creator>Marjorie Perez Garcia</dc:creator>
  <cp:lastModifiedBy>Silvia Canales</cp:lastModifiedBy>
  <cp:lastPrinted>2019-05-20T15:35:54Z</cp:lastPrinted>
  <dcterms:created xsi:type="dcterms:W3CDTF">2019-05-20T15:34:37Z</dcterms:created>
  <dcterms:modified xsi:type="dcterms:W3CDTF">2019-05-24T14:05:04Z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de131e63-4a9b-4c25-8915-82a050e730bf</vt:lpwstr>
  </property>
</Properties>
</file>