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DE TENERIFE/2018/noviembre/"/>
    </mc:Choice>
  </mc:AlternateContent>
  <xr:revisionPtr revIDLastSave="0" documentId="8_{E86F326D-4DF1-4F6A-BC09-166D81079EC9}" xr6:coauthVersionLast="40" xr6:coauthVersionMax="40" xr10:uidLastSave="{00000000-0000-0000-0000-000000000000}"/>
  <bookViews>
    <workbookView xWindow="0" yWindow="0" windowWidth="28800" windowHeight="11715" xr2:uid="{82392CA4-2B4E-48DE-B6FB-0841DC67F741}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(vinculo)'!$C$1:$M$320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(vinculo)'!$C$1:$M$322</definedName>
    <definedName name="Z_B161D6A3_44F3_469D_B50D_76D907B3525C_.wvu.Cols" localSheetId="0" hidden="1">'Ind turísticos (vinculo)'!#REF!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G152" i="1"/>
  <c r="M64" i="1"/>
  <c r="L64" i="1"/>
  <c r="K64" i="1"/>
  <c r="J64" i="1"/>
  <c r="I64" i="1"/>
  <c r="G64" i="1"/>
  <c r="F64" i="1"/>
  <c r="E64" i="1"/>
  <c r="D64" i="1"/>
  <c r="C64" i="1"/>
  <c r="I62" i="1"/>
  <c r="G120" i="1"/>
  <c r="H280" i="1" l="1"/>
  <c r="H302" i="1"/>
  <c r="H310" i="1"/>
  <c r="H305" i="1"/>
  <c r="H309" i="1"/>
  <c r="H282" i="1"/>
  <c r="H308" i="1"/>
  <c r="H300" i="1"/>
  <c r="H311" i="1"/>
  <c r="C215" i="1"/>
  <c r="E184" i="1"/>
  <c r="E242" i="1"/>
  <c r="E295" i="1" s="1"/>
  <c r="E117" i="1"/>
</calcChain>
</file>

<file path=xl/sharedStrings.xml><?xml version="1.0" encoding="utf-8"?>
<sst xmlns="http://schemas.openxmlformats.org/spreadsheetml/2006/main" count="1287" uniqueCount="117">
  <si>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</si>
  <si>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</si>
  <si>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</si>
  <si>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</si>
  <si>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</si>
  <si>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</si>
  <si>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</si>
  <si>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</si>
  <si>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</si>
  <si>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</si>
  <si>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</si>
  <si>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</si>
  <si>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</si>
  <si>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</si>
  <si>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</si>
  <si>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</si>
  <si>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</si>
  <si>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</si>
  <si>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</si>
  <si>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</si>
  <si>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</si>
  <si>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</si>
  <si>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</si>
  <si>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</si>
  <si>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</si>
  <si>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</si>
  <si>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</si>
  <si>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</si>
  <si>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</si>
  <si>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</si>
  <si>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</si>
  <si>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</si>
  <si>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</si>
  <si>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</si>
  <si>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</si>
  <si>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</si>
  <si>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</si>
  <si>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</si>
  <si>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</si>
  <si>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</si>
  <si>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</si>
  <si>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</si>
  <si>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</si>
  <si>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</si>
  <si>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</si>
  <si>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</si>
  <si>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</si>
  <si>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</si>
  <si>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</si>
  <si>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</si>
  <si>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</si>
  <si>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</si>
  <si>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</si>
  <si>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</si>
  <si>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</si>
  <si>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</si>
  <si>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</si>
  <si>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</si>
  <si>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</si>
  <si>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</si>
  <si>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</si>
  <si>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</si>
  <si>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</si>
  <si>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</si>
  <si>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</si>
  <si>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</si>
  <si>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</si>
  <si>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</si>
  <si>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</si>
  <si>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</si>
  <si>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</si>
  <si>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</si>
  <si>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</si>
  <si>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</si>
  <si>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</si>
  <si>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</si>
  <si>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</si>
  <si>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</si>
  <si>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>Hotelera</t>
  </si>
  <si>
    <t>Apartamentos</t>
  </si>
  <si>
    <t>Vivienda vacacional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</si>
  <si>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</si>
  <si>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</si>
  <si>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</si>
  <si>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</si>
  <si>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</si>
  <si>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</si>
  <si>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</si>
  <si>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</si>
  <si>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</si>
  <si>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</si>
  <si>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</si>
  <si>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</si>
  <si>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noviembre 2018</t>
  </si>
  <si>
    <t>acumulado noviembre 2018</t>
  </si>
  <si>
    <t>Muestra hotelera= 91,5%;   Muestra extrahotelera= 57,5%;   Muestra total= 76,7%</t>
  </si>
  <si>
    <t>El gasto medio total por turista en los nueve primeros meses de ha ascendido a 1.120€. Se incrementa  un 3,3% respecto al mismo periodo del año anterior.</t>
  </si>
  <si>
    <t>El gasto medio por turista en origen se situó en 748€, un 5,3% más que en los nueve primeros meses de 2017.</t>
  </si>
  <si>
    <t>El gasto total diario por turista se situó en 125€, un 3,1% más que en los nueve primeros meses de 2017.</t>
  </si>
  <si>
    <t>El gasto medio en Tenerife, por turista y día  fue de 42,2€, experimentando un incremento del 1,1% respecto a los nueve primeros meses de 2017.</t>
  </si>
  <si>
    <t>enero-septiembre 2018 
Encuesta sobre el turista que visita Tenerife, Cabildo de Tenerife</t>
  </si>
  <si>
    <t>El número de plazas autorizadas por Policía Turística a fecha de noviembre 2018 asciendían a 150.770 plazas, registrando un incremento del 8,2% respecto al cierre del año 2017.</t>
  </si>
  <si>
    <t>Las plazas hoteleras autorizadas ascienden a 87.458 y representan el 58% del total. Con respecto al año 2017, las plazas hoteleras se incrementan un 4,0%.</t>
  </si>
  <si>
    <t>Las plazas extrahoteleras autorizadas, el 32% del total, ascienden a  48.495 (no incluye oferta rural). Disminuye un -1,1% respecto al cierre de 2017.</t>
  </si>
  <si>
    <t>Las plazas de vivienda vacacional autorizadas, el 9% del total, ascienden a  13.288 plazas. Aumentan un +178,2% respecto al cierre de 2017.</t>
  </si>
  <si>
    <t>Las plazas de hoteles rurales autorizadas por Policía Turística ascienden a 557, con un incremento del 0,0% respecto a 2017.</t>
  </si>
  <si>
    <t>Las plazas de casas rurales autorizadas por Policía Turística ascienden a 972, registrando un incremento del 5,9% respecto a 2017.</t>
  </si>
  <si>
    <t>noviembre 2018 Policía Turística Cabildo de Tenerife</t>
  </si>
  <si>
    <t>Las plazas estimadas por el STDE del Cabildo de Tenerife en el II semestre de 2018 ascienden a 171.029. Se incremantan un 6,3% respecto al mismo período del año anterior.</t>
  </si>
  <si>
    <t>La oferta extrahotelera estimada por el STDE del Cabildo de Tenerife en el II semestre de 2018, asciende a 75.306 plazas, incluyendo oferta rural. Supone el 44,0% del total de las plazas turísticas, registrando un incremento del 11,7%.</t>
  </si>
  <si>
    <t>Las plazas estimadas para la zona de La Laguna, Bajamar, La Punta ascienden a 2.058 en el II semestre de 2018, registrando un incremento respecto al mismo periodo del año anterior del 45,1%.</t>
  </si>
  <si>
    <t>Las plazas extrahoteleras se estiman en 1.222, registrándose un incremento del 105,7% respecto al II semestre del año anterior.</t>
  </si>
  <si>
    <t>Las plazas totales estimadas para la zona Norte se sitúan en las 30.915 plazas,  registrándose un incremento del 8,1% con respecto al incremento del 105,7% respecto al II semestre del año anterior.</t>
  </si>
  <si>
    <t>Las plazas extrahoteleras estimadas se sitúan en las 62.128 en el II semestre del  2018, con un incremento del 8,2%  respecto al II semestre del año anterior.</t>
  </si>
  <si>
    <t>Por el Puerto de Santa Cruz de Tenerife han pasado en los primeros nueve meses del año 2018, 409.526 cruceristas, un 31,9% más en comparación al mismo período del año 2017</t>
  </si>
  <si>
    <t>El número de buques de crucero en el Puerto de Santa Cruz de Tenerife hasta septiembre 2018 ascienden a un total de 182 cruceros, cifra que se incrementa un +18,2% respecto al mismo período del año anterior.</t>
  </si>
  <si>
    <t>Acumulado septiembre 2018
FUENTE: Autoridad Portuaria de S/C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</si>
</sst>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4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90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3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5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96" xfId="0" applyFont="1" applyFill="1" applyBorder="1" applyAlignment="1" applyProtection="1">
      <alignment horizontal="left" vertical="center" wrapText="1"/>
      <protection hidden="1"/>
    </xf>
    <xf numFmtId="0" fontId="2" fillId="7" borderId="0" xfId="0" applyFont="1" applyFill="1" applyBorder="1" applyAlignment="1" applyProtection="1">
      <alignment horizontal="left" vertical="center" wrapText="1"/>
      <protection hidden="1"/>
    </xf>
    <xf numFmtId="0" fontId="2" fillId="7" borderId="97" xfId="0" applyFont="1" applyFill="1" applyBorder="1" applyAlignment="1" applyProtection="1">
      <alignment horizontal="left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0" fontId="12" fillId="7" borderId="99" xfId="0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3" fontId="10" fillId="7" borderId="100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0" fontId="12" fillId="7" borderId="102" xfId="0" applyFont="1" applyFill="1" applyBorder="1" applyAlignment="1" applyProtection="1">
      <alignment horizontal="center" vertical="center" wrapText="1"/>
      <protection hidden="1"/>
    </xf>
    <xf numFmtId="3" fontId="10" fillId="7" borderId="10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3" fontId="10" fillId="0" borderId="10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6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97" xfId="0" applyFont="1" applyFill="1" applyBorder="1" applyAlignment="1" applyProtection="1">
      <alignment horizontal="left" vertical="center" wrapText="1"/>
      <protection hidden="1"/>
    </xf>
    <xf numFmtId="0" fontId="12" fillId="0" borderId="99" xfId="0" applyFont="1" applyFill="1" applyBorder="1" applyAlignment="1" applyProtection="1">
      <alignment horizontal="center" vertical="center" wrapText="1"/>
      <protection hidden="1"/>
    </xf>
    <xf numFmtId="0" fontId="12" fillId="0" borderId="100" xfId="0" applyFont="1" applyFill="1" applyBorder="1" applyAlignment="1" applyProtection="1">
      <alignment horizontal="center" vertical="center" wrapText="1"/>
      <protection hidden="1"/>
    </xf>
    <xf numFmtId="3" fontId="10" fillId="0" borderId="10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5" xfId="0" applyFont="1" applyFill="1" applyBorder="1" applyAlignment="1" applyProtection="1">
      <alignment horizontal="center" vertical="center" wrapText="1"/>
      <protection hidden="1"/>
    </xf>
    <xf numFmtId="0" fontId="12" fillId="0" borderId="106" xfId="0" applyFont="1" applyFill="1" applyBorder="1" applyAlignment="1" applyProtection="1">
      <alignment horizontal="center" vertical="center" wrapText="1"/>
      <protection hidden="1"/>
    </xf>
    <xf numFmtId="3" fontId="10" fillId="0" borderId="106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07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08" xfId="0" applyFont="1" applyFill="1" applyBorder="1" applyAlignment="1" applyProtection="1">
      <alignment horizontal="center" vertical="center" wrapText="1"/>
      <protection hidden="1"/>
    </xf>
    <xf numFmtId="3" fontId="10" fillId="5" borderId="95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95" xfId="0" applyFont="1" applyFill="1" applyBorder="1" applyAlignment="1" applyProtection="1">
      <alignment horizontal="left" vertical="center" wrapText="1"/>
      <protection hidden="1"/>
    </xf>
    <xf numFmtId="0" fontId="2" fillId="5" borderId="109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0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left" vertical="center" wrapText="1"/>
      <protection hidden="1"/>
    </xf>
    <xf numFmtId="0" fontId="0" fillId="0" borderId="111" xfId="0" applyBorder="1" applyAlignment="1">
      <alignment horizontal="left" vertical="center" wrapText="1"/>
    </xf>
    <xf numFmtId="0" fontId="0" fillId="0" borderId="112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0" xfId="0" applyFont="1" applyFill="1" applyBorder="1" applyAlignment="1" applyProtection="1">
      <alignment horizontal="center" vertical="center" wrapText="1"/>
      <protection hidden="1"/>
    </xf>
    <xf numFmtId="3" fontId="10" fillId="7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1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3" xfId="0" applyFont="1" applyFill="1" applyBorder="1" applyAlignment="1" applyProtection="1">
      <alignment horizontal="center" vertical="center" wrapText="1"/>
      <protection hidden="1"/>
    </xf>
    <xf numFmtId="0" fontId="8" fillId="5" borderId="114" xfId="0" applyFont="1" applyFill="1" applyBorder="1" applyAlignment="1" applyProtection="1">
      <alignment horizontal="center" vertical="center" wrapText="1"/>
      <protection hidden="1"/>
    </xf>
    <xf numFmtId="0" fontId="8" fillId="5" borderId="115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16" xfId="0" applyFont="1" applyFill="1" applyBorder="1" applyAlignment="1" applyProtection="1">
      <alignment horizontal="justify" vertical="center" wrapText="1"/>
      <protection hidden="1"/>
    </xf>
    <xf numFmtId="0" fontId="8" fillId="5" borderId="117" xfId="0" applyFont="1" applyFill="1" applyBorder="1" applyAlignment="1" applyProtection="1">
      <alignment horizontal="center" vertical="center" wrapText="1"/>
      <protection hidden="1"/>
    </xf>
    <xf numFmtId="0" fontId="8" fillId="5" borderId="118" xfId="0" applyFont="1" applyFill="1" applyBorder="1" applyAlignment="1" applyProtection="1">
      <alignment horizontal="center" vertical="center" wrapText="1"/>
      <protection hidden="1"/>
    </xf>
    <xf numFmtId="0" fontId="8" fillId="5" borderId="119" xfId="0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0" xfId="0" applyFont="1" applyFill="1" applyBorder="1" applyAlignment="1" applyProtection="1">
      <alignment horizontal="justify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0" fontId="8" fillId="5" borderId="122" xfId="0" applyFont="1" applyFill="1" applyBorder="1" applyAlignment="1" applyProtection="1">
      <alignment horizontal="center" vertical="center" wrapText="1"/>
      <protection hidden="1"/>
    </xf>
    <xf numFmtId="0" fontId="8" fillId="5" borderId="123" xfId="0" applyFont="1" applyFill="1" applyBorder="1" applyAlignment="1" applyProtection="1">
      <alignment horizontal="center" vertical="center" wrapText="1"/>
      <protection hidden="1"/>
    </xf>
    <xf numFmtId="3" fontId="9" fillId="5" borderId="12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4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24" xfId="0" applyFont="1" applyFill="1" applyBorder="1" applyAlignment="1" applyProtection="1">
      <alignment horizontal="justify" vertical="center" wrapText="1"/>
      <protection hidden="1"/>
    </xf>
    <xf numFmtId="0" fontId="20" fillId="5" borderId="125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26" xfId="0" applyFont="1" applyFill="1" applyBorder="1" applyAlignment="1" applyProtection="1">
      <alignment horizontal="center" vertical="center" wrapText="1"/>
      <protection hidden="1"/>
    </xf>
    <xf numFmtId="0" fontId="12" fillId="0" borderId="127" xfId="0" applyFont="1" applyFill="1" applyBorder="1" applyAlignment="1" applyProtection="1">
      <alignment horizontal="center" vertical="center" wrapText="1"/>
      <protection hidden="1"/>
    </xf>
    <xf numFmtId="0" fontId="12" fillId="0" borderId="128" xfId="0" applyFont="1" applyFill="1" applyBorder="1" applyAlignment="1" applyProtection="1">
      <alignment horizontal="center" vertical="center" wrapText="1"/>
      <protection hidden="1"/>
    </xf>
    <xf numFmtId="3" fontId="10" fillId="0" borderId="12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29" xfId="0" applyFont="1" applyFill="1" applyBorder="1" applyAlignment="1" applyProtection="1">
      <alignment horizontal="justify" vertical="center" wrapText="1"/>
      <protection hidden="1"/>
    </xf>
    <xf numFmtId="0" fontId="2" fillId="0" borderId="130" xfId="0" applyFont="1" applyFill="1" applyBorder="1" applyAlignment="1" applyProtection="1">
      <alignment horizontal="justify" vertical="center" wrapText="1"/>
      <protection hidden="1"/>
    </xf>
    <xf numFmtId="0" fontId="12" fillId="0" borderId="131" xfId="0" applyFont="1" applyFill="1" applyBorder="1" applyAlignment="1" applyProtection="1">
      <alignment horizontal="center" vertical="center" wrapText="1"/>
      <protection hidden="1"/>
    </xf>
    <xf numFmtId="0" fontId="12" fillId="0" borderId="132" xfId="0" applyFont="1" applyFill="1" applyBorder="1" applyAlignment="1" applyProtection="1">
      <alignment horizontal="center" vertical="center" wrapText="1"/>
      <protection hidden="1"/>
    </xf>
    <xf numFmtId="0" fontId="12" fillId="0" borderId="123" xfId="0" applyFont="1" applyFill="1" applyBorder="1" applyAlignment="1" applyProtection="1">
      <alignment horizontal="center" vertical="center" wrapText="1"/>
      <protection hidden="1"/>
    </xf>
    <xf numFmtId="3" fontId="10" fillId="0" borderId="12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4" xfId="0" applyFont="1" applyFill="1" applyBorder="1" applyAlignment="1" applyProtection="1">
      <alignment horizontal="justify" vertical="center" wrapText="1"/>
      <protection hidden="1"/>
    </xf>
    <xf numFmtId="0" fontId="2" fillId="0" borderId="125" xfId="0" applyFont="1" applyFill="1" applyBorder="1" applyAlignment="1" applyProtection="1">
      <alignment horizontal="justify" vertical="center" wrapText="1"/>
      <protection hidden="1"/>
    </xf>
    <xf numFmtId="0" fontId="12" fillId="7" borderId="126" xfId="0" applyFont="1" applyFill="1" applyBorder="1" applyAlignment="1" applyProtection="1">
      <alignment horizontal="center" vertical="center" wrapText="1"/>
      <protection hidden="1"/>
    </xf>
    <xf numFmtId="0" fontId="12" fillId="7" borderId="127" xfId="0" applyFont="1" applyFill="1" applyBorder="1" applyAlignment="1" applyProtection="1">
      <alignment horizontal="center" vertical="center" wrapText="1"/>
      <protection hidden="1"/>
    </xf>
    <xf numFmtId="0" fontId="12" fillId="7" borderId="128" xfId="0" applyFont="1" applyFill="1" applyBorder="1" applyAlignment="1" applyProtection="1">
      <alignment horizontal="center" vertical="center" wrapText="1"/>
      <protection hidden="1"/>
    </xf>
    <xf numFmtId="3" fontId="10" fillId="7" borderId="129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9" xfId="0" applyFont="1" applyFill="1" applyBorder="1" applyAlignment="1" applyProtection="1">
      <alignment horizontal="justify" vertical="center" wrapText="1"/>
      <protection hidden="1"/>
    </xf>
    <xf numFmtId="0" fontId="2" fillId="7" borderId="130" xfId="0" applyFont="1" applyFill="1" applyBorder="1" applyAlignment="1" applyProtection="1">
      <alignment horizontal="justify" vertical="center" wrapText="1"/>
      <protection hidden="1"/>
    </xf>
    <xf numFmtId="0" fontId="12" fillId="7" borderId="133" xfId="0" applyFont="1" applyFill="1" applyBorder="1" applyAlignment="1" applyProtection="1">
      <alignment horizontal="center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0" fontId="12" fillId="7" borderId="119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0" xfId="0" applyFont="1" applyFill="1" applyBorder="1" applyAlignment="1" applyProtection="1">
      <alignment horizontal="justify" vertical="center" wrapText="1"/>
      <protection hidden="1"/>
    </xf>
    <xf numFmtId="0" fontId="12" fillId="7" borderId="131" xfId="0" applyFont="1" applyFill="1" applyBorder="1" applyAlignment="1" applyProtection="1">
      <alignment horizontal="center" vertical="center" wrapText="1"/>
      <protection hidden="1"/>
    </xf>
    <xf numFmtId="0" fontId="12" fillId="7" borderId="132" xfId="0" applyFont="1" applyFill="1" applyBorder="1" applyAlignment="1" applyProtection="1">
      <alignment horizontal="center" vertical="center" wrapText="1"/>
      <protection hidden="1"/>
    </xf>
    <xf numFmtId="0" fontId="12" fillId="7" borderId="123" xfId="0" applyFont="1" applyFill="1" applyBorder="1" applyAlignment="1" applyProtection="1">
      <alignment horizontal="center" vertical="center" wrapText="1"/>
      <protection hidden="1"/>
    </xf>
    <xf numFmtId="3" fontId="10" fillId="7" borderId="12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4" xfId="0" applyFont="1" applyFill="1" applyBorder="1" applyAlignment="1" applyProtection="1">
      <alignment horizontal="justify" vertical="center" wrapText="1"/>
      <protection hidden="1"/>
    </xf>
    <xf numFmtId="0" fontId="2" fillId="7" borderId="125" xfId="0" applyFont="1" applyFill="1" applyBorder="1" applyAlignment="1" applyProtection="1">
      <alignment horizontal="justify" vertical="center" wrapText="1"/>
      <protection hidden="1"/>
    </xf>
    <xf numFmtId="0" fontId="12" fillId="0" borderId="135" xfId="0" applyFont="1" applyFill="1" applyBorder="1" applyAlignment="1" applyProtection="1">
      <alignment horizontal="center" vertical="center" wrapText="1"/>
      <protection hidden="1"/>
    </xf>
    <xf numFmtId="0" fontId="12" fillId="0" borderId="136" xfId="0" applyFont="1" applyFill="1" applyBorder="1" applyAlignment="1" applyProtection="1">
      <alignment horizontal="center" vertical="center" wrapText="1"/>
      <protection hidden="1"/>
    </xf>
    <xf numFmtId="0" fontId="12" fillId="0" borderId="117" xfId="0" applyFont="1" applyFill="1" applyBorder="1" applyAlignment="1" applyProtection="1">
      <alignment horizontal="center" vertical="center" wrapText="1"/>
      <protection hidden="1"/>
    </xf>
    <xf numFmtId="0" fontId="12" fillId="0" borderId="118" xfId="0" applyFont="1" applyFill="1" applyBorder="1" applyAlignment="1" applyProtection="1">
      <alignment horizontal="center" vertical="center" wrapText="1"/>
      <protection hidden="1"/>
    </xf>
    <xf numFmtId="0" fontId="12" fillId="0" borderId="119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0" xfId="0" applyFont="1" applyFill="1" applyBorder="1" applyAlignment="1" applyProtection="1">
      <alignment horizontal="justify" vertical="center" wrapText="1"/>
      <protection hidden="1"/>
    </xf>
    <xf numFmtId="0" fontId="12" fillId="0" borderId="121" xfId="0" applyFont="1" applyFill="1" applyBorder="1" applyAlignment="1" applyProtection="1">
      <alignment horizontal="center" vertical="center" wrapText="1"/>
      <protection hidden="1"/>
    </xf>
    <xf numFmtId="0" fontId="12" fillId="0" borderId="122" xfId="0" applyFont="1" applyFill="1" applyBorder="1" applyAlignment="1" applyProtection="1">
      <alignment horizontal="center" vertical="center" wrapText="1"/>
      <protection hidden="1"/>
    </xf>
    <xf numFmtId="0" fontId="12" fillId="6" borderId="126" xfId="0" applyFont="1" applyFill="1" applyBorder="1" applyAlignment="1" applyProtection="1">
      <alignment horizontal="center" vertical="center" wrapText="1"/>
      <protection hidden="1"/>
    </xf>
    <xf numFmtId="0" fontId="12" fillId="6" borderId="127" xfId="0" applyFont="1" applyFill="1" applyBorder="1" applyAlignment="1" applyProtection="1">
      <alignment horizontal="center" vertical="center" wrapText="1"/>
      <protection hidden="1"/>
    </xf>
    <xf numFmtId="0" fontId="12" fillId="6" borderId="128" xfId="0" applyFont="1" applyFill="1" applyBorder="1" applyAlignment="1" applyProtection="1">
      <alignment horizontal="center" vertical="center" wrapText="1"/>
      <protection hidden="1"/>
    </xf>
    <xf numFmtId="3" fontId="10" fillId="6" borderId="12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3" xfId="0" applyFont="1" applyFill="1" applyBorder="1" applyAlignment="1" applyProtection="1">
      <alignment horizontal="center" vertical="center" wrapText="1"/>
      <protection hidden="1"/>
    </xf>
    <xf numFmtId="0" fontId="12" fillId="6" borderId="134" xfId="0" applyFont="1" applyFill="1" applyBorder="1" applyAlignment="1" applyProtection="1">
      <alignment horizontal="center" vertical="center" wrapText="1"/>
      <protection hidden="1"/>
    </xf>
    <xf numFmtId="0" fontId="12" fillId="6" borderId="119" xfId="0" applyFont="1" applyFill="1" applyBorder="1" applyAlignment="1" applyProtection="1">
      <alignment horizontal="center" vertical="center" wrapText="1"/>
      <protection hidden="1"/>
    </xf>
    <xf numFmtId="0" fontId="12" fillId="6" borderId="137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38" xfId="0" applyFont="1" applyFill="1" applyBorder="1" applyAlignment="1" applyProtection="1">
      <alignment horizontal="justify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96" xfId="0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3" fontId="10" fillId="0" borderId="9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5" xfId="0" applyFont="1" applyFill="1" applyBorder="1" applyAlignment="1" applyProtection="1">
      <alignment horizontal="justify" vertical="center" wrapText="1"/>
      <protection hidden="1"/>
    </xf>
    <xf numFmtId="0" fontId="2" fillId="0" borderId="109" xfId="0" applyFont="1" applyFill="1" applyBorder="1" applyAlignment="1" applyProtection="1">
      <alignment horizontal="justify" vertical="center" wrapText="1"/>
      <protection hidden="1"/>
    </xf>
    <xf numFmtId="0" fontId="12" fillId="7" borderId="140" xfId="0" applyFont="1" applyFill="1" applyBorder="1" applyAlignment="1" applyProtection="1">
      <alignment horizontal="center" vertical="center" wrapText="1"/>
      <protection hidden="1"/>
    </xf>
    <xf numFmtId="3" fontId="10" fillId="7" borderId="14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41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41" xfId="0" applyFont="1" applyFill="1" applyBorder="1" applyAlignment="1" applyProtection="1">
      <alignment horizontal="justify" vertical="center" wrapText="1"/>
      <protection hidden="1"/>
    </xf>
    <xf numFmtId="0" fontId="2" fillId="7" borderId="142" xfId="0" applyFont="1" applyFill="1" applyBorder="1" applyAlignment="1" applyProtection="1">
      <alignment horizontal="justify" vertical="center" wrapText="1"/>
      <protection hidden="1"/>
    </xf>
    <xf numFmtId="0" fontId="2" fillId="0" borderId="143" xfId="0" applyFont="1" applyFill="1" applyBorder="1" applyAlignment="1" applyProtection="1">
      <alignment vertical="center" wrapText="1"/>
      <protection hidden="1"/>
    </xf>
    <xf numFmtId="0" fontId="2" fillId="0" borderId="143" xfId="0" applyFont="1" applyBorder="1" applyAlignment="1" applyProtection="1">
      <alignment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 xr:uid="{8BC6C758-EA33-410B-81A5-300230D83E21}"/>
    <cellStyle name="Porcentaje" xfId="1" builtinId="5"/>
  </cellStyles>
  <dxfs count="282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AC0F7098-509F-4AE7-8312-057B1B712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4AEAD691-3F99-49E0-9823-6E64B10E1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0B115A22-9AC4-492A-BB0F-37FCCE7B4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BF6955EB-7EAF-4680-8D6D-3D1466818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1200149</xdr:colOff>
      <xdr:row>295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F4F6F6C8-F4C5-4C8D-9F53-ED14A1333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628125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317</xdr:row>
      <xdr:rowOff>47625</xdr:rowOff>
    </xdr:from>
    <xdr:to>
      <xdr:col>9</xdr:col>
      <xdr:colOff>390525</xdr:colOff>
      <xdr:row>318</xdr:row>
      <xdr:rowOff>314325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8848039-6BFE-408D-AF09-8CD783D9718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1172050"/>
          <a:ext cx="507682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DT\Turismo%20de%20Tenerife%20S.A\INVESTIGACION365%20-%20General\BOLETIN%20ESTAD&#205;STICO%20SPET\INDICADORES%20TURISTICOS%20DE%20TENERIFE\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Hoja3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D5CE5-724A-4BE6-8780-C5D9B43BF5E7}">
  <sheetPr published="0" codeName="Hoja2">
    <tabColor theme="5" tint="0.39997558519241921"/>
  </sheetPr>
  <dimension ref="B1:T333"/>
  <sheetViews>
    <sheetView showGridLines="0" tabSelected="1" showRuler="0" zoomScaleNormal="100" workbookViewId="0">
      <selection activeCell="R15" sqref="R15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bestFit="1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92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93</v>
      </c>
      <c r="D2" s="6"/>
      <c r="E2" s="6"/>
      <c r="F2" s="6"/>
      <c r="G2" s="6"/>
      <c r="H2" s="7"/>
      <c r="I2" s="8" t="s">
        <v>94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464192</v>
      </c>
      <c r="G9" s="36">
        <v>3.9088487453271537E-2</v>
      </c>
      <c r="H9" s="37"/>
      <c r="I9" s="38" t="s">
        <v>7</v>
      </c>
      <c r="J9" s="39" t="s">
        <v>8</v>
      </c>
      <c r="K9" s="40">
        <v>5323654</v>
      </c>
      <c r="L9" s="41">
        <v>1.4421962938798494E-2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307701</v>
      </c>
      <c r="G10" s="47">
        <v>9.5740247979709814E-3</v>
      </c>
      <c r="H10" s="48"/>
      <c r="I10" s="43"/>
      <c r="J10" s="45" t="s">
        <v>10</v>
      </c>
      <c r="K10" s="46">
        <v>3539342</v>
      </c>
      <c r="L10" s="49">
        <v>-2.1362201956119931E-3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156491</v>
      </c>
      <c r="G11" s="36">
        <v>0.10246077761417993</v>
      </c>
      <c r="H11" s="48"/>
      <c r="I11" s="53"/>
      <c r="J11" s="54" t="s">
        <v>11</v>
      </c>
      <c r="K11" s="55">
        <v>1784312</v>
      </c>
      <c r="L11" s="56">
        <v>4.8948031479398857E-2</v>
      </c>
      <c r="M11" s="42"/>
    </row>
    <row r="12" spans="2:13" ht="24.75" hidden="1" customHeight="1" x14ac:dyDescent="0.2">
      <c r="C12" s="57" t="s">
        <v>12</v>
      </c>
      <c r="D12" s="58"/>
      <c r="E12" s="59" t="s">
        <v>8</v>
      </c>
      <c r="F12" s="60">
        <v>21602</v>
      </c>
      <c r="G12" s="61">
        <v>-4.8076499361036418E-2</v>
      </c>
      <c r="H12" s="62"/>
      <c r="I12" s="57" t="s">
        <v>12</v>
      </c>
      <c r="J12" s="59" t="s">
        <v>8</v>
      </c>
      <c r="K12" s="60">
        <v>206333</v>
      </c>
      <c r="L12" s="41">
        <v>-6.17260933030781E-2</v>
      </c>
      <c r="M12" s="42"/>
    </row>
    <row r="13" spans="2:13" ht="46.5" customHeight="1" thickBot="1" x14ac:dyDescent="0.25">
      <c r="C13" s="63"/>
      <c r="D13" s="64"/>
      <c r="E13" s="65" t="s">
        <v>10</v>
      </c>
      <c r="F13" s="66">
        <v>21602</v>
      </c>
      <c r="G13" s="47">
        <v>-4.8076499361036418E-2</v>
      </c>
      <c r="H13" s="62"/>
      <c r="I13" s="63"/>
      <c r="J13" s="65" t="s">
        <v>10</v>
      </c>
      <c r="K13" s="66">
        <v>206333</v>
      </c>
      <c r="L13" s="49">
        <v>-6.17260933030781E-2</v>
      </c>
      <c r="M13" s="42"/>
    </row>
    <row r="14" spans="2:13" ht="24.75" hidden="1" customHeight="1" x14ac:dyDescent="0.2">
      <c r="C14" s="67"/>
      <c r="D14" s="68"/>
      <c r="E14" s="69" t="s">
        <v>11</v>
      </c>
      <c r="F14" s="70">
        <v>0</v>
      </c>
      <c r="G14" s="71" t="s">
        <v>38</v>
      </c>
      <c r="H14" s="62"/>
      <c r="I14" s="67"/>
      <c r="J14" s="69" t="s">
        <v>11</v>
      </c>
      <c r="K14" s="70">
        <v>0</v>
      </c>
      <c r="L14" s="56" t="s">
        <v>38</v>
      </c>
      <c r="M14" s="42"/>
    </row>
    <row r="15" spans="2:13" ht="24.75" customHeight="1" x14ac:dyDescent="0.2">
      <c r="C15" s="72" t="s">
        <v>13</v>
      </c>
      <c r="D15" s="73"/>
      <c r="E15" s="74" t="s">
        <v>8</v>
      </c>
      <c r="F15" s="75">
        <v>6820</v>
      </c>
      <c r="G15" s="61">
        <v>7.6558800315706499E-2</v>
      </c>
      <c r="H15" s="62"/>
      <c r="I15" s="72" t="s">
        <v>13</v>
      </c>
      <c r="J15" s="74" t="s">
        <v>8</v>
      </c>
      <c r="K15" s="75">
        <v>64601</v>
      </c>
      <c r="L15" s="41">
        <v>0.31433744989928991</v>
      </c>
      <c r="M15" s="42"/>
    </row>
    <row r="16" spans="2:13" ht="24.75" customHeight="1" x14ac:dyDescent="0.2">
      <c r="C16" s="76"/>
      <c r="D16" s="77"/>
      <c r="E16" s="78" t="s">
        <v>10</v>
      </c>
      <c r="F16" s="79">
        <v>5063</v>
      </c>
      <c r="G16" s="47">
        <v>-1.7084061347311219E-2</v>
      </c>
      <c r="H16" s="62"/>
      <c r="I16" s="76"/>
      <c r="J16" s="78" t="s">
        <v>10</v>
      </c>
      <c r="K16" s="79">
        <v>49428</v>
      </c>
      <c r="L16" s="49">
        <v>0.2972547372841321</v>
      </c>
      <c r="M16" s="42"/>
    </row>
    <row r="17" spans="3:13" ht="24.75" customHeight="1" thickBot="1" x14ac:dyDescent="0.25">
      <c r="C17" s="80"/>
      <c r="D17" s="81"/>
      <c r="E17" s="82" t="s">
        <v>11</v>
      </c>
      <c r="F17" s="83">
        <v>1757</v>
      </c>
      <c r="G17" s="71">
        <v>0.48395270270270263</v>
      </c>
      <c r="H17" s="62"/>
      <c r="I17" s="80"/>
      <c r="J17" s="82" t="s">
        <v>11</v>
      </c>
      <c r="K17" s="83">
        <v>15173</v>
      </c>
      <c r="L17" s="56">
        <v>0.37324644764232051</v>
      </c>
      <c r="M17" s="42"/>
    </row>
    <row r="18" spans="3:13" ht="24.75" customHeight="1" x14ac:dyDescent="0.2">
      <c r="C18" s="57" t="s">
        <v>14</v>
      </c>
      <c r="D18" s="58"/>
      <c r="E18" s="59" t="s">
        <v>8</v>
      </c>
      <c r="F18" s="60">
        <v>86163</v>
      </c>
      <c r="G18" s="61">
        <v>4.1597156741858266E-2</v>
      </c>
      <c r="H18" s="62"/>
      <c r="I18" s="57" t="s">
        <v>14</v>
      </c>
      <c r="J18" s="59" t="s">
        <v>8</v>
      </c>
      <c r="K18" s="60">
        <v>1031333</v>
      </c>
      <c r="L18" s="41">
        <v>2.3761261708404646E-2</v>
      </c>
      <c r="M18" s="42"/>
    </row>
    <row r="19" spans="3:13" ht="24.75" customHeight="1" x14ac:dyDescent="0.2">
      <c r="C19" s="63"/>
      <c r="D19" s="64"/>
      <c r="E19" s="65" t="s">
        <v>10</v>
      </c>
      <c r="F19" s="66">
        <v>64914</v>
      </c>
      <c r="G19" s="47">
        <v>2.8389468014321517E-2</v>
      </c>
      <c r="H19" s="62"/>
      <c r="I19" s="63"/>
      <c r="J19" s="65" t="s">
        <v>10</v>
      </c>
      <c r="K19" s="66">
        <v>746476</v>
      </c>
      <c r="L19" s="49">
        <v>8.368443874690934E-3</v>
      </c>
      <c r="M19" s="42"/>
    </row>
    <row r="20" spans="3:13" ht="24.75" customHeight="1" thickBot="1" x14ac:dyDescent="0.25">
      <c r="C20" s="67"/>
      <c r="D20" s="68"/>
      <c r="E20" s="69" t="s">
        <v>11</v>
      </c>
      <c r="F20" s="70">
        <v>21249</v>
      </c>
      <c r="G20" s="71">
        <v>8.4132653061224527E-2</v>
      </c>
      <c r="H20" s="62"/>
      <c r="I20" s="67"/>
      <c r="J20" s="69" t="s">
        <v>11</v>
      </c>
      <c r="K20" s="70">
        <v>284857</v>
      </c>
      <c r="L20" s="56">
        <v>6.6420829979596752E-2</v>
      </c>
      <c r="M20" s="42"/>
    </row>
    <row r="21" spans="3:13" ht="24.75" customHeight="1" x14ac:dyDescent="0.2">
      <c r="C21" s="84" t="s">
        <v>15</v>
      </c>
      <c r="D21" s="85"/>
      <c r="E21" s="86" t="s">
        <v>8</v>
      </c>
      <c r="F21" s="87">
        <v>349607</v>
      </c>
      <c r="G21" s="61">
        <v>4.3665293450355191E-2</v>
      </c>
      <c r="H21" s="62"/>
      <c r="I21" s="84" t="s">
        <v>15</v>
      </c>
      <c r="J21" s="86" t="s">
        <v>8</v>
      </c>
      <c r="K21" s="87">
        <v>4021387</v>
      </c>
      <c r="L21" s="41">
        <v>1.2557679514663578E-2</v>
      </c>
      <c r="M21" s="42"/>
    </row>
    <row r="22" spans="3:13" ht="24.75" customHeight="1" x14ac:dyDescent="0.2">
      <c r="C22" s="88"/>
      <c r="D22" s="89"/>
      <c r="E22" s="90" t="s">
        <v>10</v>
      </c>
      <c r="F22" s="91">
        <v>216122</v>
      </c>
      <c r="G22" s="47">
        <v>1.0780246659526593E-2</v>
      </c>
      <c r="H22" s="62"/>
      <c r="I22" s="88"/>
      <c r="J22" s="90" t="s">
        <v>10</v>
      </c>
      <c r="K22" s="91">
        <v>2537105</v>
      </c>
      <c r="L22" s="49">
        <v>-4.5216467363433654E-3</v>
      </c>
      <c r="M22" s="42"/>
    </row>
    <row r="23" spans="3:13" ht="24.75" customHeight="1" thickBot="1" x14ac:dyDescent="0.25">
      <c r="C23" s="92"/>
      <c r="D23" s="93"/>
      <c r="E23" s="94" t="s">
        <v>11</v>
      </c>
      <c r="F23" s="95">
        <v>133485</v>
      </c>
      <c r="G23" s="71">
        <v>0.10169771299819241</v>
      </c>
      <c r="H23" s="62"/>
      <c r="I23" s="92"/>
      <c r="J23" s="94" t="s">
        <v>11</v>
      </c>
      <c r="K23" s="95">
        <v>1484282</v>
      </c>
      <c r="L23" s="56">
        <v>4.3149657210526549E-2</v>
      </c>
      <c r="M23" s="42"/>
    </row>
    <row r="24" spans="3:13" ht="5.25" customHeight="1" thickBot="1" x14ac:dyDescent="0.25"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3:13" ht="20.100000000000001" customHeight="1" thickBot="1" x14ac:dyDescent="0.25">
      <c r="C25" s="27" t="s">
        <v>16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</row>
    <row r="26" spans="3:13" ht="5.25" customHeight="1" thickBot="1" x14ac:dyDescent="0.25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97"/>
    </row>
    <row r="27" spans="3:13" ht="24.95" customHeight="1" x14ac:dyDescent="0.2">
      <c r="C27" s="38" t="s">
        <v>7</v>
      </c>
      <c r="D27" s="98"/>
      <c r="E27" s="39" t="s">
        <v>8</v>
      </c>
      <c r="F27" s="35">
        <v>3434144</v>
      </c>
      <c r="G27" s="36">
        <v>1.0962626273033793E-2</v>
      </c>
      <c r="H27" s="37"/>
      <c r="I27" s="38" t="s">
        <v>7</v>
      </c>
      <c r="J27" s="39" t="s">
        <v>8</v>
      </c>
      <c r="K27" s="40">
        <v>38543939</v>
      </c>
      <c r="L27" s="41">
        <v>-5.4634317067037141E-3</v>
      </c>
      <c r="M27" s="42" t="s">
        <v>9</v>
      </c>
    </row>
    <row r="28" spans="3:13" ht="24.95" customHeight="1" x14ac:dyDescent="0.2">
      <c r="C28" s="43"/>
      <c r="D28" s="44"/>
      <c r="E28" s="45" t="s">
        <v>10</v>
      </c>
      <c r="F28" s="46">
        <v>2131388</v>
      </c>
      <c r="G28" s="47">
        <v>-2.1469126796076154E-2</v>
      </c>
      <c r="H28" s="48"/>
      <c r="I28" s="43"/>
      <c r="J28" s="45" t="s">
        <v>10</v>
      </c>
      <c r="K28" s="46">
        <v>24231488</v>
      </c>
      <c r="L28" s="49">
        <v>-2.5849112529870433E-2</v>
      </c>
      <c r="M28" s="42"/>
    </row>
    <row r="29" spans="3:13" ht="24.95" customHeight="1" thickBot="1" x14ac:dyDescent="0.25">
      <c r="C29" s="53"/>
      <c r="D29" s="99"/>
      <c r="E29" s="54" t="s">
        <v>11</v>
      </c>
      <c r="F29" s="35">
        <v>1302756</v>
      </c>
      <c r="G29" s="36">
        <v>6.8924491735001592E-2</v>
      </c>
      <c r="H29" s="48"/>
      <c r="I29" s="53"/>
      <c r="J29" s="54" t="s">
        <v>11</v>
      </c>
      <c r="K29" s="55">
        <v>14312451</v>
      </c>
      <c r="L29" s="56">
        <v>3.1066750895653472E-2</v>
      </c>
      <c r="M29" s="42"/>
    </row>
    <row r="30" spans="3:13" ht="24.95" hidden="1" customHeight="1" x14ac:dyDescent="0.2">
      <c r="C30" s="57" t="s">
        <v>12</v>
      </c>
      <c r="D30" s="58"/>
      <c r="E30" s="59" t="s">
        <v>8</v>
      </c>
      <c r="F30" s="60">
        <v>51822</v>
      </c>
      <c r="G30" s="61">
        <v>4.5009074410163441E-2</v>
      </c>
      <c r="H30" s="62"/>
      <c r="I30" s="57" t="s">
        <v>12</v>
      </c>
      <c r="J30" s="59" t="s">
        <v>8</v>
      </c>
      <c r="K30" s="60">
        <v>483200</v>
      </c>
      <c r="L30" s="41">
        <v>-6.6269367374307775E-2</v>
      </c>
      <c r="M30" s="42"/>
    </row>
    <row r="31" spans="3:13" ht="48" customHeight="1" thickBot="1" x14ac:dyDescent="0.25">
      <c r="C31" s="63"/>
      <c r="D31" s="64"/>
      <c r="E31" s="65" t="s">
        <v>10</v>
      </c>
      <c r="F31" s="66">
        <v>51822</v>
      </c>
      <c r="G31" s="47">
        <v>4.5009074410163441E-2</v>
      </c>
      <c r="H31" s="62"/>
      <c r="I31" s="63"/>
      <c r="J31" s="65" t="s">
        <v>10</v>
      </c>
      <c r="K31" s="66">
        <v>483200</v>
      </c>
      <c r="L31" s="49">
        <v>-6.6269367374307775E-2</v>
      </c>
      <c r="M31" s="42"/>
    </row>
    <row r="32" spans="3:13" ht="24.95" hidden="1" customHeight="1" x14ac:dyDescent="0.2">
      <c r="C32" s="67"/>
      <c r="D32" s="68"/>
      <c r="E32" s="69" t="s">
        <v>11</v>
      </c>
      <c r="F32" s="70">
        <v>0</v>
      </c>
      <c r="G32" s="71" t="s">
        <v>38</v>
      </c>
      <c r="H32" s="62"/>
      <c r="I32" s="67"/>
      <c r="J32" s="69" t="s">
        <v>11</v>
      </c>
      <c r="K32" s="70">
        <v>0</v>
      </c>
      <c r="L32" s="56" t="s">
        <v>38</v>
      </c>
      <c r="M32" s="42"/>
    </row>
    <row r="33" spans="3:13" ht="24.95" customHeight="1" x14ac:dyDescent="0.2">
      <c r="C33" s="72" t="s">
        <v>13</v>
      </c>
      <c r="D33" s="73"/>
      <c r="E33" s="74" t="s">
        <v>8</v>
      </c>
      <c r="F33" s="75">
        <v>24380</v>
      </c>
      <c r="G33" s="61">
        <v>0.14907856907197048</v>
      </c>
      <c r="H33" s="62"/>
      <c r="I33" s="72" t="s">
        <v>13</v>
      </c>
      <c r="J33" s="74" t="s">
        <v>8</v>
      </c>
      <c r="K33" s="75">
        <v>222074</v>
      </c>
      <c r="L33" s="41">
        <v>0.18399053123200604</v>
      </c>
      <c r="M33" s="42"/>
    </row>
    <row r="34" spans="3:13" ht="24.95" customHeight="1" x14ac:dyDescent="0.2">
      <c r="C34" s="76"/>
      <c r="D34" s="77"/>
      <c r="E34" s="78" t="s">
        <v>10</v>
      </c>
      <c r="F34" s="79">
        <v>13192</v>
      </c>
      <c r="G34" s="47">
        <v>-3.192191971820646E-2</v>
      </c>
      <c r="H34" s="62"/>
      <c r="I34" s="76"/>
      <c r="J34" s="78" t="s">
        <v>10</v>
      </c>
      <c r="K34" s="79">
        <v>131240</v>
      </c>
      <c r="L34" s="49">
        <v>0.12613694868714598</v>
      </c>
      <c r="M34" s="42"/>
    </row>
    <row r="35" spans="3:13" ht="24.95" customHeight="1" thickBot="1" x14ac:dyDescent="0.25">
      <c r="C35" s="80"/>
      <c r="D35" s="81"/>
      <c r="E35" s="82" t="s">
        <v>11</v>
      </c>
      <c r="F35" s="83">
        <v>11188</v>
      </c>
      <c r="G35" s="71">
        <v>0.47404479578392622</v>
      </c>
      <c r="H35" s="62"/>
      <c r="I35" s="80"/>
      <c r="J35" s="82" t="s">
        <v>11</v>
      </c>
      <c r="K35" s="83">
        <v>90834</v>
      </c>
      <c r="L35" s="56">
        <v>0.27891980175715259</v>
      </c>
      <c r="M35" s="42"/>
    </row>
    <row r="36" spans="3:13" ht="24.95" customHeight="1" x14ac:dyDescent="0.2">
      <c r="C36" s="57" t="s">
        <v>14</v>
      </c>
      <c r="D36" s="58"/>
      <c r="E36" s="59" t="s">
        <v>8</v>
      </c>
      <c r="F36" s="60">
        <v>662774</v>
      </c>
      <c r="G36" s="61">
        <v>5.2202599810761141E-2</v>
      </c>
      <c r="H36" s="62"/>
      <c r="I36" s="57" t="s">
        <v>14</v>
      </c>
      <c r="J36" s="59" t="s">
        <v>8</v>
      </c>
      <c r="K36" s="60">
        <v>7261904</v>
      </c>
      <c r="L36" s="41">
        <v>4.0211391167196409E-2</v>
      </c>
      <c r="M36" s="42"/>
    </row>
    <row r="37" spans="3:13" ht="24.95" customHeight="1" x14ac:dyDescent="0.2">
      <c r="C37" s="63"/>
      <c r="D37" s="64"/>
      <c r="E37" s="65" t="s">
        <v>10</v>
      </c>
      <c r="F37" s="66">
        <v>470385</v>
      </c>
      <c r="G37" s="47">
        <v>3.6816536693102142E-2</v>
      </c>
      <c r="H37" s="62"/>
      <c r="I37" s="63"/>
      <c r="J37" s="65" t="s">
        <v>10</v>
      </c>
      <c r="K37" s="66">
        <v>5033092</v>
      </c>
      <c r="L37" s="49">
        <v>3.639797808065115E-3</v>
      </c>
      <c r="M37" s="42"/>
    </row>
    <row r="38" spans="3:13" ht="24.95" customHeight="1" thickBot="1" x14ac:dyDescent="0.25">
      <c r="C38" s="67"/>
      <c r="D38" s="68"/>
      <c r="E38" s="69" t="s">
        <v>11</v>
      </c>
      <c r="F38" s="70">
        <v>192389</v>
      </c>
      <c r="G38" s="71">
        <v>9.1816582486805576E-2</v>
      </c>
      <c r="H38" s="62"/>
      <c r="I38" s="67"/>
      <c r="J38" s="69" t="s">
        <v>11</v>
      </c>
      <c r="K38" s="70">
        <v>2228812</v>
      </c>
      <c r="L38" s="56">
        <v>0.13348135776990988</v>
      </c>
      <c r="M38" s="42"/>
    </row>
    <row r="39" spans="3:13" ht="24.95" customHeight="1" x14ac:dyDescent="0.2">
      <c r="C39" s="84" t="s">
        <v>15</v>
      </c>
      <c r="D39" s="85"/>
      <c r="E39" s="86" t="s">
        <v>8</v>
      </c>
      <c r="F39" s="87">
        <v>2695168</v>
      </c>
      <c r="G39" s="61">
        <v>-3.8498542025344751E-4</v>
      </c>
      <c r="H39" s="62"/>
      <c r="I39" s="84" t="s">
        <v>15</v>
      </c>
      <c r="J39" s="86" t="s">
        <v>8</v>
      </c>
      <c r="K39" s="87">
        <v>30576761</v>
      </c>
      <c r="L39" s="41">
        <v>-1.585731882703123E-2</v>
      </c>
      <c r="M39" s="42"/>
    </row>
    <row r="40" spans="3:13" ht="24.95" customHeight="1" x14ac:dyDescent="0.2">
      <c r="C40" s="88"/>
      <c r="D40" s="89"/>
      <c r="E40" s="90" t="s">
        <v>10</v>
      </c>
      <c r="F40" s="91">
        <v>1595989</v>
      </c>
      <c r="G40" s="47">
        <v>-3.9285430506629915E-2</v>
      </c>
      <c r="H40" s="62"/>
      <c r="I40" s="88"/>
      <c r="J40" s="90" t="s">
        <v>10</v>
      </c>
      <c r="K40" s="91">
        <v>18583956</v>
      </c>
      <c r="L40" s="49">
        <v>-3.337435849849768E-2</v>
      </c>
      <c r="M40" s="42"/>
    </row>
    <row r="41" spans="3:13" ht="24.95" customHeight="1" thickBot="1" x14ac:dyDescent="0.25">
      <c r="C41" s="92"/>
      <c r="D41" s="93"/>
      <c r="E41" s="94" t="s">
        <v>11</v>
      </c>
      <c r="F41" s="95">
        <v>1099179</v>
      </c>
      <c r="G41" s="71">
        <v>6.2055898136535559E-2</v>
      </c>
      <c r="H41" s="62"/>
      <c r="I41" s="92"/>
      <c r="J41" s="94" t="s">
        <v>11</v>
      </c>
      <c r="K41" s="95">
        <v>11992805</v>
      </c>
      <c r="L41" s="56">
        <v>1.2577338719761633E-2</v>
      </c>
      <c r="M41" s="42"/>
    </row>
    <row r="42" spans="3:13" ht="5.25" customHeight="1" thickBot="1" x14ac:dyDescent="0.25">
      <c r="C42" s="96"/>
      <c r="D42" s="96"/>
      <c r="F42" s="96"/>
      <c r="G42" s="96"/>
      <c r="H42" s="96"/>
      <c r="I42" s="96"/>
      <c r="J42" s="96"/>
      <c r="K42" s="96"/>
      <c r="L42" s="96"/>
      <c r="M42" s="96"/>
    </row>
    <row r="43" spans="3:13" ht="20.100000000000001" customHeight="1" thickBot="1" x14ac:dyDescent="0.25">
      <c r="C43" s="27" t="s">
        <v>17</v>
      </c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3:13" ht="5.25" customHeight="1" thickBot="1" x14ac:dyDescent="0.2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97"/>
    </row>
    <row r="45" spans="3:13" ht="24.75" customHeight="1" x14ac:dyDescent="0.2">
      <c r="C45" s="38" t="s">
        <v>7</v>
      </c>
      <c r="D45" s="98"/>
      <c r="E45" s="39" t="s">
        <v>8</v>
      </c>
      <c r="F45" s="100">
        <v>7.3981111264304422</v>
      </c>
      <c r="G45" s="101">
        <v>-0.20582189799146811</v>
      </c>
      <c r="H45" s="37"/>
      <c r="I45" s="38" t="s">
        <v>7</v>
      </c>
      <c r="J45" s="39" t="s">
        <v>8</v>
      </c>
      <c r="K45" s="100">
        <v>7.2401284906945493</v>
      </c>
      <c r="L45" s="102">
        <v>-0.14476371901404672</v>
      </c>
      <c r="M45" s="42" t="s">
        <v>9</v>
      </c>
    </row>
    <row r="46" spans="3:13" ht="24.75" customHeight="1" x14ac:dyDescent="0.2">
      <c r="C46" s="43"/>
      <c r="D46" s="44"/>
      <c r="E46" s="45" t="s">
        <v>10</v>
      </c>
      <c r="F46" s="103">
        <v>6.9268153174672813</v>
      </c>
      <c r="G46" s="104">
        <v>-0.21974797510481103</v>
      </c>
      <c r="H46" s="48"/>
      <c r="I46" s="43"/>
      <c r="J46" s="45" t="s">
        <v>10</v>
      </c>
      <c r="K46" s="103">
        <v>6.8463256729640705</v>
      </c>
      <c r="L46" s="105">
        <v>-0.16665404267082273</v>
      </c>
      <c r="M46" s="42"/>
    </row>
    <row r="47" spans="3:13" ht="24.75" customHeight="1" thickBot="1" x14ac:dyDescent="0.25">
      <c r="C47" s="53"/>
      <c r="D47" s="99"/>
      <c r="E47" s="54" t="s">
        <v>11</v>
      </c>
      <c r="F47" s="106">
        <v>8.3247982312081845</v>
      </c>
      <c r="G47" s="107">
        <v>-0.2611810427461787</v>
      </c>
      <c r="H47" s="48"/>
      <c r="I47" s="53"/>
      <c r="J47" s="54" t="s">
        <v>11</v>
      </c>
      <c r="K47" s="106">
        <v>8.0212715040867284</v>
      </c>
      <c r="L47" s="108">
        <v>-0.13910894350766689</v>
      </c>
      <c r="M47" s="42"/>
    </row>
    <row r="48" spans="3:13" ht="24.75" hidden="1" customHeight="1" x14ac:dyDescent="0.2">
      <c r="C48" s="57" t="s">
        <v>12</v>
      </c>
      <c r="D48" s="58"/>
      <c r="E48" s="59" t="s">
        <v>8</v>
      </c>
      <c r="F48" s="109">
        <v>2.3989445421720212</v>
      </c>
      <c r="G48" s="101">
        <v>0.21368917708146462</v>
      </c>
      <c r="H48" s="62"/>
      <c r="I48" s="57" t="s">
        <v>12</v>
      </c>
      <c r="J48" s="59" t="s">
        <v>8</v>
      </c>
      <c r="K48" s="109">
        <v>2.3418454634013948</v>
      </c>
      <c r="L48" s="102">
        <v>-1.1394769969984786E-2</v>
      </c>
      <c r="M48" s="42"/>
    </row>
    <row r="49" spans="2:13" ht="50.25" customHeight="1" thickBot="1" x14ac:dyDescent="0.25">
      <c r="C49" s="63"/>
      <c r="D49" s="64"/>
      <c r="E49" s="65" t="s">
        <v>10</v>
      </c>
      <c r="F49" s="110">
        <v>2.3989445421720212</v>
      </c>
      <c r="G49" s="104">
        <v>0.21368917708146462</v>
      </c>
      <c r="H49" s="62"/>
      <c r="I49" s="63"/>
      <c r="J49" s="65" t="s">
        <v>10</v>
      </c>
      <c r="K49" s="110">
        <v>2.3418454634013948</v>
      </c>
      <c r="L49" s="105">
        <v>-1.1394769969984786E-2</v>
      </c>
      <c r="M49" s="42"/>
    </row>
    <row r="50" spans="2:13" ht="24.75" hidden="1" customHeight="1" x14ac:dyDescent="0.2">
      <c r="C50" s="67"/>
      <c r="D50" s="68"/>
      <c r="E50" s="69" t="s">
        <v>11</v>
      </c>
      <c r="F50" s="111" t="s">
        <v>38</v>
      </c>
      <c r="G50" s="107" t="s">
        <v>38</v>
      </c>
      <c r="H50" s="62"/>
      <c r="I50" s="67"/>
      <c r="J50" s="69" t="s">
        <v>11</v>
      </c>
      <c r="K50" s="111" t="e">
        <v>#DIV/0!</v>
      </c>
      <c r="L50" s="108" t="s">
        <v>38</v>
      </c>
      <c r="M50" s="42"/>
    </row>
    <row r="51" spans="2:13" ht="24.75" customHeight="1" x14ac:dyDescent="0.2">
      <c r="C51" s="72" t="s">
        <v>13</v>
      </c>
      <c r="D51" s="73"/>
      <c r="E51" s="74" t="s">
        <v>8</v>
      </c>
      <c r="F51" s="112">
        <v>3.5747800586510263</v>
      </c>
      <c r="G51" s="101">
        <v>0.22560878793279437</v>
      </c>
      <c r="H51" s="62"/>
      <c r="I51" s="72" t="s">
        <v>13</v>
      </c>
      <c r="J51" s="74" t="s">
        <v>8</v>
      </c>
      <c r="K51" s="112">
        <v>3.4376248045695887</v>
      </c>
      <c r="L51" s="102">
        <v>-0.37845218267380387</v>
      </c>
      <c r="M51" s="42"/>
    </row>
    <row r="52" spans="2:13" ht="24.75" customHeight="1" x14ac:dyDescent="0.2">
      <c r="C52" s="76"/>
      <c r="D52" s="77"/>
      <c r="E52" s="78" t="s">
        <v>10</v>
      </c>
      <c r="F52" s="113">
        <v>2.6055698202646651</v>
      </c>
      <c r="G52" s="104">
        <v>-3.9935906778627572E-2</v>
      </c>
      <c r="H52" s="62"/>
      <c r="I52" s="76"/>
      <c r="J52" s="78" t="s">
        <v>10</v>
      </c>
      <c r="K52" s="113">
        <v>2.6551752043376222</v>
      </c>
      <c r="L52" s="105">
        <v>-0.40345688846590511</v>
      </c>
      <c r="M52" s="42"/>
    </row>
    <row r="53" spans="2:13" ht="24.75" customHeight="1" thickBot="1" x14ac:dyDescent="0.25">
      <c r="C53" s="80"/>
      <c r="D53" s="81"/>
      <c r="E53" s="82" t="s">
        <v>11</v>
      </c>
      <c r="F53" s="114">
        <v>6.3676721684689817</v>
      </c>
      <c r="G53" s="107">
        <v>-4.2800804503991152E-2</v>
      </c>
      <c r="H53" s="62"/>
      <c r="I53" s="80"/>
      <c r="J53" s="82" t="s">
        <v>11</v>
      </c>
      <c r="K53" s="114">
        <v>5.9865550649179466</v>
      </c>
      <c r="L53" s="108">
        <v>-0.44153797517617921</v>
      </c>
      <c r="M53" s="42"/>
    </row>
    <row r="54" spans="2:13" ht="24.75" customHeight="1" x14ac:dyDescent="0.2">
      <c r="C54" s="57" t="s">
        <v>14</v>
      </c>
      <c r="D54" s="58"/>
      <c r="E54" s="59" t="s">
        <v>8</v>
      </c>
      <c r="F54" s="109">
        <v>7.6920952148834187</v>
      </c>
      <c r="G54" s="101">
        <v>7.7530770116609027E-2</v>
      </c>
      <c r="H54" s="62"/>
      <c r="I54" s="57" t="s">
        <v>14</v>
      </c>
      <c r="J54" s="59" t="s">
        <v>8</v>
      </c>
      <c r="K54" s="109">
        <v>7.0412795867096269</v>
      </c>
      <c r="L54" s="102">
        <v>0.11135232870979372</v>
      </c>
      <c r="M54" s="42"/>
    </row>
    <row r="55" spans="2:13" ht="24.75" customHeight="1" x14ac:dyDescent="0.2">
      <c r="C55" s="63"/>
      <c r="D55" s="64"/>
      <c r="E55" s="65" t="s">
        <v>10</v>
      </c>
      <c r="F55" s="110">
        <v>7.2462796931324522</v>
      </c>
      <c r="G55" s="104">
        <v>5.8896530368281574E-2</v>
      </c>
      <c r="H55" s="62"/>
      <c r="I55" s="63"/>
      <c r="J55" s="65" t="s">
        <v>10</v>
      </c>
      <c r="K55" s="110">
        <v>6.742469952148495</v>
      </c>
      <c r="L55" s="105">
        <v>-3.1767128095358643E-2</v>
      </c>
      <c r="M55" s="42"/>
    </row>
    <row r="56" spans="2:13" ht="24.75" customHeight="1" thickBot="1" x14ac:dyDescent="0.25">
      <c r="C56" s="67"/>
      <c r="D56" s="68"/>
      <c r="E56" s="69" t="s">
        <v>11</v>
      </c>
      <c r="F56" s="111">
        <v>9.0540260718151444</v>
      </c>
      <c r="G56" s="107">
        <v>6.3719949366165096E-2</v>
      </c>
      <c r="H56" s="62"/>
      <c r="I56" s="67"/>
      <c r="J56" s="69" t="s">
        <v>11</v>
      </c>
      <c r="K56" s="111">
        <v>7.8243188687657312</v>
      </c>
      <c r="L56" s="108">
        <v>0.46291273283177059</v>
      </c>
      <c r="M56" s="42"/>
    </row>
    <row r="57" spans="2:13" ht="24.75" customHeight="1" x14ac:dyDescent="0.2">
      <c r="C57" s="84" t="s">
        <v>15</v>
      </c>
      <c r="D57" s="85"/>
      <c r="E57" s="86" t="s">
        <v>8</v>
      </c>
      <c r="F57" s="115">
        <v>7.7091362587133556</v>
      </c>
      <c r="G57" s="101">
        <v>-0.33972038944474292</v>
      </c>
      <c r="H57" s="62"/>
      <c r="I57" s="84" t="s">
        <v>15</v>
      </c>
      <c r="J57" s="86" t="s">
        <v>8</v>
      </c>
      <c r="K57" s="115">
        <v>7.6035360436585684</v>
      </c>
      <c r="L57" s="102">
        <v>-0.21953571184827325</v>
      </c>
      <c r="M57" s="42"/>
    </row>
    <row r="58" spans="2:13" ht="24.75" customHeight="1" x14ac:dyDescent="0.2">
      <c r="C58" s="88"/>
      <c r="D58" s="89"/>
      <c r="E58" s="90" t="s">
        <v>10</v>
      </c>
      <c r="F58" s="116">
        <v>7.3846669936424796</v>
      </c>
      <c r="G58" s="104">
        <v>-0.3848368343973867</v>
      </c>
      <c r="H58" s="62"/>
      <c r="I58" s="88"/>
      <c r="J58" s="90" t="s">
        <v>10</v>
      </c>
      <c r="K58" s="116">
        <v>7.3248667280226876</v>
      </c>
      <c r="L58" s="105">
        <v>-0.21863921183752755</v>
      </c>
      <c r="M58" s="42"/>
    </row>
    <row r="59" spans="2:13" ht="24.75" customHeight="1" thickBot="1" x14ac:dyDescent="0.25">
      <c r="C59" s="117"/>
      <c r="D59" s="118"/>
      <c r="E59" s="119" t="s">
        <v>11</v>
      </c>
      <c r="F59" s="120">
        <v>8.2344757837959328</v>
      </c>
      <c r="G59" s="121">
        <v>-0.30735629365345396</v>
      </c>
      <c r="H59" s="122"/>
      <c r="I59" s="117"/>
      <c r="J59" s="119" t="s">
        <v>11</v>
      </c>
      <c r="K59" s="120">
        <v>8.0798695935139015</v>
      </c>
      <c r="L59" s="123">
        <v>-0.24395207865215518</v>
      </c>
      <c r="M59" s="124"/>
    </row>
    <row r="60" spans="2:13" ht="13.5" thickBot="1" x14ac:dyDescent="0.25">
      <c r="C60" s="125" t="s">
        <v>95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7"/>
    </row>
    <row r="61" spans="2:13" ht="50.25" customHeight="1" thickBot="1" x14ac:dyDescent="0.25">
      <c r="C61" s="128"/>
      <c r="D61" s="128"/>
      <c r="E61" s="129" t="s">
        <v>92</v>
      </c>
      <c r="F61" s="129"/>
      <c r="G61" s="129"/>
      <c r="H61" s="129"/>
      <c r="I61" s="129"/>
      <c r="J61" s="129"/>
      <c r="K61" s="129"/>
      <c r="L61" s="128"/>
      <c r="M61" s="128"/>
    </row>
    <row r="62" spans="2:13" ht="15" customHeight="1" x14ac:dyDescent="0.2">
      <c r="B62" s="5"/>
      <c r="C62" s="6" t="s">
        <v>93</v>
      </c>
      <c r="D62" s="6"/>
      <c r="E62" s="6"/>
      <c r="F62" s="6"/>
      <c r="G62" s="6"/>
      <c r="H62" s="7"/>
      <c r="I62" s="8" t="str">
        <f>I2</f>
        <v>acumulado noviembre 2018</v>
      </c>
      <c r="J62" s="8"/>
      <c r="K62" s="8"/>
      <c r="L62" s="8"/>
      <c r="M62" s="8"/>
    </row>
    <row r="63" spans="2:13" ht="16.5" customHeight="1" thickBot="1" x14ac:dyDescent="0.25">
      <c r="B63" s="5"/>
      <c r="C63" s="9"/>
      <c r="D63" s="9"/>
      <c r="E63" s="9"/>
      <c r="F63" s="9"/>
      <c r="G63" s="9"/>
      <c r="H63" s="10"/>
      <c r="I63" s="11"/>
      <c r="J63" s="11"/>
      <c r="K63" s="11"/>
      <c r="L63" s="11"/>
      <c r="M63" s="11"/>
    </row>
    <row r="64" spans="2:13" ht="81.75" customHeight="1" x14ac:dyDescent="0.2">
      <c r="C64" s="20" t="str">
        <f t="shared" ref="C64:G64" si="0">C5</f>
        <v>Ámbito</v>
      </c>
      <c r="D64" s="21">
        <f t="shared" si="0"/>
        <v>0</v>
      </c>
      <c r="E64" s="22" t="str">
        <f t="shared" si="0"/>
        <v>Variable</v>
      </c>
      <c r="F64" s="22" t="str">
        <f t="shared" si="0"/>
        <v>Valor absoluto
mensual</v>
      </c>
      <c r="G64" s="22" t="str">
        <f t="shared" si="0"/>
        <v>Variación respecto al período anterior</v>
      </c>
      <c r="H64" s="24"/>
      <c r="I64" s="22" t="str">
        <f>I5</f>
        <v>Ámbito</v>
      </c>
      <c r="J64" s="22" t="str">
        <f t="shared" ref="J64:M64" si="1">J5</f>
        <v>Variable</v>
      </c>
      <c r="K64" s="22" t="str">
        <f t="shared" si="1"/>
        <v>Valor absoluto
acumulado</v>
      </c>
      <c r="L64" s="22" t="str">
        <f t="shared" si="1"/>
        <v>Variación respecto al período anterior</v>
      </c>
      <c r="M64" s="23" t="str">
        <f t="shared" si="1"/>
        <v>Fuente</v>
      </c>
    </row>
    <row r="65" spans="3:13" ht="5.25" customHeight="1" thickBot="1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3:13" ht="20.100000000000001" customHeight="1" thickBot="1" x14ac:dyDescent="0.25">
      <c r="C66" s="27" t="s">
        <v>18</v>
      </c>
      <c r="D66" s="28"/>
      <c r="E66" s="28"/>
      <c r="F66" s="28"/>
      <c r="G66" s="28"/>
      <c r="H66" s="28"/>
      <c r="I66" s="28"/>
      <c r="J66" s="28"/>
      <c r="K66" s="28"/>
      <c r="L66" s="28"/>
      <c r="M66" s="29"/>
    </row>
    <row r="67" spans="3:13" ht="5.25" customHeight="1" thickBot="1" x14ac:dyDescent="0.25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97"/>
    </row>
    <row r="68" spans="3:13" ht="24.75" customHeight="1" x14ac:dyDescent="0.2">
      <c r="C68" s="38" t="s">
        <v>7</v>
      </c>
      <c r="D68" s="98"/>
      <c r="E68" s="39" t="s">
        <v>8</v>
      </c>
      <c r="F68" s="130">
        <v>0.66931027291667888</v>
      </c>
      <c r="G68" s="61">
        <v>-4.9353826717336347E-2</v>
      </c>
      <c r="H68" s="37"/>
      <c r="I68" s="38" t="s">
        <v>7</v>
      </c>
      <c r="J68" s="39" t="s">
        <v>8</v>
      </c>
      <c r="K68" s="130">
        <v>0.68929785592153381</v>
      </c>
      <c r="L68" s="41">
        <v>-5.0279689747056211E-2</v>
      </c>
      <c r="M68" s="42" t="s">
        <v>9</v>
      </c>
    </row>
    <row r="69" spans="3:13" ht="24.75" customHeight="1" x14ac:dyDescent="0.2">
      <c r="C69" s="43"/>
      <c r="D69" s="44"/>
      <c r="E69" s="45" t="s">
        <v>10</v>
      </c>
      <c r="F69" s="131">
        <v>0.74220685380385765</v>
      </c>
      <c r="G69" s="47">
        <v>-4.4929824371402916E-2</v>
      </c>
      <c r="H69" s="48"/>
      <c r="I69" s="43"/>
      <c r="J69" s="45" t="s">
        <v>10</v>
      </c>
      <c r="K69" s="131">
        <v>0.76303701572915394</v>
      </c>
      <c r="L69" s="49">
        <v>-4.6381241830189657E-2</v>
      </c>
      <c r="M69" s="42"/>
    </row>
    <row r="70" spans="3:13" ht="24.75" customHeight="1" thickBot="1" x14ac:dyDescent="0.25">
      <c r="C70" s="53"/>
      <c r="D70" s="99"/>
      <c r="E70" s="54" t="s">
        <v>11</v>
      </c>
      <c r="F70" s="132">
        <v>0.57664993493214356</v>
      </c>
      <c r="G70" s="71">
        <v>-4.3339123450138128E-2</v>
      </c>
      <c r="H70" s="48"/>
      <c r="I70" s="53"/>
      <c r="J70" s="54" t="s">
        <v>11</v>
      </c>
      <c r="K70" s="132">
        <v>0.59237707735194267</v>
      </c>
      <c r="L70" s="56">
        <v>-4.7900958805043969E-2</v>
      </c>
      <c r="M70" s="42"/>
    </row>
    <row r="71" spans="3:13" ht="24.75" hidden="1" customHeight="1" x14ac:dyDescent="0.2">
      <c r="C71" s="57" t="s">
        <v>12</v>
      </c>
      <c r="D71" s="58"/>
      <c r="E71" s="59" t="s">
        <v>8</v>
      </c>
      <c r="F71" s="133">
        <v>0.4452061855670103</v>
      </c>
      <c r="G71" s="61">
        <v>-0.20735523041517756</v>
      </c>
      <c r="H71" s="62"/>
      <c r="I71" s="57" t="s">
        <v>12</v>
      </c>
      <c r="J71" s="59" t="s">
        <v>8</v>
      </c>
      <c r="K71" s="133">
        <v>0.41021879467666406</v>
      </c>
      <c r="L71" s="41">
        <v>-0.2299862175495202</v>
      </c>
      <c r="M71" s="42"/>
    </row>
    <row r="72" spans="3:13" ht="43.5" customHeight="1" thickBot="1" x14ac:dyDescent="0.25">
      <c r="C72" s="63"/>
      <c r="D72" s="64"/>
      <c r="E72" s="65" t="s">
        <v>10</v>
      </c>
      <c r="F72" s="134">
        <v>0.67714621716973733</v>
      </c>
      <c r="G72" s="47">
        <v>3.9274018729354987E-2</v>
      </c>
      <c r="H72" s="62"/>
      <c r="I72" s="63"/>
      <c r="J72" s="65" t="s">
        <v>10</v>
      </c>
      <c r="K72" s="134">
        <v>0.5688051795173632</v>
      </c>
      <c r="L72" s="49">
        <v>-6.8623753501540485E-2</v>
      </c>
      <c r="M72" s="42"/>
    </row>
    <row r="73" spans="3:13" ht="24.75" hidden="1" customHeight="1" x14ac:dyDescent="0.2">
      <c r="C73" s="67"/>
      <c r="D73" s="68"/>
      <c r="E73" s="69" t="s">
        <v>11</v>
      </c>
      <c r="F73" s="135">
        <v>0</v>
      </c>
      <c r="G73" s="71" t="s">
        <v>38</v>
      </c>
      <c r="H73" s="62"/>
      <c r="I73" s="67"/>
      <c r="J73" s="69" t="s">
        <v>11</v>
      </c>
      <c r="K73" s="135">
        <v>0</v>
      </c>
      <c r="L73" s="56" t="s">
        <v>38</v>
      </c>
      <c r="M73" s="42"/>
    </row>
    <row r="74" spans="3:13" ht="24.75" customHeight="1" x14ac:dyDescent="0.2">
      <c r="C74" s="72" t="s">
        <v>13</v>
      </c>
      <c r="D74" s="73"/>
      <c r="E74" s="74" t="s">
        <v>8</v>
      </c>
      <c r="F74" s="136">
        <v>0.39488176222870103</v>
      </c>
      <c r="G74" s="61">
        <v>-0.20826364871523118</v>
      </c>
      <c r="H74" s="62"/>
      <c r="I74" s="72" t="s">
        <v>13</v>
      </c>
      <c r="J74" s="74" t="s">
        <v>8</v>
      </c>
      <c r="K74" s="136">
        <v>0.3706020276190079</v>
      </c>
      <c r="L74" s="41">
        <v>-0.18436888425808795</v>
      </c>
      <c r="M74" s="42"/>
    </row>
    <row r="75" spans="3:13" ht="24.75" customHeight="1" x14ac:dyDescent="0.2">
      <c r="C75" s="76"/>
      <c r="D75" s="77"/>
      <c r="E75" s="78" t="s">
        <v>10</v>
      </c>
      <c r="F75" s="137">
        <v>0.52599681020733657</v>
      </c>
      <c r="G75" s="47">
        <v>-4.5817777329906773E-2</v>
      </c>
      <c r="H75" s="62"/>
      <c r="I75" s="76"/>
      <c r="J75" s="78" t="s">
        <v>10</v>
      </c>
      <c r="K75" s="137">
        <v>0.47370168776980492</v>
      </c>
      <c r="L75" s="49">
        <v>-6.2311289243038415E-2</v>
      </c>
      <c r="M75" s="42"/>
    </row>
    <row r="76" spans="3:13" ht="24.75" customHeight="1" thickBot="1" x14ac:dyDescent="0.25">
      <c r="C76" s="80"/>
      <c r="D76" s="81"/>
      <c r="E76" s="82" t="s">
        <v>11</v>
      </c>
      <c r="F76" s="138">
        <v>0.30518276050190946</v>
      </c>
      <c r="G76" s="71">
        <v>-0.28348395360421264</v>
      </c>
      <c r="H76" s="62"/>
      <c r="I76" s="80"/>
      <c r="J76" s="82" t="s">
        <v>11</v>
      </c>
      <c r="K76" s="138">
        <v>0.2819416897132907</v>
      </c>
      <c r="L76" s="56">
        <v>-0.27709966564923805</v>
      </c>
      <c r="M76" s="42"/>
    </row>
    <row r="77" spans="3:13" ht="24.75" customHeight="1" x14ac:dyDescent="0.2">
      <c r="C77" s="57" t="s">
        <v>14</v>
      </c>
      <c r="D77" s="58"/>
      <c r="E77" s="59" t="s">
        <v>8</v>
      </c>
      <c r="F77" s="133">
        <v>0.71461965604614808</v>
      </c>
      <c r="G77" s="61">
        <v>-2.6929570480683562E-2</v>
      </c>
      <c r="H77" s="62"/>
      <c r="I77" s="57" t="s">
        <v>14</v>
      </c>
      <c r="J77" s="59" t="s">
        <v>8</v>
      </c>
      <c r="K77" s="133">
        <v>0.7210619192058404</v>
      </c>
      <c r="L77" s="41">
        <v>-2.5544631640040394E-2</v>
      </c>
      <c r="M77" s="42"/>
    </row>
    <row r="78" spans="3:13" ht="24.75" customHeight="1" x14ac:dyDescent="0.2">
      <c r="C78" s="63"/>
      <c r="D78" s="64"/>
      <c r="E78" s="65" t="s">
        <v>10</v>
      </c>
      <c r="F78" s="134">
        <v>0.77284601735015768</v>
      </c>
      <c r="G78" s="47">
        <v>1.9629839513486402E-3</v>
      </c>
      <c r="H78" s="62"/>
      <c r="I78" s="63"/>
      <c r="J78" s="65" t="s">
        <v>10</v>
      </c>
      <c r="K78" s="134">
        <v>0.75426523725052042</v>
      </c>
      <c r="L78" s="49">
        <v>-2.6074694429163214E-2</v>
      </c>
      <c r="M78" s="42"/>
    </row>
    <row r="79" spans="3:13" ht="24.75" customHeight="1" thickBot="1" x14ac:dyDescent="0.25">
      <c r="C79" s="67"/>
      <c r="D79" s="68"/>
      <c r="E79" s="69" t="s">
        <v>11</v>
      </c>
      <c r="F79" s="135">
        <v>0.60345974091151466</v>
      </c>
      <c r="G79" s="71">
        <v>-7.6985021449001656E-2</v>
      </c>
      <c r="H79" s="62"/>
      <c r="I79" s="67"/>
      <c r="J79" s="69" t="s">
        <v>11</v>
      </c>
      <c r="K79" s="135">
        <v>0.65586415257352026</v>
      </c>
      <c r="L79" s="56">
        <v>-1.2970382901535293E-2</v>
      </c>
      <c r="M79" s="42"/>
    </row>
    <row r="80" spans="3:13" ht="24.75" customHeight="1" x14ac:dyDescent="0.2">
      <c r="C80" s="84" t="s">
        <v>15</v>
      </c>
      <c r="D80" s="85"/>
      <c r="E80" s="86" t="s">
        <v>8</v>
      </c>
      <c r="F80" s="139">
        <v>0.6695603784084585</v>
      </c>
      <c r="G80" s="61">
        <v>-4.7335064584050124E-2</v>
      </c>
      <c r="H80" s="62"/>
      <c r="I80" s="84" t="s">
        <v>15</v>
      </c>
      <c r="J80" s="86" t="s">
        <v>8</v>
      </c>
      <c r="K80" s="139">
        <v>0.69383161468905907</v>
      </c>
      <c r="L80" s="41">
        <v>-4.9135754319758251E-2</v>
      </c>
      <c r="M80" s="42"/>
    </row>
    <row r="81" spans="3:13" ht="24.75" customHeight="1" x14ac:dyDescent="0.2">
      <c r="C81" s="88"/>
      <c r="D81" s="89"/>
      <c r="E81" s="90" t="s">
        <v>10</v>
      </c>
      <c r="F81" s="140">
        <v>0.73839153527278112</v>
      </c>
      <c r="G81" s="47">
        <v>-6.0447073047519062E-2</v>
      </c>
      <c r="H81" s="62"/>
      <c r="I81" s="88"/>
      <c r="J81" s="90" t="s">
        <v>10</v>
      </c>
      <c r="K81" s="140">
        <v>0.77571349823990587</v>
      </c>
      <c r="L81" s="49">
        <v>-5.0452355290743545E-2</v>
      </c>
      <c r="M81" s="42"/>
    </row>
    <row r="82" spans="3:13" ht="24.75" customHeight="1" thickBot="1" x14ac:dyDescent="0.25">
      <c r="C82" s="92"/>
      <c r="D82" s="93"/>
      <c r="E82" s="94" t="s">
        <v>11</v>
      </c>
      <c r="F82" s="141">
        <v>0.58973892608807621</v>
      </c>
      <c r="G82" s="71">
        <v>-1.8545337372635418E-2</v>
      </c>
      <c r="H82" s="62"/>
      <c r="I82" s="92"/>
      <c r="J82" s="94" t="s">
        <v>11</v>
      </c>
      <c r="K82" s="141">
        <v>0.59629550922962915</v>
      </c>
      <c r="L82" s="56">
        <v>-4.1138511559663082E-2</v>
      </c>
      <c r="M82" s="42"/>
    </row>
    <row r="83" spans="3:13" ht="5.25" customHeight="1" thickBot="1" x14ac:dyDescent="0.25"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</row>
    <row r="84" spans="3:13" ht="20.100000000000001" customHeight="1" thickBot="1" x14ac:dyDescent="0.25">
      <c r="C84" s="27" t="s">
        <v>19</v>
      </c>
      <c r="D84" s="28"/>
      <c r="E84" s="28"/>
      <c r="F84" s="28"/>
      <c r="G84" s="28"/>
      <c r="H84" s="28"/>
      <c r="I84" s="28"/>
      <c r="J84" s="28"/>
      <c r="K84" s="28"/>
      <c r="L84" s="28"/>
      <c r="M84" s="29"/>
    </row>
    <row r="85" spans="3:13" ht="5.25" customHeight="1" thickBot="1" x14ac:dyDescent="0.25">
      <c r="C85" s="142"/>
      <c r="D85" s="30"/>
      <c r="E85" s="30"/>
      <c r="F85" s="30"/>
      <c r="G85" s="30"/>
      <c r="H85" s="30"/>
      <c r="I85" s="30"/>
      <c r="J85" s="30"/>
      <c r="K85" s="30"/>
      <c r="L85" s="30"/>
      <c r="M85" s="97"/>
    </row>
    <row r="86" spans="3:13" ht="33.75" customHeight="1" x14ac:dyDescent="0.2">
      <c r="C86" s="57" t="s">
        <v>7</v>
      </c>
      <c r="D86" s="58"/>
      <c r="E86" s="59" t="s">
        <v>20</v>
      </c>
      <c r="F86" s="60">
        <v>54005</v>
      </c>
      <c r="G86" s="61">
        <v>5.2646967098082031E-2</v>
      </c>
      <c r="H86" s="143"/>
      <c r="I86" s="57" t="s">
        <v>7</v>
      </c>
      <c r="J86" s="59" t="s">
        <v>20</v>
      </c>
      <c r="K86" s="60">
        <v>615126</v>
      </c>
      <c r="L86" s="41">
        <v>6.3449885464839761E-2</v>
      </c>
      <c r="M86" s="42" t="s">
        <v>9</v>
      </c>
    </row>
    <row r="87" spans="3:13" ht="33.75" customHeight="1" x14ac:dyDescent="0.2">
      <c r="C87" s="63"/>
      <c r="D87" s="64"/>
      <c r="E87" s="90" t="s">
        <v>21</v>
      </c>
      <c r="F87" s="91">
        <v>178727</v>
      </c>
      <c r="G87" s="47">
        <v>-7.882908066283445E-4</v>
      </c>
      <c r="H87" s="62"/>
      <c r="I87" s="63"/>
      <c r="J87" s="90" t="s">
        <v>21</v>
      </c>
      <c r="K87" s="91">
        <v>2099235</v>
      </c>
      <c r="L87" s="49">
        <v>4.4035417056864645E-4</v>
      </c>
      <c r="M87" s="42"/>
    </row>
    <row r="88" spans="3:13" ht="33.75" customHeight="1" x14ac:dyDescent="0.2">
      <c r="C88" s="63"/>
      <c r="D88" s="64"/>
      <c r="E88" s="65" t="s">
        <v>22</v>
      </c>
      <c r="F88" s="66">
        <v>54683</v>
      </c>
      <c r="G88" s="47">
        <v>1.8137183057305162E-3</v>
      </c>
      <c r="H88" s="62"/>
      <c r="I88" s="63"/>
      <c r="J88" s="65" t="s">
        <v>22</v>
      </c>
      <c r="K88" s="66">
        <v>620215</v>
      </c>
      <c r="L88" s="49">
        <v>-4.523846909338336E-2</v>
      </c>
      <c r="M88" s="42"/>
    </row>
    <row r="89" spans="3:13" ht="33.75" customHeight="1" x14ac:dyDescent="0.2">
      <c r="C89" s="63"/>
      <c r="D89" s="64"/>
      <c r="E89" s="90" t="s">
        <v>23</v>
      </c>
      <c r="F89" s="91">
        <v>14878</v>
      </c>
      <c r="G89" s="47">
        <v>-1.2281749983403034E-2</v>
      </c>
      <c r="H89" s="62"/>
      <c r="I89" s="63"/>
      <c r="J89" s="90" t="s">
        <v>23</v>
      </c>
      <c r="K89" s="91">
        <v>153658</v>
      </c>
      <c r="L89" s="49">
        <v>-8.9552769416727851E-2</v>
      </c>
      <c r="M89" s="42"/>
    </row>
    <row r="90" spans="3:13" ht="33.75" customHeight="1" thickBot="1" x14ac:dyDescent="0.25">
      <c r="C90" s="67"/>
      <c r="D90" s="68"/>
      <c r="E90" s="69" t="s">
        <v>24</v>
      </c>
      <c r="F90" s="70">
        <v>5408</v>
      </c>
      <c r="G90" s="71">
        <v>8.9443996776792822E-2</v>
      </c>
      <c r="H90" s="144"/>
      <c r="I90" s="67"/>
      <c r="J90" s="69" t="s">
        <v>24</v>
      </c>
      <c r="K90" s="70">
        <v>51108</v>
      </c>
      <c r="L90" s="56">
        <v>-1.3530467679360725E-2</v>
      </c>
      <c r="M90" s="42"/>
    </row>
    <row r="91" spans="3:13" ht="5.25" customHeight="1" thickBot="1" x14ac:dyDescent="0.25"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3:13" ht="20.100000000000001" customHeight="1" thickBot="1" x14ac:dyDescent="0.25">
      <c r="C92" s="27" t="s">
        <v>25</v>
      </c>
      <c r="D92" s="28"/>
      <c r="E92" s="28"/>
      <c r="F92" s="28"/>
      <c r="G92" s="28"/>
      <c r="H92" s="28"/>
      <c r="I92" s="28"/>
      <c r="J92" s="28"/>
      <c r="K92" s="28"/>
      <c r="L92" s="28"/>
      <c r="M92" s="29"/>
    </row>
    <row r="93" spans="3:13" ht="5.25" customHeight="1" thickBot="1" x14ac:dyDescent="0.25">
      <c r="C93" s="142"/>
      <c r="D93" s="30"/>
      <c r="E93" s="30"/>
      <c r="F93" s="30"/>
      <c r="G93" s="30"/>
      <c r="H93" s="30"/>
      <c r="I93" s="30"/>
      <c r="J93" s="30"/>
      <c r="K93" s="30"/>
      <c r="L93" s="30"/>
      <c r="M93" s="97"/>
    </row>
    <row r="94" spans="3:13" s="145" customFormat="1" ht="33.75" customHeight="1" x14ac:dyDescent="0.2">
      <c r="C94" s="57" t="s">
        <v>7</v>
      </c>
      <c r="D94" s="58"/>
      <c r="E94" s="59" t="s">
        <v>20</v>
      </c>
      <c r="F94" s="60">
        <v>362905</v>
      </c>
      <c r="G94" s="61">
        <v>2.1470570850350645E-2</v>
      </c>
      <c r="H94" s="143"/>
      <c r="I94" s="57" t="s">
        <v>7</v>
      </c>
      <c r="J94" s="59" t="s">
        <v>20</v>
      </c>
      <c r="K94" s="60">
        <v>3990432</v>
      </c>
      <c r="L94" s="41">
        <v>2.6130582195347474E-2</v>
      </c>
      <c r="M94" s="42" t="s">
        <v>9</v>
      </c>
    </row>
    <row r="95" spans="3:13" s="145" customFormat="1" ht="33.75" customHeight="1" x14ac:dyDescent="0.2">
      <c r="C95" s="63"/>
      <c r="D95" s="64"/>
      <c r="E95" s="90" t="s">
        <v>21</v>
      </c>
      <c r="F95" s="91">
        <v>1333108</v>
      </c>
      <c r="G95" s="47">
        <v>-2.0195709789752381E-2</v>
      </c>
      <c r="H95" s="62"/>
      <c r="I95" s="63"/>
      <c r="J95" s="90" t="s">
        <v>21</v>
      </c>
      <c r="K95" s="91">
        <v>15331956</v>
      </c>
      <c r="L95" s="49">
        <v>-3.2285905423411809E-2</v>
      </c>
      <c r="M95" s="42" t="s">
        <v>26</v>
      </c>
    </row>
    <row r="96" spans="3:13" s="145" customFormat="1" ht="33.75" customHeight="1" x14ac:dyDescent="0.2">
      <c r="C96" s="63"/>
      <c r="D96" s="64"/>
      <c r="E96" s="65" t="s">
        <v>22</v>
      </c>
      <c r="F96" s="66">
        <v>356355</v>
      </c>
      <c r="G96" s="47">
        <v>-7.0088775462274322E-2</v>
      </c>
      <c r="H96" s="62"/>
      <c r="I96" s="63"/>
      <c r="J96" s="65" t="s">
        <v>22</v>
      </c>
      <c r="K96" s="66">
        <v>4099484</v>
      </c>
      <c r="L96" s="49">
        <v>-5.3489645720449674E-2</v>
      </c>
      <c r="M96" s="42" t="s">
        <v>26</v>
      </c>
    </row>
    <row r="97" spans="3:15" s="145" customFormat="1" ht="33.75" customHeight="1" x14ac:dyDescent="0.2">
      <c r="C97" s="63"/>
      <c r="D97" s="64"/>
      <c r="E97" s="90" t="s">
        <v>23</v>
      </c>
      <c r="F97" s="91">
        <v>57318</v>
      </c>
      <c r="G97" s="47">
        <v>-2.4258209488790206E-2</v>
      </c>
      <c r="H97" s="62"/>
      <c r="I97" s="63"/>
      <c r="J97" s="90" t="s">
        <v>23</v>
      </c>
      <c r="K97" s="91">
        <v>595581</v>
      </c>
      <c r="L97" s="49">
        <v>-1.0131083472412206E-3</v>
      </c>
      <c r="M97" s="42" t="s">
        <v>26</v>
      </c>
    </row>
    <row r="98" spans="3:15" s="145" customFormat="1" ht="33.75" customHeight="1" thickBot="1" x14ac:dyDescent="0.25">
      <c r="C98" s="67"/>
      <c r="D98" s="68"/>
      <c r="E98" s="69" t="s">
        <v>24</v>
      </c>
      <c r="F98" s="70">
        <v>21702</v>
      </c>
      <c r="G98" s="71">
        <v>6.7433967832374098E-2</v>
      </c>
      <c r="H98" s="144"/>
      <c r="I98" s="67"/>
      <c r="J98" s="69" t="s">
        <v>24</v>
      </c>
      <c r="K98" s="70">
        <v>214035</v>
      </c>
      <c r="L98" s="56">
        <v>-3.7377000344445133E-3</v>
      </c>
      <c r="M98" s="42" t="s">
        <v>26</v>
      </c>
    </row>
    <row r="99" spans="3:15" ht="5.25" customHeight="1" thickBot="1" x14ac:dyDescent="0.25"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</row>
    <row r="100" spans="3:15" ht="20.100000000000001" customHeight="1" thickBot="1" x14ac:dyDescent="0.25">
      <c r="C100" s="27" t="s">
        <v>27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9"/>
    </row>
    <row r="101" spans="3:15" ht="5.25" customHeight="1" thickBot="1" x14ac:dyDescent="0.25">
      <c r="C101" s="142"/>
      <c r="D101" s="30"/>
      <c r="E101" s="30"/>
      <c r="F101" s="30"/>
      <c r="G101" s="30"/>
      <c r="H101" s="30"/>
      <c r="I101" s="30"/>
      <c r="J101" s="30"/>
      <c r="K101" s="30"/>
      <c r="L101" s="30"/>
      <c r="M101" s="97"/>
    </row>
    <row r="102" spans="3:15" ht="33.75" customHeight="1" x14ac:dyDescent="0.2">
      <c r="C102" s="57" t="s">
        <v>7</v>
      </c>
      <c r="D102" s="58"/>
      <c r="E102" s="59" t="s">
        <v>20</v>
      </c>
      <c r="F102" s="146">
        <v>6.7198407554856034</v>
      </c>
      <c r="G102" s="101">
        <v>-0.20509687121017084</v>
      </c>
      <c r="H102" s="143"/>
      <c r="I102" s="57" t="s">
        <v>7</v>
      </c>
      <c r="J102" s="59" t="s">
        <v>20</v>
      </c>
      <c r="K102" s="146">
        <v>6.4871782366539534</v>
      </c>
      <c r="L102" s="102">
        <v>-0.23593193320385009</v>
      </c>
      <c r="M102" s="42" t="s">
        <v>9</v>
      </c>
    </row>
    <row r="103" spans="3:15" ht="33.75" customHeight="1" x14ac:dyDescent="0.2">
      <c r="C103" s="63"/>
      <c r="D103" s="64"/>
      <c r="E103" s="78" t="s">
        <v>21</v>
      </c>
      <c r="F103" s="147">
        <v>7.4589066005695841</v>
      </c>
      <c r="G103" s="104">
        <v>-0.14774187763780944</v>
      </c>
      <c r="H103" s="62"/>
      <c r="I103" s="63"/>
      <c r="J103" s="78" t="s">
        <v>21</v>
      </c>
      <c r="K103" s="147">
        <v>7.3035920228083091</v>
      </c>
      <c r="L103" s="105">
        <v>-0.24699366253576027</v>
      </c>
      <c r="M103" s="42" t="s">
        <v>26</v>
      </c>
    </row>
    <row r="104" spans="3:15" ht="33.75" customHeight="1" x14ac:dyDescent="0.2">
      <c r="C104" s="63"/>
      <c r="D104" s="64"/>
      <c r="E104" s="65" t="s">
        <v>22</v>
      </c>
      <c r="F104" s="148">
        <v>6.5167419490518075</v>
      </c>
      <c r="G104" s="104">
        <v>-0.50388680662751284</v>
      </c>
      <c r="H104" s="62"/>
      <c r="I104" s="63"/>
      <c r="J104" s="65" t="s">
        <v>22</v>
      </c>
      <c r="K104" s="148">
        <v>6.6097788670057964</v>
      </c>
      <c r="L104" s="105">
        <v>-5.7620556025536729E-2</v>
      </c>
      <c r="M104" s="42" t="s">
        <v>26</v>
      </c>
      <c r="O104" s="149"/>
    </row>
    <row r="105" spans="3:15" ht="33.75" customHeight="1" x14ac:dyDescent="0.2">
      <c r="C105" s="63"/>
      <c r="D105" s="64"/>
      <c r="E105" s="78" t="s">
        <v>23</v>
      </c>
      <c r="F105" s="147">
        <v>3.8525339427342384</v>
      </c>
      <c r="G105" s="104">
        <v>-4.7286810103841503E-2</v>
      </c>
      <c r="H105" s="62"/>
      <c r="I105" s="63"/>
      <c r="J105" s="78" t="s">
        <v>23</v>
      </c>
      <c r="K105" s="147">
        <v>3.8760168686303347</v>
      </c>
      <c r="L105" s="105">
        <v>0.34352925220106911</v>
      </c>
      <c r="M105" s="42" t="s">
        <v>26</v>
      </c>
    </row>
    <row r="106" spans="3:15" ht="33.75" customHeight="1" thickBot="1" x14ac:dyDescent="0.25">
      <c r="C106" s="67"/>
      <c r="D106" s="68"/>
      <c r="E106" s="69" t="s">
        <v>24</v>
      </c>
      <c r="F106" s="150">
        <v>4.0129437869822482</v>
      </c>
      <c r="G106" s="107">
        <v>-8.2745173533465E-2</v>
      </c>
      <c r="H106" s="144"/>
      <c r="I106" s="67"/>
      <c r="J106" s="69" t="s">
        <v>24</v>
      </c>
      <c r="K106" s="150">
        <v>4.1878962197698995</v>
      </c>
      <c r="L106" s="108">
        <v>4.1164956861910795E-2</v>
      </c>
      <c r="M106" s="42" t="s">
        <v>26</v>
      </c>
    </row>
    <row r="107" spans="3:15" ht="5.25" customHeight="1" thickBot="1" x14ac:dyDescent="0.25"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3:15" ht="20.100000000000001" customHeight="1" thickBot="1" x14ac:dyDescent="0.25">
      <c r="C108" s="27" t="s">
        <v>28</v>
      </c>
      <c r="D108" s="28"/>
      <c r="E108" s="28"/>
      <c r="F108" s="28"/>
      <c r="G108" s="28"/>
      <c r="H108" s="28"/>
      <c r="I108" s="28"/>
      <c r="J108" s="28"/>
      <c r="K108" s="28"/>
      <c r="L108" s="28"/>
      <c r="M108" s="29"/>
    </row>
    <row r="109" spans="3:15" ht="5.25" customHeight="1" thickBot="1" x14ac:dyDescent="0.25"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151"/>
    </row>
    <row r="110" spans="3:15" ht="33.75" customHeight="1" x14ac:dyDescent="0.2">
      <c r="C110" s="57" t="s">
        <v>7</v>
      </c>
      <c r="D110" s="58"/>
      <c r="E110" s="59" t="s">
        <v>20</v>
      </c>
      <c r="F110" s="133">
        <v>0.71633998539310317</v>
      </c>
      <c r="G110" s="61">
        <v>-9.4062607945419541E-2</v>
      </c>
      <c r="H110" s="143"/>
      <c r="I110" s="57" t="s">
        <v>7</v>
      </c>
      <c r="J110" s="59" t="s">
        <v>20</v>
      </c>
      <c r="K110" s="133">
        <v>0.73838993648313522</v>
      </c>
      <c r="L110" s="41">
        <v>-5.0183341123595793E-2</v>
      </c>
      <c r="M110" s="42" t="s">
        <v>9</v>
      </c>
    </row>
    <row r="111" spans="3:15" ht="33.75" customHeight="1" x14ac:dyDescent="0.2">
      <c r="C111" s="63"/>
      <c r="D111" s="64"/>
      <c r="E111" s="78" t="s">
        <v>21</v>
      </c>
      <c r="F111" s="137">
        <v>0.78034828928498257</v>
      </c>
      <c r="G111" s="47">
        <v>-2.3912238487362569E-2</v>
      </c>
      <c r="H111" s="62"/>
      <c r="I111" s="63"/>
      <c r="J111" s="78" t="s">
        <v>21</v>
      </c>
      <c r="K111" s="137">
        <v>0.80392415951092411</v>
      </c>
      <c r="L111" s="49">
        <v>-4.4543058318035733E-2</v>
      </c>
      <c r="M111" s="42" t="s">
        <v>26</v>
      </c>
    </row>
    <row r="112" spans="3:15" ht="33.75" customHeight="1" x14ac:dyDescent="0.2">
      <c r="C112" s="63"/>
      <c r="D112" s="64"/>
      <c r="E112" s="65" t="s">
        <v>22</v>
      </c>
      <c r="F112" s="134">
        <v>0.67529846503695279</v>
      </c>
      <c r="G112" s="47">
        <v>-7.6908476881567545E-2</v>
      </c>
      <c r="H112" s="62"/>
      <c r="I112" s="63"/>
      <c r="J112" s="65" t="s">
        <v>22</v>
      </c>
      <c r="K112" s="134">
        <v>0.70056159642880522</v>
      </c>
      <c r="L112" s="49">
        <v>-5.6682092316396537E-2</v>
      </c>
      <c r="M112" s="42" t="s">
        <v>26</v>
      </c>
    </row>
    <row r="113" spans="3:19" ht="33.75" customHeight="1" x14ac:dyDescent="0.2">
      <c r="C113" s="63"/>
      <c r="D113" s="64"/>
      <c r="E113" s="78" t="s">
        <v>23</v>
      </c>
      <c r="F113" s="137">
        <v>0.60176377952755911</v>
      </c>
      <c r="G113" s="47">
        <v>-3.2863176460227517E-2</v>
      </c>
      <c r="H113" s="62"/>
      <c r="I113" s="63"/>
      <c r="J113" s="78" t="s">
        <v>23</v>
      </c>
      <c r="K113" s="137">
        <v>0.56432741888718962</v>
      </c>
      <c r="L113" s="49">
        <v>-5.0681896768834944E-3</v>
      </c>
      <c r="M113" s="42" t="s">
        <v>26</v>
      </c>
    </row>
    <row r="114" spans="3:19" ht="33.75" customHeight="1" thickBot="1" x14ac:dyDescent="0.25">
      <c r="C114" s="67"/>
      <c r="D114" s="68"/>
      <c r="E114" s="69" t="s">
        <v>24</v>
      </c>
      <c r="F114" s="135">
        <v>0.64245115452930723</v>
      </c>
      <c r="G114" s="71">
        <v>5.6058117375901162E-2</v>
      </c>
      <c r="H114" s="144"/>
      <c r="I114" s="67"/>
      <c r="J114" s="69" t="s">
        <v>24</v>
      </c>
      <c r="K114" s="135">
        <v>0.57242078349986092</v>
      </c>
      <c r="L114" s="56">
        <v>-8.629593267977409E-3</v>
      </c>
      <c r="M114" s="42" t="s">
        <v>26</v>
      </c>
    </row>
    <row r="115" spans="3:19" ht="5.25" customHeight="1" thickBot="1" x14ac:dyDescent="0.25">
      <c r="C115" s="152"/>
      <c r="D115" s="152"/>
      <c r="E115" s="153"/>
      <c r="F115" s="96"/>
      <c r="G115" s="154"/>
      <c r="H115" s="155"/>
      <c r="I115" s="96"/>
      <c r="J115" s="154"/>
      <c r="K115" s="153"/>
      <c r="L115" s="152"/>
      <c r="M115" s="156"/>
    </row>
    <row r="116" spans="3:19" ht="17.25" customHeight="1" thickBot="1" x14ac:dyDescent="0.25">
      <c r="C116" s="157"/>
      <c r="D116" s="158"/>
      <c r="E116" s="158"/>
      <c r="F116" s="158"/>
      <c r="G116" s="158"/>
      <c r="H116" s="158"/>
      <c r="I116" s="158"/>
      <c r="J116" s="158"/>
      <c r="K116" s="158"/>
      <c r="L116" s="158"/>
      <c r="M116" s="159"/>
    </row>
    <row r="117" spans="3:19" ht="50.25" customHeight="1" thickBot="1" x14ac:dyDescent="0.25">
      <c r="C117" s="2"/>
      <c r="D117" s="2"/>
      <c r="E117" s="3" t="str">
        <f>$E$1</f>
        <v>INDICADORES TURÍSTICOS DE TENERIFE definitivo</v>
      </c>
      <c r="F117" s="3"/>
      <c r="G117" s="3"/>
      <c r="H117" s="3"/>
      <c r="I117" s="3"/>
      <c r="J117" s="3"/>
      <c r="K117" s="3"/>
      <c r="L117" s="2"/>
      <c r="M117" s="2"/>
    </row>
    <row r="118" spans="3:19" s="1" customFormat="1" ht="9" customHeight="1" thickBot="1" x14ac:dyDescent="0.25">
      <c r="C118" s="160"/>
      <c r="D118" s="161"/>
      <c r="E118" s="162"/>
      <c r="F118" s="162"/>
      <c r="G118" s="162"/>
      <c r="H118" s="162"/>
      <c r="I118" s="162"/>
      <c r="J118" s="162"/>
      <c r="K118" s="162"/>
      <c r="L118" s="161"/>
      <c r="M118" s="163"/>
      <c r="O118" s="4"/>
      <c r="P118" s="4"/>
      <c r="Q118" s="4"/>
      <c r="R118" s="4"/>
      <c r="S118" s="4"/>
    </row>
    <row r="119" spans="3:19" ht="33" customHeight="1" thickBot="1" x14ac:dyDescent="0.25">
      <c r="C119" s="164" t="s">
        <v>29</v>
      </c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3:19" ht="20.100000000000001" customHeight="1" x14ac:dyDescent="0.2">
      <c r="C120" s="167"/>
      <c r="D120" s="168"/>
      <c r="E120" s="168"/>
      <c r="F120" s="168"/>
      <c r="G120" s="169" t="str">
        <f>C2</f>
        <v>noviembre 2018</v>
      </c>
      <c r="H120" s="170"/>
      <c r="I120" s="170"/>
      <c r="J120" s="168"/>
      <c r="K120" s="168"/>
      <c r="L120" s="168"/>
      <c r="M120" s="171"/>
    </row>
    <row r="121" spans="3:19" ht="5.25" customHeight="1" thickBot="1" x14ac:dyDescent="0.25">
      <c r="C121" s="172"/>
      <c r="D121" s="168"/>
      <c r="E121" s="168"/>
      <c r="F121" s="168"/>
      <c r="G121" s="173"/>
      <c r="H121" s="173"/>
      <c r="I121" s="173"/>
      <c r="J121" s="168"/>
      <c r="K121" s="168"/>
      <c r="L121" s="168"/>
      <c r="M121" s="174"/>
    </row>
    <row r="122" spans="3:19" ht="33" customHeight="1" thickTop="1" thickBot="1" x14ac:dyDescent="0.25">
      <c r="C122" s="175"/>
      <c r="D122" s="176" t="s">
        <v>7</v>
      </c>
      <c r="E122" s="177"/>
      <c r="F122" s="176" t="s">
        <v>30</v>
      </c>
      <c r="G122" s="177"/>
      <c r="H122" s="176" t="s">
        <v>31</v>
      </c>
      <c r="I122" s="177"/>
      <c r="J122" s="176" t="s">
        <v>32</v>
      </c>
      <c r="K122" s="177"/>
      <c r="L122" s="176" t="s">
        <v>33</v>
      </c>
      <c r="M122" s="177"/>
    </row>
    <row r="123" spans="3:19" ht="31.5" customHeight="1" thickBot="1" x14ac:dyDescent="0.25">
      <c r="C123" s="178"/>
      <c r="D123" s="179" t="s">
        <v>34</v>
      </c>
      <c r="E123" s="180" t="s">
        <v>35</v>
      </c>
      <c r="F123" s="179" t="s">
        <v>34</v>
      </c>
      <c r="G123" s="180" t="s">
        <v>35</v>
      </c>
      <c r="H123" s="179" t="s">
        <v>34</v>
      </c>
      <c r="I123" s="180" t="s">
        <v>35</v>
      </c>
      <c r="J123" s="179" t="s">
        <v>34</v>
      </c>
      <c r="K123" s="180" t="s">
        <v>35</v>
      </c>
      <c r="L123" s="179" t="s">
        <v>34</v>
      </c>
      <c r="M123" s="180" t="s">
        <v>35</v>
      </c>
    </row>
    <row r="124" spans="3:19" ht="24" customHeight="1" thickBot="1" x14ac:dyDescent="0.25">
      <c r="C124" s="181" t="s">
        <v>36</v>
      </c>
      <c r="D124" s="182">
        <v>76495</v>
      </c>
      <c r="E124" s="183">
        <v>7.0369126577673358E-2</v>
      </c>
      <c r="F124" s="182">
        <v>14713</v>
      </c>
      <c r="G124" s="183">
        <v>-6.0798486793217643E-3</v>
      </c>
      <c r="H124" s="182">
        <v>3353</v>
      </c>
      <c r="I124" s="183">
        <v>-1.1497641509433998E-2</v>
      </c>
      <c r="J124" s="182">
        <v>29923</v>
      </c>
      <c r="K124" s="183">
        <v>0.14454559363525088</v>
      </c>
      <c r="L124" s="182">
        <v>28506</v>
      </c>
      <c r="M124" s="183">
        <v>5.0834961477494778E-2</v>
      </c>
    </row>
    <row r="125" spans="3:19" ht="27" customHeight="1" thickBot="1" x14ac:dyDescent="0.25">
      <c r="C125" s="184" t="s">
        <v>37</v>
      </c>
      <c r="D125" s="185">
        <v>18139.575620260388</v>
      </c>
      <c r="E125" s="186">
        <v>0.18694709897963069</v>
      </c>
      <c r="F125" s="185" t="s">
        <v>38</v>
      </c>
      <c r="G125" s="186" t="s">
        <v>38</v>
      </c>
      <c r="H125" s="185" t="s">
        <v>38</v>
      </c>
      <c r="I125" s="186" t="s">
        <v>38</v>
      </c>
      <c r="J125" s="185" t="s">
        <v>38</v>
      </c>
      <c r="K125" s="186" t="s">
        <v>38</v>
      </c>
      <c r="L125" s="185" t="s">
        <v>38</v>
      </c>
      <c r="M125" s="186" t="s">
        <v>38</v>
      </c>
    </row>
    <row r="126" spans="3:19" ht="28.5" customHeight="1" thickBot="1" x14ac:dyDescent="0.25">
      <c r="C126" s="187" t="s">
        <v>39</v>
      </c>
      <c r="D126" s="188">
        <v>10631.307423956685</v>
      </c>
      <c r="E126" s="189">
        <v>5.1689696428117271E-2</v>
      </c>
      <c r="F126" s="188" t="s">
        <v>38</v>
      </c>
      <c r="G126" s="189" t="s">
        <v>38</v>
      </c>
      <c r="H126" s="188" t="s">
        <v>38</v>
      </c>
      <c r="I126" s="189" t="s">
        <v>38</v>
      </c>
      <c r="J126" s="188" t="s">
        <v>38</v>
      </c>
      <c r="K126" s="189" t="s">
        <v>38</v>
      </c>
      <c r="L126" s="188" t="s">
        <v>38</v>
      </c>
      <c r="M126" s="189" t="s">
        <v>38</v>
      </c>
    </row>
    <row r="127" spans="3:19" ht="27.75" customHeight="1" thickBot="1" x14ac:dyDescent="0.25">
      <c r="C127" s="187" t="s">
        <v>40</v>
      </c>
      <c r="D127" s="188">
        <v>47724.116955782927</v>
      </c>
      <c r="E127" s="189">
        <v>3.579954191235335E-2</v>
      </c>
      <c r="F127" s="188" t="s">
        <v>38</v>
      </c>
      <c r="G127" s="189" t="s">
        <v>38</v>
      </c>
      <c r="H127" s="188" t="s">
        <v>38</v>
      </c>
      <c r="I127" s="189" t="s">
        <v>38</v>
      </c>
      <c r="J127" s="188" t="s">
        <v>38</v>
      </c>
      <c r="K127" s="189" t="s">
        <v>38</v>
      </c>
      <c r="L127" s="188" t="s">
        <v>38</v>
      </c>
      <c r="M127" s="189" t="s">
        <v>38</v>
      </c>
    </row>
    <row r="128" spans="3:19" ht="24" customHeight="1" thickBot="1" x14ac:dyDescent="0.25">
      <c r="C128" s="190" t="s">
        <v>41</v>
      </c>
      <c r="D128" s="191">
        <v>11634</v>
      </c>
      <c r="E128" s="189">
        <v>4.7070470704707157E-2</v>
      </c>
      <c r="F128" s="191">
        <v>152</v>
      </c>
      <c r="G128" s="189">
        <v>-0.10588235294117643</v>
      </c>
      <c r="H128" s="191">
        <v>102</v>
      </c>
      <c r="I128" s="189">
        <v>0.78947368421052633</v>
      </c>
      <c r="J128" s="191">
        <v>992</v>
      </c>
      <c r="K128" s="189">
        <v>-2.9354207436399271E-2</v>
      </c>
      <c r="L128" s="191">
        <v>10388</v>
      </c>
      <c r="M128" s="189">
        <v>5.3336037314946294E-2</v>
      </c>
    </row>
    <row r="129" spans="3:13" ht="24" customHeight="1" thickBot="1" x14ac:dyDescent="0.25">
      <c r="C129" s="192" t="s">
        <v>42</v>
      </c>
      <c r="D129" s="188">
        <v>12837</v>
      </c>
      <c r="E129" s="189">
        <v>5.640423031727293E-3</v>
      </c>
      <c r="F129" s="188">
        <v>150</v>
      </c>
      <c r="G129" s="189">
        <v>-6.8322981366459645E-2</v>
      </c>
      <c r="H129" s="188">
        <v>64</v>
      </c>
      <c r="I129" s="189">
        <v>-5.8823529411764719E-2</v>
      </c>
      <c r="J129" s="188">
        <v>617</v>
      </c>
      <c r="K129" s="189">
        <v>-0.38545816733067728</v>
      </c>
      <c r="L129" s="188">
        <v>12006</v>
      </c>
      <c r="M129" s="189">
        <v>4.1103017689906318E-2</v>
      </c>
    </row>
    <row r="130" spans="3:13" ht="24" customHeight="1" thickBot="1" x14ac:dyDescent="0.25">
      <c r="C130" s="190" t="s">
        <v>43</v>
      </c>
      <c r="D130" s="191">
        <v>61838</v>
      </c>
      <c r="E130" s="189">
        <v>-6.2762394095090879E-2</v>
      </c>
      <c r="F130" s="191">
        <v>964</v>
      </c>
      <c r="G130" s="189">
        <v>-0.20066334991708124</v>
      </c>
      <c r="H130" s="191">
        <v>1367</v>
      </c>
      <c r="I130" s="189">
        <v>7.1316614420062763E-2</v>
      </c>
      <c r="J130" s="191">
        <v>23882</v>
      </c>
      <c r="K130" s="189">
        <v>-7.6274464299528111E-2</v>
      </c>
      <c r="L130" s="191">
        <v>35625</v>
      </c>
      <c r="M130" s="189">
        <v>-5.3608904710039096E-2</v>
      </c>
    </row>
    <row r="131" spans="3:13" ht="24" customHeight="1" thickBot="1" x14ac:dyDescent="0.25">
      <c r="C131" s="192" t="s">
        <v>44</v>
      </c>
      <c r="D131" s="188">
        <v>11067</v>
      </c>
      <c r="E131" s="189">
        <v>-2.6135163674762429E-2</v>
      </c>
      <c r="F131" s="188">
        <v>494</v>
      </c>
      <c r="G131" s="189">
        <v>-0.21958925750394942</v>
      </c>
      <c r="H131" s="188">
        <v>377</v>
      </c>
      <c r="I131" s="189">
        <v>-0.10023866348448685</v>
      </c>
      <c r="J131" s="188">
        <v>2219</v>
      </c>
      <c r="K131" s="189">
        <v>0.10563029397110113</v>
      </c>
      <c r="L131" s="188">
        <v>7977</v>
      </c>
      <c r="M131" s="189">
        <v>-3.9494280553883154E-2</v>
      </c>
    </row>
    <row r="132" spans="3:13" ht="24" customHeight="1" thickBot="1" x14ac:dyDescent="0.25">
      <c r="C132" s="190" t="s">
        <v>45</v>
      </c>
      <c r="D132" s="191">
        <v>161962</v>
      </c>
      <c r="E132" s="189">
        <v>9.3827877543577687E-2</v>
      </c>
      <c r="F132" s="191">
        <v>854</v>
      </c>
      <c r="G132" s="189">
        <v>-6.9767441860465462E-3</v>
      </c>
      <c r="H132" s="191">
        <v>339</v>
      </c>
      <c r="I132" s="189">
        <v>0.10784313725490202</v>
      </c>
      <c r="J132" s="191">
        <v>8571</v>
      </c>
      <c r="K132" s="189">
        <v>5.1527419948472541E-2</v>
      </c>
      <c r="L132" s="191">
        <v>152198</v>
      </c>
      <c r="M132" s="189">
        <v>9.6906711254612476E-2</v>
      </c>
    </row>
    <row r="133" spans="3:13" ht="24" customHeight="1" thickBot="1" x14ac:dyDescent="0.25">
      <c r="C133" s="192" t="s">
        <v>46</v>
      </c>
      <c r="D133" s="188">
        <v>7833</v>
      </c>
      <c r="E133" s="189">
        <v>0.18448510509602301</v>
      </c>
      <c r="F133" s="188">
        <v>100</v>
      </c>
      <c r="G133" s="189">
        <v>7.5268817204301008E-2</v>
      </c>
      <c r="H133" s="188">
        <v>48</v>
      </c>
      <c r="I133" s="189">
        <v>0.11627906976744184</v>
      </c>
      <c r="J133" s="188">
        <v>541</v>
      </c>
      <c r="K133" s="189">
        <v>0.18122270742358082</v>
      </c>
      <c r="L133" s="188">
        <v>7144</v>
      </c>
      <c r="M133" s="189">
        <v>0.18690812427313497</v>
      </c>
    </row>
    <row r="134" spans="3:13" ht="24" customHeight="1" thickBot="1" x14ac:dyDescent="0.25">
      <c r="C134" s="190" t="s">
        <v>47</v>
      </c>
      <c r="D134" s="191">
        <v>11673</v>
      </c>
      <c r="E134" s="189">
        <v>4.9919050188882874E-2</v>
      </c>
      <c r="F134" s="191">
        <v>566</v>
      </c>
      <c r="G134" s="189">
        <v>-0.21823204419889508</v>
      </c>
      <c r="H134" s="191">
        <v>128</v>
      </c>
      <c r="I134" s="189">
        <v>-4.4776119402985093E-2</v>
      </c>
      <c r="J134" s="191">
        <v>1233</v>
      </c>
      <c r="K134" s="189">
        <v>0.10981098109810983</v>
      </c>
      <c r="L134" s="191">
        <v>9746</v>
      </c>
      <c r="M134" s="189">
        <v>6.5253033118373605E-2</v>
      </c>
    </row>
    <row r="135" spans="3:13" ht="24" customHeight="1" thickBot="1" x14ac:dyDescent="0.25">
      <c r="C135" s="192" t="s">
        <v>48</v>
      </c>
      <c r="D135" s="188">
        <v>57917</v>
      </c>
      <c r="E135" s="189">
        <v>-4.2836602819415259E-2</v>
      </c>
      <c r="F135" s="188">
        <v>1260</v>
      </c>
      <c r="G135" s="189">
        <v>5.7934508816120944E-2</v>
      </c>
      <c r="H135" s="188">
        <v>216</v>
      </c>
      <c r="I135" s="189">
        <v>0.61194029850746268</v>
      </c>
      <c r="J135" s="188">
        <v>9420</v>
      </c>
      <c r="K135" s="189">
        <v>3.0747346536820208E-2</v>
      </c>
      <c r="L135" s="188">
        <v>47021</v>
      </c>
      <c r="M135" s="189">
        <v>-6.0425616944749683E-2</v>
      </c>
    </row>
    <row r="136" spans="3:13" ht="24" customHeight="1" thickBot="1" x14ac:dyDescent="0.25">
      <c r="C136" s="193" t="s">
        <v>49</v>
      </c>
      <c r="D136" s="191">
        <v>19596</v>
      </c>
      <c r="E136" s="189">
        <v>-0.16152496683924522</v>
      </c>
      <c r="F136" s="191">
        <v>473</v>
      </c>
      <c r="G136" s="189">
        <v>0.12351543942992871</v>
      </c>
      <c r="H136" s="191">
        <v>74</v>
      </c>
      <c r="I136" s="189">
        <v>0.25423728813559321</v>
      </c>
      <c r="J136" s="191">
        <v>2352</v>
      </c>
      <c r="K136" s="189">
        <v>-3.0902348578491945E-2</v>
      </c>
      <c r="L136" s="191">
        <v>16697</v>
      </c>
      <c r="M136" s="189">
        <v>-0.18407935887412041</v>
      </c>
    </row>
    <row r="137" spans="3:13" ht="24" customHeight="1" thickBot="1" x14ac:dyDescent="0.25">
      <c r="C137" s="187" t="s">
        <v>50</v>
      </c>
      <c r="D137" s="188">
        <v>11070</v>
      </c>
      <c r="E137" s="189">
        <v>7.4131573840481302E-2</v>
      </c>
      <c r="F137" s="188">
        <v>213</v>
      </c>
      <c r="G137" s="189">
        <v>-0.19622641509433958</v>
      </c>
      <c r="H137" s="188">
        <v>64</v>
      </c>
      <c r="I137" s="189">
        <v>1.064516129032258</v>
      </c>
      <c r="J137" s="188">
        <v>681</v>
      </c>
      <c r="K137" s="189">
        <v>0.18024263431542464</v>
      </c>
      <c r="L137" s="188">
        <v>10112</v>
      </c>
      <c r="M137" s="189">
        <v>7.1981342096893774E-2</v>
      </c>
    </row>
    <row r="138" spans="3:13" ht="24" customHeight="1" thickBot="1" x14ac:dyDescent="0.25">
      <c r="C138" s="193" t="s">
        <v>51</v>
      </c>
      <c r="D138" s="191">
        <v>10243</v>
      </c>
      <c r="E138" s="189">
        <v>7.0659558900386665E-2</v>
      </c>
      <c r="F138" s="191">
        <v>343</v>
      </c>
      <c r="G138" s="189">
        <v>0.98265895953757232</v>
      </c>
      <c r="H138" s="191">
        <v>35</v>
      </c>
      <c r="I138" s="189">
        <v>0.2068965517241379</v>
      </c>
      <c r="J138" s="191">
        <v>1583</v>
      </c>
      <c r="K138" s="189">
        <v>0.10621942697414388</v>
      </c>
      <c r="L138" s="191">
        <v>8282</v>
      </c>
      <c r="M138" s="189">
        <v>4.3861860347869985E-2</v>
      </c>
    </row>
    <row r="139" spans="3:13" ht="24" customHeight="1" thickBot="1" x14ac:dyDescent="0.25">
      <c r="C139" s="187" t="s">
        <v>52</v>
      </c>
      <c r="D139" s="188">
        <v>17008</v>
      </c>
      <c r="E139" s="189">
        <v>-1.4885606718795241E-2</v>
      </c>
      <c r="F139" s="188">
        <v>231</v>
      </c>
      <c r="G139" s="189">
        <v>-0.30421686746987953</v>
      </c>
      <c r="H139" s="188">
        <v>43</v>
      </c>
      <c r="I139" s="189">
        <v>1.8666666666666667</v>
      </c>
      <c r="J139" s="188">
        <v>4804</v>
      </c>
      <c r="K139" s="189">
        <v>2.1258503401360596E-2</v>
      </c>
      <c r="L139" s="188">
        <v>11930</v>
      </c>
      <c r="M139" s="189">
        <v>-2.325200589487475E-2</v>
      </c>
    </row>
    <row r="140" spans="3:13" ht="24" customHeight="1" thickBot="1" x14ac:dyDescent="0.25">
      <c r="C140" s="190" t="s">
        <v>53</v>
      </c>
      <c r="D140" s="191">
        <v>5520</v>
      </c>
      <c r="E140" s="189">
        <v>-7.2411296162200323E-4</v>
      </c>
      <c r="F140" s="191">
        <v>117</v>
      </c>
      <c r="G140" s="189">
        <v>-0.24025974025974028</v>
      </c>
      <c r="H140" s="191">
        <v>164</v>
      </c>
      <c r="I140" s="189">
        <v>0.46428571428571419</v>
      </c>
      <c r="J140" s="191">
        <v>993</v>
      </c>
      <c r="K140" s="189">
        <v>-8.8990825688073372E-2</v>
      </c>
      <c r="L140" s="191">
        <v>4246</v>
      </c>
      <c r="M140" s="189">
        <v>1.8714011516314688E-2</v>
      </c>
    </row>
    <row r="141" spans="3:13" ht="24" customHeight="1" thickBot="1" x14ac:dyDescent="0.25">
      <c r="C141" s="192" t="s">
        <v>54</v>
      </c>
      <c r="D141" s="188">
        <v>3686</v>
      </c>
      <c r="E141" s="189">
        <v>-6.5652724968314313E-2</v>
      </c>
      <c r="F141" s="188">
        <v>73</v>
      </c>
      <c r="G141" s="189">
        <v>-0.23157894736842111</v>
      </c>
      <c r="H141" s="188">
        <v>95</v>
      </c>
      <c r="I141" s="189">
        <v>1.7142857142857144</v>
      </c>
      <c r="J141" s="188">
        <v>801</v>
      </c>
      <c r="K141" s="189">
        <v>-8.8737201365187701E-2</v>
      </c>
      <c r="L141" s="188">
        <v>2717</v>
      </c>
      <c r="M141" s="189">
        <v>-7.4591280653950931E-2</v>
      </c>
    </row>
    <row r="142" spans="3:13" ht="24" customHeight="1" thickBot="1" x14ac:dyDescent="0.25">
      <c r="C142" s="190" t="s">
        <v>55</v>
      </c>
      <c r="D142" s="191">
        <v>7560</v>
      </c>
      <c r="E142" s="189">
        <v>0.11883972177001634</v>
      </c>
      <c r="F142" s="191">
        <v>116</v>
      </c>
      <c r="G142" s="189">
        <v>-0.24183006535947715</v>
      </c>
      <c r="H142" s="191">
        <v>28</v>
      </c>
      <c r="I142" s="189">
        <v>-0.43999999999999995</v>
      </c>
      <c r="J142" s="191">
        <v>808</v>
      </c>
      <c r="K142" s="189">
        <v>0.21321321321321318</v>
      </c>
      <c r="L142" s="191">
        <v>6608</v>
      </c>
      <c r="M142" s="189">
        <v>0.12228260869565211</v>
      </c>
    </row>
    <row r="143" spans="3:13" ht="24" customHeight="1" thickBot="1" x14ac:dyDescent="0.25">
      <c r="C143" s="192" t="s">
        <v>56</v>
      </c>
      <c r="D143" s="188">
        <v>13684</v>
      </c>
      <c r="E143" s="189">
        <v>0.10658256509784891</v>
      </c>
      <c r="F143" s="188">
        <v>171</v>
      </c>
      <c r="G143" s="189">
        <v>-0.26923076923076927</v>
      </c>
      <c r="H143" s="188">
        <v>56</v>
      </c>
      <c r="I143" s="189">
        <v>0.39999999999999991</v>
      </c>
      <c r="J143" s="188">
        <v>1553</v>
      </c>
      <c r="K143" s="189">
        <v>0.36948853615520272</v>
      </c>
      <c r="L143" s="188">
        <v>11904</v>
      </c>
      <c r="M143" s="189">
        <v>8.6329622193831002E-2</v>
      </c>
    </row>
    <row r="144" spans="3:13" ht="24" customHeight="1" thickBot="1" x14ac:dyDescent="0.25">
      <c r="C144" s="190" t="s">
        <v>57</v>
      </c>
      <c r="D144" s="191">
        <v>11165</v>
      </c>
      <c r="E144" s="189">
        <v>1.9262369910534982E-2</v>
      </c>
      <c r="F144" s="191">
        <v>675</v>
      </c>
      <c r="G144" s="189">
        <v>-2.9542097488921559E-3</v>
      </c>
      <c r="H144" s="191">
        <v>111</v>
      </c>
      <c r="I144" s="189">
        <v>0.88135593220338992</v>
      </c>
      <c r="J144" s="191">
        <v>2810</v>
      </c>
      <c r="K144" s="189">
        <v>3.651789007746209E-2</v>
      </c>
      <c r="L144" s="191">
        <v>7569</v>
      </c>
      <c r="M144" s="189">
        <v>8.258958305581432E-3</v>
      </c>
    </row>
    <row r="145" spans="3:13" ht="24" customHeight="1" thickBot="1" x14ac:dyDescent="0.25">
      <c r="C145" s="192" t="s">
        <v>58</v>
      </c>
      <c r="D145" s="188">
        <v>1968</v>
      </c>
      <c r="E145" s="189">
        <v>2.9288702928870203E-2</v>
      </c>
      <c r="F145" s="188">
        <v>229</v>
      </c>
      <c r="G145" s="189">
        <v>-0.45862884160756501</v>
      </c>
      <c r="H145" s="188">
        <v>93</v>
      </c>
      <c r="I145" s="189">
        <v>0.36764705882352944</v>
      </c>
      <c r="J145" s="188">
        <v>195</v>
      </c>
      <c r="K145" s="189">
        <v>-0.3321917808219178</v>
      </c>
      <c r="L145" s="188">
        <v>1451</v>
      </c>
      <c r="M145" s="189">
        <v>0.28520814880425149</v>
      </c>
    </row>
    <row r="146" spans="3:13" ht="24" customHeight="1" thickBot="1" x14ac:dyDescent="0.25">
      <c r="C146" s="190" t="s">
        <v>59</v>
      </c>
      <c r="D146" s="191">
        <v>1593</v>
      </c>
      <c r="E146" s="189">
        <v>0.15686274509803932</v>
      </c>
      <c r="F146" s="191">
        <v>465</v>
      </c>
      <c r="G146" s="189">
        <v>-2.9227557411273475E-2</v>
      </c>
      <c r="H146" s="191">
        <v>125</v>
      </c>
      <c r="I146" s="189">
        <v>0.45348837209302317</v>
      </c>
      <c r="J146" s="191">
        <v>323</v>
      </c>
      <c r="K146" s="189">
        <v>9.8639455782312924E-2</v>
      </c>
      <c r="L146" s="191">
        <v>680</v>
      </c>
      <c r="M146" s="189">
        <v>0.31274131274131278</v>
      </c>
    </row>
    <row r="147" spans="3:13" ht="24" customHeight="1" thickBot="1" x14ac:dyDescent="0.25">
      <c r="C147" s="192" t="s">
        <v>60</v>
      </c>
      <c r="D147" s="194">
        <v>5760</v>
      </c>
      <c r="E147" s="195">
        <v>0.17527035298918592</v>
      </c>
      <c r="F147" s="194">
        <v>503</v>
      </c>
      <c r="G147" s="195">
        <v>-0.21036106750392469</v>
      </c>
      <c r="H147" s="194">
        <v>154</v>
      </c>
      <c r="I147" s="195">
        <v>1.75</v>
      </c>
      <c r="J147" s="194">
        <v>1282</v>
      </c>
      <c r="K147" s="195">
        <v>0.67362924281984338</v>
      </c>
      <c r="L147" s="194">
        <v>3821</v>
      </c>
      <c r="M147" s="195">
        <v>0.11011040092969204</v>
      </c>
    </row>
    <row r="148" spans="3:13" ht="30.75" customHeight="1" thickTop="1" thickBot="1" x14ac:dyDescent="0.25">
      <c r="C148" s="196" t="s">
        <v>61</v>
      </c>
      <c r="D148" s="197">
        <v>387697</v>
      </c>
      <c r="E148" s="198">
        <v>3.3131342201756731E-2</v>
      </c>
      <c r="F148" s="197">
        <v>6889</v>
      </c>
      <c r="G148" s="198">
        <v>-0.12686945500633717</v>
      </c>
      <c r="H148" s="197">
        <v>3467</v>
      </c>
      <c r="I148" s="198">
        <v>0.17804960924226987</v>
      </c>
      <c r="J148" s="197">
        <v>56240</v>
      </c>
      <c r="K148" s="198">
        <v>-5.9740535190356825E-3</v>
      </c>
      <c r="L148" s="197">
        <v>321101</v>
      </c>
      <c r="M148" s="198">
        <v>4.3033525741181577E-2</v>
      </c>
    </row>
    <row r="149" spans="3:13" ht="24" customHeight="1" thickBot="1" x14ac:dyDescent="0.25">
      <c r="C149" s="199" t="s">
        <v>8</v>
      </c>
      <c r="D149" s="200">
        <v>464192</v>
      </c>
      <c r="E149" s="201">
        <v>3.9088487453271537E-2</v>
      </c>
      <c r="F149" s="200">
        <v>21602</v>
      </c>
      <c r="G149" s="201">
        <v>-4.8076499361036418E-2</v>
      </c>
      <c r="H149" s="200">
        <v>6820</v>
      </c>
      <c r="I149" s="201">
        <v>7.6558800315706499E-2</v>
      </c>
      <c r="J149" s="200">
        <v>86163</v>
      </c>
      <c r="K149" s="201">
        <v>4.1597156741858266E-2</v>
      </c>
      <c r="L149" s="200">
        <v>349607</v>
      </c>
      <c r="M149" s="201">
        <v>4.3665293450355191E-2</v>
      </c>
    </row>
    <row r="150" spans="3:13" ht="13.5" thickBot="1" x14ac:dyDescent="0.25">
      <c r="C150" s="18"/>
      <c r="D150" s="5"/>
      <c r="E150" s="5"/>
      <c r="F150" s="5"/>
      <c r="G150" s="5"/>
      <c r="H150" s="5"/>
      <c r="I150" s="5"/>
      <c r="J150" s="5"/>
      <c r="K150" s="5"/>
      <c r="L150" s="5"/>
      <c r="M150" s="202"/>
    </row>
    <row r="151" spans="3:13" ht="35.25" customHeight="1" thickBot="1" x14ac:dyDescent="0.25">
      <c r="C151" s="164" t="s">
        <v>29</v>
      </c>
      <c r="D151" s="165"/>
      <c r="E151" s="165"/>
      <c r="F151" s="165"/>
      <c r="G151" s="165"/>
      <c r="H151" s="165"/>
      <c r="I151" s="165"/>
      <c r="J151" s="165"/>
      <c r="K151" s="165"/>
      <c r="L151" s="165"/>
      <c r="M151" s="166"/>
    </row>
    <row r="152" spans="3:13" ht="20.100000000000001" customHeight="1" x14ac:dyDescent="0.2">
      <c r="C152" s="167"/>
      <c r="D152" s="168"/>
      <c r="E152" s="168"/>
      <c r="F152" s="168"/>
      <c r="G152" s="169" t="str">
        <f>I2</f>
        <v>acumulado noviembre 2018</v>
      </c>
      <c r="H152" s="170"/>
      <c r="I152" s="170"/>
      <c r="J152" s="168"/>
      <c r="K152" s="168"/>
      <c r="L152" s="168"/>
      <c r="M152" s="171"/>
    </row>
    <row r="153" spans="3:13" ht="5.25" customHeight="1" thickBot="1" x14ac:dyDescent="0.25">
      <c r="C153" s="172"/>
      <c r="D153" s="168"/>
      <c r="E153" s="168"/>
      <c r="F153" s="168"/>
      <c r="G153" s="173"/>
      <c r="H153" s="173"/>
      <c r="I153" s="173"/>
      <c r="J153" s="168"/>
      <c r="K153" s="168"/>
      <c r="L153" s="168"/>
      <c r="M153" s="174"/>
    </row>
    <row r="154" spans="3:13" ht="32.25" customHeight="1" thickTop="1" thickBot="1" x14ac:dyDescent="0.25">
      <c r="C154" s="175"/>
      <c r="D154" s="176" t="s">
        <v>7</v>
      </c>
      <c r="E154" s="177"/>
      <c r="F154" s="176" t="s">
        <v>30</v>
      </c>
      <c r="G154" s="177"/>
      <c r="H154" s="176" t="s">
        <v>31</v>
      </c>
      <c r="I154" s="177"/>
      <c r="J154" s="176" t="s">
        <v>32</v>
      </c>
      <c r="K154" s="177"/>
      <c r="L154" s="176" t="s">
        <v>33</v>
      </c>
      <c r="M154" s="177"/>
    </row>
    <row r="155" spans="3:13" ht="31.5" customHeight="1" thickBot="1" x14ac:dyDescent="0.25">
      <c r="C155" s="178"/>
      <c r="D155" s="179" t="s">
        <v>62</v>
      </c>
      <c r="E155" s="180" t="s">
        <v>35</v>
      </c>
      <c r="F155" s="179" t="s">
        <v>62</v>
      </c>
      <c r="G155" s="180" t="s">
        <v>35</v>
      </c>
      <c r="H155" s="179" t="s">
        <v>62</v>
      </c>
      <c r="I155" s="180" t="s">
        <v>35</v>
      </c>
      <c r="J155" s="179" t="s">
        <v>62</v>
      </c>
      <c r="K155" s="180" t="s">
        <v>35</v>
      </c>
      <c r="L155" s="179" t="s">
        <v>62</v>
      </c>
      <c r="M155" s="180" t="s">
        <v>35</v>
      </c>
    </row>
    <row r="156" spans="3:13" ht="24" customHeight="1" thickBot="1" x14ac:dyDescent="0.25">
      <c r="C156" s="181" t="s">
        <v>36</v>
      </c>
      <c r="D156" s="182">
        <v>1218855</v>
      </c>
      <c r="E156" s="183">
        <v>7.4150777948647884E-2</v>
      </c>
      <c r="F156" s="182">
        <v>144635</v>
      </c>
      <c r="G156" s="183">
        <v>-5.5290659699542832E-2</v>
      </c>
      <c r="H156" s="182">
        <v>35230</v>
      </c>
      <c r="I156" s="183">
        <v>0.37563451776649748</v>
      </c>
      <c r="J156" s="182">
        <v>484978</v>
      </c>
      <c r="K156" s="183">
        <v>6.0534096077814015E-2</v>
      </c>
      <c r="L156" s="182">
        <v>554012</v>
      </c>
      <c r="M156" s="183">
        <v>0.11089232398051774</v>
      </c>
    </row>
    <row r="157" spans="3:13" ht="24" customHeight="1" thickBot="1" x14ac:dyDescent="0.25">
      <c r="C157" s="184" t="s">
        <v>37</v>
      </c>
      <c r="D157" s="185">
        <v>323786.96642651624</v>
      </c>
      <c r="E157" s="186">
        <v>9.7769555616612491E-2</v>
      </c>
      <c r="F157" s="185" t="s">
        <v>38</v>
      </c>
      <c r="G157" s="186" t="s">
        <v>38</v>
      </c>
      <c r="H157" s="185" t="s">
        <v>38</v>
      </c>
      <c r="I157" s="186" t="s">
        <v>38</v>
      </c>
      <c r="J157" s="185" t="s">
        <v>38</v>
      </c>
      <c r="K157" s="186" t="s">
        <v>38</v>
      </c>
      <c r="L157" s="185" t="s">
        <v>38</v>
      </c>
      <c r="M157" s="186" t="s">
        <v>38</v>
      </c>
    </row>
    <row r="158" spans="3:13" ht="24" customHeight="1" thickBot="1" x14ac:dyDescent="0.25">
      <c r="C158" s="187" t="s">
        <v>39</v>
      </c>
      <c r="D158" s="188">
        <v>162317.68082826803</v>
      </c>
      <c r="E158" s="189">
        <v>0.11995338528168542</v>
      </c>
      <c r="F158" s="188" t="s">
        <v>38</v>
      </c>
      <c r="G158" s="189" t="s">
        <v>38</v>
      </c>
      <c r="H158" s="188" t="s">
        <v>38</v>
      </c>
      <c r="I158" s="189" t="s">
        <v>38</v>
      </c>
      <c r="J158" s="188" t="s">
        <v>38</v>
      </c>
      <c r="K158" s="189" t="s">
        <v>38</v>
      </c>
      <c r="L158" s="188" t="s">
        <v>38</v>
      </c>
      <c r="M158" s="189" t="s">
        <v>38</v>
      </c>
    </row>
    <row r="159" spans="3:13" ht="24" customHeight="1" thickBot="1" x14ac:dyDescent="0.25">
      <c r="C159" s="187" t="s">
        <v>40</v>
      </c>
      <c r="D159" s="188">
        <v>732750.35274529061</v>
      </c>
      <c r="E159" s="189">
        <v>5.4571036707494081E-2</v>
      </c>
      <c r="F159" s="188" t="s">
        <v>38</v>
      </c>
      <c r="G159" s="189" t="s">
        <v>38</v>
      </c>
      <c r="H159" s="188" t="s">
        <v>38</v>
      </c>
      <c r="I159" s="189" t="s">
        <v>38</v>
      </c>
      <c r="J159" s="188" t="s">
        <v>38</v>
      </c>
      <c r="K159" s="189" t="s">
        <v>38</v>
      </c>
      <c r="L159" s="188" t="s">
        <v>38</v>
      </c>
      <c r="M159" s="189" t="s">
        <v>38</v>
      </c>
    </row>
    <row r="160" spans="3:13" ht="24" customHeight="1" thickBot="1" x14ac:dyDescent="0.25">
      <c r="C160" s="190" t="s">
        <v>41</v>
      </c>
      <c r="D160" s="191">
        <v>161142</v>
      </c>
      <c r="E160" s="189">
        <v>2.5918215329373329E-2</v>
      </c>
      <c r="F160" s="191">
        <v>1281</v>
      </c>
      <c r="G160" s="189">
        <v>-0.14713715046604525</v>
      </c>
      <c r="H160" s="191">
        <v>949</v>
      </c>
      <c r="I160" s="189">
        <v>0.10994152046783623</v>
      </c>
      <c r="J160" s="191">
        <v>14904</v>
      </c>
      <c r="K160" s="189">
        <v>0.12026458208057722</v>
      </c>
      <c r="L160" s="191">
        <v>144008</v>
      </c>
      <c r="M160" s="189">
        <v>1.8372109468920206E-2</v>
      </c>
    </row>
    <row r="161" spans="3:13" ht="24" customHeight="1" thickBot="1" x14ac:dyDescent="0.25">
      <c r="C161" s="192" t="s">
        <v>42</v>
      </c>
      <c r="D161" s="188">
        <v>144107</v>
      </c>
      <c r="E161" s="189">
        <v>1.448795838055883E-2</v>
      </c>
      <c r="F161" s="188">
        <v>1480</v>
      </c>
      <c r="G161" s="189">
        <v>-0.12061794414735594</v>
      </c>
      <c r="H161" s="188">
        <v>716</v>
      </c>
      <c r="I161" s="189">
        <v>0.17569786535303766</v>
      </c>
      <c r="J161" s="188">
        <v>8324</v>
      </c>
      <c r="K161" s="189">
        <v>-0.20519430917597636</v>
      </c>
      <c r="L161" s="188">
        <v>133587</v>
      </c>
      <c r="M161" s="189">
        <v>3.3283314253890639E-2</v>
      </c>
    </row>
    <row r="162" spans="3:13" ht="24" customHeight="1" thickBot="1" x14ac:dyDescent="0.25">
      <c r="C162" s="190" t="s">
        <v>43</v>
      </c>
      <c r="D162" s="191">
        <v>588346</v>
      </c>
      <c r="E162" s="189">
        <v>1.8140978051891299E-2</v>
      </c>
      <c r="F162" s="191">
        <v>8810</v>
      </c>
      <c r="G162" s="189">
        <v>9.7819314641744537E-2</v>
      </c>
      <c r="H162" s="191">
        <v>10460</v>
      </c>
      <c r="I162" s="189">
        <v>0.12051419389394757</v>
      </c>
      <c r="J162" s="191">
        <v>217674</v>
      </c>
      <c r="K162" s="189">
        <v>2.9956043020114231E-2</v>
      </c>
      <c r="L162" s="191">
        <v>351402</v>
      </c>
      <c r="M162" s="189">
        <v>6.4211249856798158E-3</v>
      </c>
    </row>
    <row r="163" spans="3:13" ht="24" customHeight="1" thickBot="1" x14ac:dyDescent="0.25">
      <c r="C163" s="192" t="s">
        <v>44</v>
      </c>
      <c r="D163" s="188">
        <v>180257</v>
      </c>
      <c r="E163" s="189">
        <v>4.5622766717713148E-2</v>
      </c>
      <c r="F163" s="188">
        <v>5329</v>
      </c>
      <c r="G163" s="189">
        <v>-0.10617242536061722</v>
      </c>
      <c r="H163" s="188">
        <v>5032</v>
      </c>
      <c r="I163" s="189">
        <v>0.44722461892436005</v>
      </c>
      <c r="J163" s="188">
        <v>38389</v>
      </c>
      <c r="K163" s="189">
        <v>0.13506401348274744</v>
      </c>
      <c r="L163" s="188">
        <v>131507</v>
      </c>
      <c r="M163" s="189">
        <v>1.8392032958522986E-2</v>
      </c>
    </row>
    <row r="164" spans="3:13" ht="24" customHeight="1" thickBot="1" x14ac:dyDescent="0.25">
      <c r="C164" s="190" t="s">
        <v>45</v>
      </c>
      <c r="D164" s="191">
        <v>1866230</v>
      </c>
      <c r="E164" s="189">
        <v>-2.4212852241367266E-2</v>
      </c>
      <c r="F164" s="191">
        <v>9760</v>
      </c>
      <c r="G164" s="189">
        <v>9.5159288374018214E-3</v>
      </c>
      <c r="H164" s="191">
        <v>2682</v>
      </c>
      <c r="I164" s="189">
        <v>0.22689844464775843</v>
      </c>
      <c r="J164" s="191">
        <v>83981</v>
      </c>
      <c r="K164" s="189">
        <v>-0.16668981940861283</v>
      </c>
      <c r="L164" s="191">
        <v>1769807</v>
      </c>
      <c r="M164" s="189">
        <v>-1.6721447366081721E-2</v>
      </c>
    </row>
    <row r="165" spans="3:13" ht="24" customHeight="1" thickBot="1" x14ac:dyDescent="0.25">
      <c r="C165" s="192" t="s">
        <v>46</v>
      </c>
      <c r="D165" s="188">
        <v>111744</v>
      </c>
      <c r="E165" s="189">
        <v>0.1382007822685789</v>
      </c>
      <c r="F165" s="188">
        <v>752</v>
      </c>
      <c r="G165" s="189">
        <v>-0.26346718903036237</v>
      </c>
      <c r="H165" s="188">
        <v>270</v>
      </c>
      <c r="I165" s="189">
        <v>8.0000000000000071E-2</v>
      </c>
      <c r="J165" s="188">
        <v>7288</v>
      </c>
      <c r="K165" s="189">
        <v>-7.7603812117086335E-3</v>
      </c>
      <c r="L165" s="188">
        <v>103434</v>
      </c>
      <c r="M165" s="189">
        <v>0.15491290754801246</v>
      </c>
    </row>
    <row r="166" spans="3:13" ht="24" customHeight="1" thickBot="1" x14ac:dyDescent="0.25">
      <c r="C166" s="190" t="s">
        <v>47</v>
      </c>
      <c r="D166" s="191">
        <v>134247</v>
      </c>
      <c r="E166" s="189">
        <v>-2.6892437498640898E-2</v>
      </c>
      <c r="F166" s="191">
        <v>5828</v>
      </c>
      <c r="G166" s="189">
        <v>-0.19055555555555559</v>
      </c>
      <c r="H166" s="191">
        <v>1650</v>
      </c>
      <c r="I166" s="189">
        <v>0.1530398322851152</v>
      </c>
      <c r="J166" s="191">
        <v>15609</v>
      </c>
      <c r="K166" s="189">
        <v>-3.9623454131545E-2</v>
      </c>
      <c r="L166" s="191">
        <v>111160</v>
      </c>
      <c r="M166" s="189">
        <v>-1.6918274035357728E-2</v>
      </c>
    </row>
    <row r="167" spans="3:13" ht="24" customHeight="1" thickBot="1" x14ac:dyDescent="0.25">
      <c r="C167" s="192" t="s">
        <v>48</v>
      </c>
      <c r="D167" s="188">
        <v>342654</v>
      </c>
      <c r="E167" s="189">
        <v>-3.7448207087377283E-2</v>
      </c>
      <c r="F167" s="188">
        <v>6960</v>
      </c>
      <c r="G167" s="189">
        <v>-0.11708740327286571</v>
      </c>
      <c r="H167" s="188">
        <v>965</v>
      </c>
      <c r="I167" s="189">
        <v>0.53907496012759171</v>
      </c>
      <c r="J167" s="188">
        <v>51511</v>
      </c>
      <c r="K167" s="189">
        <v>-3.6204767428806628E-2</v>
      </c>
      <c r="L167" s="188">
        <v>283218</v>
      </c>
      <c r="M167" s="189">
        <v>-3.6768482020480997E-2</v>
      </c>
    </row>
    <row r="168" spans="3:13" ht="24" customHeight="1" thickBot="1" x14ac:dyDescent="0.25">
      <c r="C168" s="193" t="s">
        <v>49</v>
      </c>
      <c r="D168" s="191">
        <v>118190</v>
      </c>
      <c r="E168" s="189">
        <v>-8.4259869058226466E-2</v>
      </c>
      <c r="F168" s="191">
        <v>2548</v>
      </c>
      <c r="G168" s="189">
        <v>-6.9053708439897665E-2</v>
      </c>
      <c r="H168" s="191">
        <v>426</v>
      </c>
      <c r="I168" s="189">
        <v>0.78242677824267792</v>
      </c>
      <c r="J168" s="191">
        <v>13287</v>
      </c>
      <c r="K168" s="189">
        <v>-9.4212284409298519E-2</v>
      </c>
      <c r="L168" s="191">
        <v>101929</v>
      </c>
      <c r="M168" s="189">
        <v>-8.5182193502064241E-2</v>
      </c>
    </row>
    <row r="169" spans="3:13" ht="24" customHeight="1" thickBot="1" x14ac:dyDescent="0.25">
      <c r="C169" s="187" t="s">
        <v>50</v>
      </c>
      <c r="D169" s="188">
        <v>62676</v>
      </c>
      <c r="E169" s="189">
        <v>-3.8224868414995283E-2</v>
      </c>
      <c r="F169" s="188">
        <v>1607</v>
      </c>
      <c r="G169" s="189">
        <v>-0.12425068119891003</v>
      </c>
      <c r="H169" s="188">
        <v>201</v>
      </c>
      <c r="I169" s="189">
        <v>0.59523809523809534</v>
      </c>
      <c r="J169" s="188">
        <v>5459</v>
      </c>
      <c r="K169" s="189">
        <v>-0.10139917695473255</v>
      </c>
      <c r="L169" s="188">
        <v>55409</v>
      </c>
      <c r="M169" s="189">
        <v>-3.0141254310269372E-2</v>
      </c>
    </row>
    <row r="170" spans="3:13" ht="24" customHeight="1" thickBot="1" x14ac:dyDescent="0.25">
      <c r="C170" s="193" t="s">
        <v>51</v>
      </c>
      <c r="D170" s="191">
        <v>73128</v>
      </c>
      <c r="E170" s="189">
        <v>-7.8005421420916599E-2</v>
      </c>
      <c r="F170" s="191">
        <v>1386</v>
      </c>
      <c r="G170" s="189">
        <v>-0.17253731343283585</v>
      </c>
      <c r="H170" s="191">
        <v>184</v>
      </c>
      <c r="I170" s="189">
        <v>-2.6455026455026509E-2</v>
      </c>
      <c r="J170" s="191">
        <v>8935</v>
      </c>
      <c r="K170" s="189">
        <v>-6.4103906986487935E-2</v>
      </c>
      <c r="L170" s="191">
        <v>62623</v>
      </c>
      <c r="M170" s="189">
        <v>-7.7771559849198924E-2</v>
      </c>
    </row>
    <row r="171" spans="3:13" ht="24" customHeight="1" thickBot="1" x14ac:dyDescent="0.25">
      <c r="C171" s="187" t="s">
        <v>52</v>
      </c>
      <c r="D171" s="188">
        <v>88660</v>
      </c>
      <c r="E171" s="189">
        <v>7.5474902350857631E-2</v>
      </c>
      <c r="F171" s="188">
        <v>1419</v>
      </c>
      <c r="G171" s="189">
        <v>-0.13264058679706603</v>
      </c>
      <c r="H171" s="188">
        <v>154</v>
      </c>
      <c r="I171" s="189">
        <v>1.1095890410958904</v>
      </c>
      <c r="J171" s="188">
        <v>23830</v>
      </c>
      <c r="K171" s="189">
        <v>2.9151371194126474E-2</v>
      </c>
      <c r="L171" s="188">
        <v>63257</v>
      </c>
      <c r="M171" s="189">
        <v>9.8707750026053365E-2</v>
      </c>
    </row>
    <row r="172" spans="3:13" ht="24" customHeight="1" thickBot="1" x14ac:dyDescent="0.25">
      <c r="C172" s="190" t="s">
        <v>53</v>
      </c>
      <c r="D172" s="191">
        <v>51882</v>
      </c>
      <c r="E172" s="189">
        <v>-1.7256075616085442E-2</v>
      </c>
      <c r="F172" s="191">
        <v>1275</v>
      </c>
      <c r="G172" s="189">
        <v>9.5011876484560887E-3</v>
      </c>
      <c r="H172" s="191">
        <v>917</v>
      </c>
      <c r="I172" s="189">
        <v>1.2141280353200834E-2</v>
      </c>
      <c r="J172" s="191">
        <v>8740</v>
      </c>
      <c r="K172" s="189">
        <v>-7.8059071729957852E-2</v>
      </c>
      <c r="L172" s="191">
        <v>40950</v>
      </c>
      <c r="M172" s="189">
        <v>-4.7151468014777764E-3</v>
      </c>
    </row>
    <row r="173" spans="3:13" ht="24" customHeight="1" thickBot="1" x14ac:dyDescent="0.25">
      <c r="C173" s="192" t="s">
        <v>54</v>
      </c>
      <c r="D173" s="188">
        <v>31900</v>
      </c>
      <c r="E173" s="189">
        <v>-2.9657794676806071E-2</v>
      </c>
      <c r="F173" s="188">
        <v>578</v>
      </c>
      <c r="G173" s="189">
        <v>-5.7096247960848334E-2</v>
      </c>
      <c r="H173" s="188">
        <v>524</v>
      </c>
      <c r="I173" s="189">
        <v>0.11489361702127665</v>
      </c>
      <c r="J173" s="188">
        <v>9588</v>
      </c>
      <c r="K173" s="189">
        <v>0.27279968140183186</v>
      </c>
      <c r="L173" s="188">
        <v>21210</v>
      </c>
      <c r="M173" s="189">
        <v>-0.12568531266746363</v>
      </c>
    </row>
    <row r="174" spans="3:13" ht="24" customHeight="1" thickBot="1" x14ac:dyDescent="0.25">
      <c r="C174" s="190" t="s">
        <v>55</v>
      </c>
      <c r="D174" s="191">
        <v>74653</v>
      </c>
      <c r="E174" s="189">
        <v>-8.8129672155176642E-2</v>
      </c>
      <c r="F174" s="191">
        <v>1753</v>
      </c>
      <c r="G174" s="189">
        <v>6.0496067755595906E-2</v>
      </c>
      <c r="H174" s="191">
        <v>419</v>
      </c>
      <c r="I174" s="189">
        <v>0.50179211469534057</v>
      </c>
      <c r="J174" s="191">
        <v>8797</v>
      </c>
      <c r="K174" s="189">
        <v>3.9711618012055361E-2</v>
      </c>
      <c r="L174" s="191">
        <v>63684</v>
      </c>
      <c r="M174" s="189">
        <v>-0.10900314795383004</v>
      </c>
    </row>
    <row r="175" spans="3:13" ht="24" customHeight="1" thickBot="1" x14ac:dyDescent="0.25">
      <c r="C175" s="192" t="s">
        <v>56</v>
      </c>
      <c r="D175" s="188">
        <v>157475</v>
      </c>
      <c r="E175" s="189">
        <v>0.1164401528525143</v>
      </c>
      <c r="F175" s="188">
        <v>1949</v>
      </c>
      <c r="G175" s="189">
        <v>-0.14592462751971957</v>
      </c>
      <c r="H175" s="188">
        <v>596</v>
      </c>
      <c r="I175" s="189">
        <v>0.63736263736263732</v>
      </c>
      <c r="J175" s="188">
        <v>20281</v>
      </c>
      <c r="K175" s="189">
        <v>-9.281422500122094E-3</v>
      </c>
      <c r="L175" s="188">
        <v>134649</v>
      </c>
      <c r="M175" s="189">
        <v>0.14173181610053076</v>
      </c>
    </row>
    <row r="176" spans="3:13" ht="24" customHeight="1" thickBot="1" x14ac:dyDescent="0.25">
      <c r="C176" s="190" t="s">
        <v>57</v>
      </c>
      <c r="D176" s="191">
        <v>144293</v>
      </c>
      <c r="E176" s="189">
        <v>-6.143568928957055E-2</v>
      </c>
      <c r="F176" s="191">
        <v>4797</v>
      </c>
      <c r="G176" s="189">
        <v>-0.18873668188736681</v>
      </c>
      <c r="H176" s="191">
        <v>914</v>
      </c>
      <c r="I176" s="189">
        <v>0.55706984667802395</v>
      </c>
      <c r="J176" s="191">
        <v>37214</v>
      </c>
      <c r="K176" s="189">
        <v>-2.5837019973299125E-2</v>
      </c>
      <c r="L176" s="191">
        <v>101368</v>
      </c>
      <c r="M176" s="189">
        <v>-7.0333923347120741E-2</v>
      </c>
    </row>
    <row r="177" spans="3:18" ht="24" customHeight="1" thickBot="1" x14ac:dyDescent="0.25">
      <c r="C177" s="192" t="s">
        <v>58</v>
      </c>
      <c r="D177" s="188">
        <v>20352</v>
      </c>
      <c r="E177" s="189">
        <v>5.9062288598636714E-2</v>
      </c>
      <c r="F177" s="188">
        <v>2149</v>
      </c>
      <c r="G177" s="189">
        <v>-0.14552683896620278</v>
      </c>
      <c r="H177" s="188">
        <v>998</v>
      </c>
      <c r="I177" s="189">
        <v>0.44219653179190743</v>
      </c>
      <c r="J177" s="188">
        <v>2872</v>
      </c>
      <c r="K177" s="189">
        <v>-3.2018874283788357E-2</v>
      </c>
      <c r="L177" s="188">
        <v>14333</v>
      </c>
      <c r="M177" s="189">
        <v>9.8903626466303685E-2</v>
      </c>
    </row>
    <row r="178" spans="3:18" ht="24" customHeight="1" thickBot="1" x14ac:dyDescent="0.25">
      <c r="C178" s="190" t="s">
        <v>59</v>
      </c>
      <c r="D178" s="191">
        <v>20105</v>
      </c>
      <c r="E178" s="189">
        <v>0.12949438202247188</v>
      </c>
      <c r="F178" s="191">
        <v>4234</v>
      </c>
      <c r="G178" s="189">
        <v>7.1360608943862314E-3</v>
      </c>
      <c r="H178" s="191">
        <v>977</v>
      </c>
      <c r="I178" s="189">
        <v>0.62833333333333341</v>
      </c>
      <c r="J178" s="191">
        <v>4989</v>
      </c>
      <c r="K178" s="189">
        <v>0.21920821114369504</v>
      </c>
      <c r="L178" s="191">
        <v>9905</v>
      </c>
      <c r="M178" s="189">
        <v>0.11242138364779874</v>
      </c>
    </row>
    <row r="179" spans="3:18" ht="24" customHeight="1" thickBot="1" x14ac:dyDescent="0.25">
      <c r="C179" s="192" t="s">
        <v>60</v>
      </c>
      <c r="D179" s="194">
        <v>75412</v>
      </c>
      <c r="E179" s="195">
        <v>0.25938543754175014</v>
      </c>
      <c r="F179" s="194">
        <v>4763</v>
      </c>
      <c r="G179" s="195">
        <v>-0.12121771217712174</v>
      </c>
      <c r="H179" s="194">
        <v>1302</v>
      </c>
      <c r="I179" s="195">
        <v>0.49140893470790381</v>
      </c>
      <c r="J179" s="194">
        <v>16194</v>
      </c>
      <c r="K179" s="195">
        <v>0.33503709810387461</v>
      </c>
      <c r="L179" s="194">
        <v>53153</v>
      </c>
      <c r="M179" s="195">
        <v>0.28212364618761598</v>
      </c>
    </row>
    <row r="180" spans="3:18" ht="30.75" customHeight="1" thickTop="1" thickBot="1" x14ac:dyDescent="0.25">
      <c r="C180" s="196" t="s">
        <v>61</v>
      </c>
      <c r="D180" s="197">
        <v>4104799</v>
      </c>
      <c r="E180" s="198">
        <v>-2.0553075631379869E-3</v>
      </c>
      <c r="F180" s="197">
        <v>61698</v>
      </c>
      <c r="G180" s="198">
        <v>-7.6474022183304124E-2</v>
      </c>
      <c r="H180" s="197">
        <v>29371</v>
      </c>
      <c r="I180" s="198">
        <v>0.2476530308822904</v>
      </c>
      <c r="J180" s="197">
        <v>546355</v>
      </c>
      <c r="K180" s="198">
        <v>-6.8078531176150037E-3</v>
      </c>
      <c r="L180" s="197">
        <v>3467375</v>
      </c>
      <c r="M180" s="198">
        <v>-1.5635775691408282E-3</v>
      </c>
    </row>
    <row r="181" spans="3:18" ht="24" customHeight="1" thickBot="1" x14ac:dyDescent="0.25">
      <c r="C181" s="199" t="s">
        <v>8</v>
      </c>
      <c r="D181" s="200">
        <v>5323654</v>
      </c>
      <c r="E181" s="201">
        <v>1.4421962938798494E-2</v>
      </c>
      <c r="F181" s="200">
        <v>206333</v>
      </c>
      <c r="G181" s="201">
        <v>-6.17260933030781E-2</v>
      </c>
      <c r="H181" s="200">
        <v>64601</v>
      </c>
      <c r="I181" s="201">
        <v>0.31433744989928991</v>
      </c>
      <c r="J181" s="200">
        <v>1031333</v>
      </c>
      <c r="K181" s="201">
        <v>2.3761261708404646E-2</v>
      </c>
      <c r="L181" s="200">
        <v>4021387</v>
      </c>
      <c r="M181" s="201">
        <v>1.2557679514663578E-2</v>
      </c>
    </row>
    <row r="182" spans="3:18" ht="18" customHeight="1" x14ac:dyDescent="0.2">
      <c r="C182" s="4"/>
    </row>
    <row r="183" spans="3:18" ht="17.25" hidden="1" customHeight="1" x14ac:dyDescent="0.2">
      <c r="C183" s="157"/>
      <c r="D183" s="158"/>
      <c r="E183" s="158"/>
      <c r="F183" s="158"/>
      <c r="G183" s="158"/>
      <c r="H183" s="158"/>
      <c r="I183" s="158"/>
      <c r="J183" s="158"/>
      <c r="K183" s="158"/>
      <c r="L183" s="158"/>
      <c r="M183" s="159"/>
    </row>
    <row r="184" spans="3:18" ht="21.75" hidden="1" customHeight="1" x14ac:dyDescent="0.2">
      <c r="C184" s="160"/>
      <c r="D184" s="161"/>
      <c r="E184" s="203" t="str">
        <f>$E$1</f>
        <v>INDICADORES TURÍSTICOS DE TENERIFE definitivo</v>
      </c>
      <c r="F184" s="204"/>
      <c r="G184" s="204"/>
      <c r="H184" s="204"/>
      <c r="I184" s="204"/>
      <c r="J184" s="204"/>
      <c r="K184" s="205"/>
      <c r="L184" s="161"/>
      <c r="M184" s="163"/>
    </row>
    <row r="185" spans="3:18" s="1" customFormat="1" ht="21.75" hidden="1" customHeight="1" x14ac:dyDescent="0.2">
      <c r="C185" s="160"/>
      <c r="D185" s="161"/>
      <c r="E185" s="162"/>
      <c r="F185" s="162"/>
      <c r="G185" s="162"/>
      <c r="H185" s="162"/>
      <c r="I185" s="162"/>
      <c r="J185" s="162"/>
      <c r="K185" s="162"/>
      <c r="L185" s="161"/>
      <c r="M185" s="163"/>
    </row>
    <row r="186" spans="3:18" ht="33" hidden="1" customHeight="1" x14ac:dyDescent="0.2">
      <c r="C186" s="206" t="s">
        <v>29</v>
      </c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8"/>
    </row>
    <row r="187" spans="3:18" ht="20.100000000000001" hidden="1" customHeight="1" x14ac:dyDescent="0.2">
      <c r="C187" s="209">
        <f>E3</f>
        <v>0</v>
      </c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1"/>
    </row>
    <row r="188" spans="3:18" ht="17.25" hidden="1" customHeight="1" x14ac:dyDescent="0.2">
      <c r="C188" s="211"/>
      <c r="D188" s="212" t="s">
        <v>24</v>
      </c>
      <c r="E188" s="213"/>
      <c r="F188" s="212" t="s">
        <v>23</v>
      </c>
      <c r="G188" s="213"/>
      <c r="H188" s="212" t="s">
        <v>22</v>
      </c>
      <c r="I188" s="213"/>
      <c r="J188" s="212" t="s">
        <v>21</v>
      </c>
      <c r="K188" s="213"/>
      <c r="L188" s="212" t="s">
        <v>20</v>
      </c>
      <c r="M188" s="213"/>
      <c r="N188" s="212" t="s">
        <v>63</v>
      </c>
      <c r="O188" s="213"/>
      <c r="P188" s="212" t="s">
        <v>64</v>
      </c>
      <c r="Q188" s="213"/>
    </row>
    <row r="189" spans="3:18" ht="28.5" hidden="1" customHeight="1" x14ac:dyDescent="0.2">
      <c r="C189" s="211"/>
      <c r="D189" s="214" t="s">
        <v>35</v>
      </c>
      <c r="E189" s="214" t="s">
        <v>34</v>
      </c>
      <c r="F189" s="214" t="s">
        <v>35</v>
      </c>
      <c r="G189" s="214" t="s">
        <v>34</v>
      </c>
      <c r="H189" s="214" t="s">
        <v>35</v>
      </c>
      <c r="I189" s="214" t="s">
        <v>34</v>
      </c>
      <c r="J189" s="214" t="s">
        <v>35</v>
      </c>
      <c r="K189" s="214" t="s">
        <v>34</v>
      </c>
      <c r="L189" s="214" t="s">
        <v>35</v>
      </c>
      <c r="M189" s="214" t="s">
        <v>34</v>
      </c>
      <c r="N189" s="214" t="s">
        <v>35</v>
      </c>
      <c r="O189" s="214" t="s">
        <v>34</v>
      </c>
      <c r="P189" s="214" t="s">
        <v>35</v>
      </c>
      <c r="Q189" s="214" t="s">
        <v>34</v>
      </c>
    </row>
    <row r="190" spans="3:18" ht="24" hidden="1" customHeight="1" x14ac:dyDescent="0.2">
      <c r="C190" s="215" t="s">
        <v>36</v>
      </c>
      <c r="D190" s="216" t="e">
        <f>VLOOKUP("españa",#REF!,6,FALSE)/VLOOKUP("españa",#REF!,6,FALSE)-1</f>
        <v>#REF!</v>
      </c>
      <c r="E190" s="217" t="e">
        <f>VLOOKUP("españa",#REF!,6,FALSE)</f>
        <v>#REF!</v>
      </c>
      <c r="F190" s="216" t="e">
        <f>VLOOKUP("españa",#REF!,5,FALSE)/VLOOKUP("españa",#REF!,5,FALSE)-1</f>
        <v>#REF!</v>
      </c>
      <c r="G190" s="217" t="e">
        <f>VLOOKUP("españa",#REF!,5,FALSE)</f>
        <v>#REF!</v>
      </c>
      <c r="H190" s="216" t="e">
        <f>VLOOKUP("españa",#REF!,4,FALSE)/VLOOKUP("españa",#REF!,4,FALSE)-1</f>
        <v>#REF!</v>
      </c>
      <c r="I190" s="217" t="e">
        <f>VLOOKUP("españa",#REF!,4,FALSE)</f>
        <v>#REF!</v>
      </c>
      <c r="J190" s="216" t="e">
        <f>VLOOKUP("españa",#REF!,3,FALSE)/VLOOKUP("españa",#REF!,3,FALSE)-1</f>
        <v>#REF!</v>
      </c>
      <c r="K190" s="217" t="e">
        <f>VLOOKUP("españa",#REF!,3,FALSE)</f>
        <v>#REF!</v>
      </c>
      <c r="L190" s="216" t="e">
        <f>VLOOKUP("españa",#REF!,2,FALSE)/VLOOKUP("españa",#REF!,2,FALSE)-1</f>
        <v>#REF!</v>
      </c>
      <c r="M190" s="217" t="e">
        <f>VLOOKUP("españa",#REF!,2,FALSE)</f>
        <v>#REF!</v>
      </c>
      <c r="N190" s="216" t="e">
        <f>VLOOKUP("españa",#REF!,7,FALSE)/VLOOKUP("españa",#REF!,7,FALSE)-1</f>
        <v>#REF!</v>
      </c>
      <c r="O190" s="217" t="e">
        <f>VLOOKUP("españa",#REF!,7,FALSE)</f>
        <v>#REF!</v>
      </c>
      <c r="P190" s="216" t="e">
        <f>VLOOKUP("españa",#REF!,8,FALSE)/VLOOKUP("españa",#REF!,8,FALSE)-1</f>
        <v>#REF!</v>
      </c>
      <c r="Q190" s="217" t="e">
        <f>VLOOKUP("españa",#REF!,8,FALSE)</f>
        <v>#REF!</v>
      </c>
    </row>
    <row r="191" spans="3:18" ht="24" hidden="1" customHeight="1" x14ac:dyDescent="0.2">
      <c r="C191" s="215" t="s">
        <v>41</v>
      </c>
      <c r="D191" s="216" t="e">
        <f>VLOOKUP("holanda",#REF!,6,FALSE)/VLOOKUP("holanda",#REF!,6,FALSE)-1</f>
        <v>#REF!</v>
      </c>
      <c r="E191" s="217" t="e">
        <f>VLOOKUP("holanda",#REF!,6,FALSE)</f>
        <v>#REF!</v>
      </c>
      <c r="F191" s="216" t="e">
        <f>VLOOKUP("holanda",#REF!,5,FALSE)/VLOOKUP("holanda",#REF!,5,FALSE)-1</f>
        <v>#REF!</v>
      </c>
      <c r="G191" s="217" t="e">
        <f>VLOOKUP("holanda",#REF!,5,FALSE)</f>
        <v>#REF!</v>
      </c>
      <c r="H191" s="216" t="e">
        <f>VLOOKUP("holanda",#REF!,4,FALSE)/VLOOKUP("holanda",#REF!,4,FALSE)-1</f>
        <v>#REF!</v>
      </c>
      <c r="I191" s="217" t="e">
        <f>VLOOKUP("holanda",#REF!,4,FALSE)</f>
        <v>#REF!</v>
      </c>
      <c r="J191" s="216" t="e">
        <f>VLOOKUP("holanda",#REF!,3,FALSE)/VLOOKUP("holanda",#REF!,3,FALSE)-1</f>
        <v>#REF!</v>
      </c>
      <c r="K191" s="217" t="e">
        <f>VLOOKUP("holanda",#REF!,3,FALSE)</f>
        <v>#REF!</v>
      </c>
      <c r="L191" s="216" t="e">
        <f>VLOOKUP("holanda",#REF!,2,FALSE)/VLOOKUP("holanda",#REF!,2,FALSE)-1</f>
        <v>#REF!</v>
      </c>
      <c r="M191" s="217" t="e">
        <f>VLOOKUP("holanda",#REF!,2,FALSE)</f>
        <v>#REF!</v>
      </c>
      <c r="N191" s="216" t="e">
        <f>VLOOKUP("holanda",#REF!,7,FALSE)/VLOOKUP("holanda",#REF!,7,FALSE)-1</f>
        <v>#REF!</v>
      </c>
      <c r="O191" s="217" t="e">
        <f>VLOOKUP("holanda",#REF!,7,FALSE)</f>
        <v>#REF!</v>
      </c>
      <c r="P191" s="216" t="e">
        <f>VLOOKUP("holanda",#REF!,8,FALSE)/VLOOKUP("holanda",#REF!,8,FALSE)-1</f>
        <v>#REF!</v>
      </c>
      <c r="Q191" s="217" t="e">
        <f>VLOOKUP("holanda",#REF!,8,FALSE)</f>
        <v>#REF!</v>
      </c>
    </row>
    <row r="192" spans="3:18" ht="24" hidden="1" customHeight="1" x14ac:dyDescent="0.2">
      <c r="C192" s="215" t="s">
        <v>42</v>
      </c>
      <c r="D192" s="216" t="e">
        <f>VLOOKUP("belgica",#REF!,6,FALSE)/VLOOKUP("belgica",#REF!,6,FALSE)-1</f>
        <v>#REF!</v>
      </c>
      <c r="E192" s="217" t="e">
        <f>VLOOKUP("belgica",#REF!,6,FALSE)</f>
        <v>#REF!</v>
      </c>
      <c r="F192" s="216" t="e">
        <f>VLOOKUP("belgica",#REF!,5,FALSE)/VLOOKUP("belgica",#REF!,5,FALSE)-1</f>
        <v>#REF!</v>
      </c>
      <c r="G192" s="217" t="e">
        <f>VLOOKUP("belgica",#REF!,5,FALSE)</f>
        <v>#REF!</v>
      </c>
      <c r="H192" s="216" t="e">
        <f>VLOOKUP("belgica",#REF!,4,FALSE)/VLOOKUP("belgica",#REF!,4,FALSE)-1</f>
        <v>#REF!</v>
      </c>
      <c r="I192" s="217" t="e">
        <f>VLOOKUP("belgica",#REF!,4,FALSE)</f>
        <v>#REF!</v>
      </c>
      <c r="J192" s="216" t="e">
        <f>VLOOKUP("belgica",#REF!,3,FALSE)/VLOOKUP("belgica",#REF!,3,FALSE)-1</f>
        <v>#REF!</v>
      </c>
      <c r="K192" s="217" t="e">
        <f>VLOOKUP("belgica",#REF!,3,FALSE)</f>
        <v>#REF!</v>
      </c>
      <c r="L192" s="216" t="e">
        <f>VLOOKUP("belgica",#REF!,2,FALSE)/VLOOKUP("belgica",#REF!,2,FALSE)-1</f>
        <v>#REF!</v>
      </c>
      <c r="M192" s="217" t="e">
        <f>VLOOKUP("belgica",#REF!,2,FALSE)</f>
        <v>#REF!</v>
      </c>
      <c r="N192" s="216" t="e">
        <f>VLOOKUP("belgica",#REF!,7,FALSE)/VLOOKUP("belgica",#REF!,7,FALSE)-1</f>
        <v>#REF!</v>
      </c>
      <c r="O192" s="217" t="e">
        <f>VLOOKUP("belgica",#REF!,7,FALSE)</f>
        <v>#REF!</v>
      </c>
      <c r="P192" s="216" t="e">
        <f>VLOOKUP("belgica",#REF!,8,FALSE)/VLOOKUP("belgica",#REF!,8,FALSE)-1</f>
        <v>#REF!</v>
      </c>
      <c r="Q192" s="217" t="e">
        <f>VLOOKUP("belgica",#REF!,8,FALSE)</f>
        <v>#REF!</v>
      </c>
    </row>
    <row r="193" spans="3:17" ht="24" hidden="1" customHeight="1" x14ac:dyDescent="0.2">
      <c r="C193" s="215" t="s">
        <v>43</v>
      </c>
      <c r="D193" s="216" t="e">
        <f>VLOOKUP("alemania",#REF!,6,FALSE)/VLOOKUP("alemania",#REF!,6,FALSE)-1</f>
        <v>#REF!</v>
      </c>
      <c r="E193" s="217" t="e">
        <f>VLOOKUP("alemania",#REF!,6,FALSE)</f>
        <v>#REF!</v>
      </c>
      <c r="F193" s="216" t="e">
        <f>VLOOKUP("alemania",#REF!,5,FALSE)/VLOOKUP("alemania",#REF!,5,FALSE)-1</f>
        <v>#REF!</v>
      </c>
      <c r="G193" s="217" t="e">
        <f>VLOOKUP("alemania",#REF!,5,FALSE)</f>
        <v>#REF!</v>
      </c>
      <c r="H193" s="216" t="e">
        <f>VLOOKUP("alemania",#REF!,4,FALSE)/VLOOKUP("alemania",#REF!,4,FALSE)-1</f>
        <v>#REF!</v>
      </c>
      <c r="I193" s="217" t="e">
        <f>VLOOKUP("alemania",#REF!,4,FALSE)</f>
        <v>#REF!</v>
      </c>
      <c r="J193" s="216" t="e">
        <f>VLOOKUP("alemania",#REF!,3,FALSE)/VLOOKUP("alemania",#REF!,3,FALSE)-1</f>
        <v>#REF!</v>
      </c>
      <c r="K193" s="217" t="e">
        <f>VLOOKUP("alemania",#REF!,3,FALSE)</f>
        <v>#REF!</v>
      </c>
      <c r="L193" s="216" t="e">
        <f>VLOOKUP("alemania",#REF!,2,FALSE)/VLOOKUP("alemania",#REF!,2,FALSE)-1</f>
        <v>#REF!</v>
      </c>
      <c r="M193" s="217" t="e">
        <f>VLOOKUP("alemania",#REF!,2,FALSE)</f>
        <v>#REF!</v>
      </c>
      <c r="N193" s="216" t="e">
        <f>VLOOKUP("alemania",#REF!,7,FALSE)/VLOOKUP("alemania",#REF!,7,FALSE)-1</f>
        <v>#REF!</v>
      </c>
      <c r="O193" s="217" t="e">
        <f>VLOOKUP("alemania",#REF!,7,FALSE)</f>
        <v>#REF!</v>
      </c>
      <c r="P193" s="216" t="e">
        <f>VLOOKUP("alemania",#REF!,8,FALSE)/VLOOKUP("alemania",#REF!,8,FALSE)-1</f>
        <v>#REF!</v>
      </c>
      <c r="Q193" s="217" t="e">
        <f>VLOOKUP("alemania",#REF!,8,FALSE)</f>
        <v>#REF!</v>
      </c>
    </row>
    <row r="194" spans="3:17" ht="24" hidden="1" customHeight="1" x14ac:dyDescent="0.2">
      <c r="C194" s="215" t="s">
        <v>44</v>
      </c>
      <c r="D194" s="216" t="e">
        <f>VLOOKUP("francia",#REF!,6,FALSE)/VLOOKUP("francia",#REF!,6,FALSE)-1</f>
        <v>#REF!</v>
      </c>
      <c r="E194" s="217" t="e">
        <f>VLOOKUP("francia",#REF!,6,FALSE)</f>
        <v>#REF!</v>
      </c>
      <c r="F194" s="216" t="e">
        <f>VLOOKUP("francia",#REF!,5,FALSE)/VLOOKUP("francia",#REF!,5,FALSE)-1</f>
        <v>#REF!</v>
      </c>
      <c r="G194" s="217" t="e">
        <f>VLOOKUP("francia",#REF!,5,FALSE)</f>
        <v>#REF!</v>
      </c>
      <c r="H194" s="216" t="e">
        <f>VLOOKUP("francia",#REF!,4,FALSE)/VLOOKUP("francia",#REF!,4,FALSE)-1</f>
        <v>#REF!</v>
      </c>
      <c r="I194" s="217" t="e">
        <f>VLOOKUP("francia",#REF!,4,FALSE)</f>
        <v>#REF!</v>
      </c>
      <c r="J194" s="216" t="e">
        <f>VLOOKUP("francia",#REF!,3,FALSE)/VLOOKUP("francia",#REF!,3,FALSE)-1</f>
        <v>#REF!</v>
      </c>
      <c r="K194" s="217" t="e">
        <f>VLOOKUP("francia",#REF!,3,FALSE)</f>
        <v>#REF!</v>
      </c>
      <c r="L194" s="216" t="e">
        <f>VLOOKUP("francia",#REF!,2,FALSE)/VLOOKUP("francia",#REF!,2,FALSE)-1</f>
        <v>#REF!</v>
      </c>
      <c r="M194" s="217" t="e">
        <f>VLOOKUP("francia",#REF!,2,FALSE)</f>
        <v>#REF!</v>
      </c>
      <c r="N194" s="216" t="e">
        <f>VLOOKUP("francia",#REF!,7,FALSE)/VLOOKUP("francia",#REF!,7,FALSE)-1</f>
        <v>#REF!</v>
      </c>
      <c r="O194" s="217" t="e">
        <f>VLOOKUP("francia",#REF!,7,FALSE)</f>
        <v>#REF!</v>
      </c>
      <c r="P194" s="216" t="e">
        <f>VLOOKUP("francia",#REF!,8,FALSE)/VLOOKUP("francia",#REF!,8,FALSE)-1</f>
        <v>#REF!</v>
      </c>
      <c r="Q194" s="217" t="e">
        <f>VLOOKUP("francia",#REF!,8,FALSE)</f>
        <v>#REF!</v>
      </c>
    </row>
    <row r="195" spans="3:17" ht="24" hidden="1" customHeight="1" x14ac:dyDescent="0.2">
      <c r="C195" s="215" t="s">
        <v>45</v>
      </c>
      <c r="D195" s="216" t="e">
        <f>VLOOKUP("reino unido",#REF!,6,FALSE)/VLOOKUP("reino unido",#REF!,6,FALSE)-1</f>
        <v>#REF!</v>
      </c>
      <c r="E195" s="217" t="e">
        <f>VLOOKUP("reino unido",#REF!,6,FALSE)</f>
        <v>#REF!</v>
      </c>
      <c r="F195" s="216" t="e">
        <f>VLOOKUP("reino unido",#REF!,5,FALSE)/VLOOKUP("reino unido",#REF!,5,FALSE)-1</f>
        <v>#REF!</v>
      </c>
      <c r="G195" s="217" t="e">
        <f>VLOOKUP("reino unido",#REF!,5,FALSE)</f>
        <v>#REF!</v>
      </c>
      <c r="H195" s="216" t="e">
        <f>VLOOKUP("reino unido",#REF!,4,FALSE)/VLOOKUP("reino unido",#REF!,4,FALSE)-1</f>
        <v>#REF!</v>
      </c>
      <c r="I195" s="217" t="e">
        <f>VLOOKUP("reino unido",#REF!,4,FALSE)</f>
        <v>#REF!</v>
      </c>
      <c r="J195" s="216" t="e">
        <f>VLOOKUP("reino unido",#REF!,3,FALSE)/VLOOKUP("reino unido",#REF!,3,FALSE)-1</f>
        <v>#REF!</v>
      </c>
      <c r="K195" s="217" t="e">
        <f>VLOOKUP("reino unido",#REF!,3,FALSE)</f>
        <v>#REF!</v>
      </c>
      <c r="L195" s="216" t="e">
        <f>VLOOKUP("reino unido",#REF!,2,FALSE)/VLOOKUP("reino unido",#REF!,2,FALSE)-1</f>
        <v>#REF!</v>
      </c>
      <c r="M195" s="217" t="e">
        <f>VLOOKUP("reino unido",#REF!,2,FALSE)</f>
        <v>#REF!</v>
      </c>
      <c r="N195" s="216" t="e">
        <f>VLOOKUP("reino unido",#REF!,7,FALSE)/VLOOKUP("reino unido",#REF!,7,FALSE)-1</f>
        <v>#REF!</v>
      </c>
      <c r="O195" s="217" t="e">
        <f>VLOOKUP("reino unido",#REF!,7,FALSE)</f>
        <v>#REF!</v>
      </c>
      <c r="P195" s="216" t="e">
        <f>VLOOKUP("reino unido",#REF!,8,FALSE)/VLOOKUP("reino unido",#REF!,8,FALSE)-1</f>
        <v>#REF!</v>
      </c>
      <c r="Q195" s="217" t="e">
        <f>VLOOKUP("reino unido",#REF!,8,FALSE)</f>
        <v>#REF!</v>
      </c>
    </row>
    <row r="196" spans="3:17" ht="24" hidden="1" customHeight="1" x14ac:dyDescent="0.2">
      <c r="C196" s="215" t="s">
        <v>46</v>
      </c>
      <c r="D196" s="216" t="e">
        <f>VLOOKUP("irlanda",#REF!,6,FALSE)/VLOOKUP("irlanda",#REF!,6,FALSE)-1</f>
        <v>#REF!</v>
      </c>
      <c r="E196" s="217" t="e">
        <f>VLOOKUP("irlanda",#REF!,6,FALSE)</f>
        <v>#REF!</v>
      </c>
      <c r="F196" s="216" t="e">
        <f>VLOOKUP("irlanda",#REF!,5,FALSE)/VLOOKUP("irlanda",#REF!,5,FALSE)-1</f>
        <v>#REF!</v>
      </c>
      <c r="G196" s="217" t="e">
        <f>VLOOKUP("irlanda",#REF!,5,FALSE)</f>
        <v>#REF!</v>
      </c>
      <c r="H196" s="216" t="e">
        <f>VLOOKUP("irlanda",#REF!,4,FALSE)/VLOOKUP("irlanda",#REF!,4,FALSE)-1</f>
        <v>#REF!</v>
      </c>
      <c r="I196" s="217" t="e">
        <f>VLOOKUP("irlanda",#REF!,4,FALSE)</f>
        <v>#REF!</v>
      </c>
      <c r="J196" s="216" t="e">
        <f>VLOOKUP("irlanda",#REF!,3,FALSE)/VLOOKUP("irlanda",#REF!,3,FALSE)-1</f>
        <v>#REF!</v>
      </c>
      <c r="K196" s="217" t="e">
        <f>VLOOKUP("irlanda",#REF!,3,FALSE)</f>
        <v>#REF!</v>
      </c>
      <c r="L196" s="216" t="e">
        <f>VLOOKUP("irlanda",#REF!,2,FALSE)/VLOOKUP("irlanda",#REF!,2,FALSE)-1</f>
        <v>#REF!</v>
      </c>
      <c r="M196" s="217" t="e">
        <f>VLOOKUP("irlanda",#REF!,2,FALSE)</f>
        <v>#REF!</v>
      </c>
      <c r="N196" s="216" t="e">
        <f>VLOOKUP("irlanda",#REF!,7,FALSE)/VLOOKUP("irlanda",#REF!,7,FALSE)-1</f>
        <v>#REF!</v>
      </c>
      <c r="O196" s="217" t="e">
        <f>VLOOKUP("irlanda",#REF!,7,FALSE)</f>
        <v>#REF!</v>
      </c>
      <c r="P196" s="216" t="e">
        <f>VLOOKUP("irlanda",#REF!,8,FALSE)/VLOOKUP("irlanda",#REF!,8,FALSE)-1</f>
        <v>#REF!</v>
      </c>
      <c r="Q196" s="217" t="e">
        <f>VLOOKUP("irlanda",#REF!,8,FALSE)</f>
        <v>#REF!</v>
      </c>
    </row>
    <row r="197" spans="3:17" ht="24" hidden="1" customHeight="1" x14ac:dyDescent="0.2">
      <c r="C197" s="215" t="s">
        <v>47</v>
      </c>
      <c r="D197" s="216" t="e">
        <f>VLOOKUP("italia",#REF!,6,FALSE)/VLOOKUP("italia",#REF!,6,FALSE)-1</f>
        <v>#REF!</v>
      </c>
      <c r="E197" s="217" t="e">
        <f>VLOOKUP("italia",#REF!,6,FALSE)</f>
        <v>#REF!</v>
      </c>
      <c r="F197" s="216" t="e">
        <f>VLOOKUP("italia",#REF!,5,FALSE)/VLOOKUP("italia",#REF!,5,FALSE)-1</f>
        <v>#REF!</v>
      </c>
      <c r="G197" s="217" t="e">
        <f>VLOOKUP("italia",#REF!,5,FALSE)</f>
        <v>#REF!</v>
      </c>
      <c r="H197" s="216" t="e">
        <f>VLOOKUP("italia",#REF!,4,FALSE)/VLOOKUP("italia",#REF!,4,FALSE)-1</f>
        <v>#REF!</v>
      </c>
      <c r="I197" s="217" t="e">
        <f>VLOOKUP("italia",#REF!,4,FALSE)</f>
        <v>#REF!</v>
      </c>
      <c r="J197" s="216" t="e">
        <f>VLOOKUP("italia",#REF!,3,FALSE)/VLOOKUP("italia",#REF!,3,FALSE)-1</f>
        <v>#REF!</v>
      </c>
      <c r="K197" s="217" t="e">
        <f>VLOOKUP("italia",#REF!,3,FALSE)</f>
        <v>#REF!</v>
      </c>
      <c r="L197" s="216" t="e">
        <f>VLOOKUP("italia",#REF!,2,FALSE)/VLOOKUP("italia",#REF!,2,FALSE)-1</f>
        <v>#REF!</v>
      </c>
      <c r="M197" s="217" t="e">
        <f>VLOOKUP("italia",#REF!,2,FALSE)</f>
        <v>#REF!</v>
      </c>
      <c r="N197" s="216" t="e">
        <f>VLOOKUP("italia",#REF!,7,FALSE)/VLOOKUP("italia",#REF!,7,FALSE)-1</f>
        <v>#REF!</v>
      </c>
      <c r="O197" s="217" t="e">
        <f>VLOOKUP("italia",#REF!,7,FALSE)</f>
        <v>#REF!</v>
      </c>
      <c r="P197" s="216" t="e">
        <f>VLOOKUP("italia",#REF!,8,FALSE)/VLOOKUP("italia",#REF!,8,FALSE)-1</f>
        <v>#REF!</v>
      </c>
      <c r="Q197" s="217" t="e">
        <f>VLOOKUP("italia",#REF!,8,FALSE)</f>
        <v>#REF!</v>
      </c>
    </row>
    <row r="198" spans="3:17" ht="24" hidden="1" customHeight="1" x14ac:dyDescent="0.2">
      <c r="C198" s="215" t="s">
        <v>48</v>
      </c>
      <c r="D198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217" t="e">
        <f>(VLOOKUP("suecia",#REF!,6,FALSE)+VLOOKUP("noruega",#REF!,6,FALSE)+VLOOKUP("dinamarca",#REF!,6,FALSE)+VLOOKUP("finlandia",#REF!,6,FALSE))</f>
        <v>#REF!</v>
      </c>
      <c r="F198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217" t="e">
        <f>(VLOOKUP("suecia",#REF!,5,FALSE)+VLOOKUP("noruega",#REF!,5,FALSE)+VLOOKUP("dinamarca",#REF!,5,FALSE)+VLOOKUP("finlandia",#REF!,5,FALSE))</f>
        <v>#REF!</v>
      </c>
      <c r="H198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217" t="e">
        <f>(VLOOKUP("suecia",#REF!,4,FALSE)+VLOOKUP("noruega",#REF!,4,FALSE)+VLOOKUP("dinamarca",#REF!,4,FALSE)+VLOOKUP("finlandia",#REF!,4,FALSE))</f>
        <v>#REF!</v>
      </c>
      <c r="J198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217" t="e">
        <f>(VLOOKUP("suecia",#REF!,3,FALSE)+VLOOKUP("noruega",#REF!,3,FALSE)+VLOOKUP("dinamarca",#REF!,3,FALSE)+VLOOKUP("finlandia",#REF!,3,FALSE))</f>
        <v>#REF!</v>
      </c>
      <c r="L198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217" t="e">
        <f>(VLOOKUP("suecia",#REF!,2,FALSE)+VLOOKUP("noruega",#REF!,2,FALSE)+VLOOKUP("dinamarca",#REF!,2,FALSE)+VLOOKUP("finlandia",#REF!,2,FALSE))</f>
        <v>#REF!</v>
      </c>
      <c r="N198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217" t="e">
        <f>(VLOOKUP("suecia",#REF!,7,FALSE)+VLOOKUP("noruega",#REF!,7,FALSE)+VLOOKUP("dinamarca",#REF!,7,FALSE)+VLOOKUP("finlandia",#REF!,7,FALSE))</f>
        <v>#REF!</v>
      </c>
      <c r="P198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217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218" t="s">
        <v>49</v>
      </c>
      <c r="D199" s="216" t="e">
        <f>VLOOKUP("suecia",#REF!,6,FALSE)/VLOOKUP("suecia",#REF!,6,FALSE)-1</f>
        <v>#REF!</v>
      </c>
      <c r="E199" s="217" t="e">
        <f>VLOOKUP("suecia",#REF!,6,FALSE)</f>
        <v>#REF!</v>
      </c>
      <c r="F199" s="216" t="e">
        <f>VLOOKUP("suecia",#REF!,5,FALSE)/VLOOKUP("suecia",#REF!,5,FALSE)-1</f>
        <v>#REF!</v>
      </c>
      <c r="G199" s="217" t="e">
        <f>VLOOKUP("suecia",#REF!,5,FALSE)</f>
        <v>#REF!</v>
      </c>
      <c r="H199" s="216" t="e">
        <f>VLOOKUP("suecia",#REF!,4,FALSE)/VLOOKUP("suecia",#REF!,4,FALSE)-1</f>
        <v>#REF!</v>
      </c>
      <c r="I199" s="217" t="e">
        <f>VLOOKUP("suecia",#REF!,4,FALSE)</f>
        <v>#REF!</v>
      </c>
      <c r="J199" s="216" t="e">
        <f>VLOOKUP("suecia",#REF!,3,FALSE)/VLOOKUP("suecia",#REF!,3,FALSE)-1</f>
        <v>#REF!</v>
      </c>
      <c r="K199" s="217" t="e">
        <f>VLOOKUP("suecia",#REF!,3,FALSE)</f>
        <v>#REF!</v>
      </c>
      <c r="L199" s="216" t="e">
        <f>VLOOKUP("suecia",#REF!,2,FALSE)/VLOOKUP("suecia",#REF!,2,FALSE)-1</f>
        <v>#REF!</v>
      </c>
      <c r="M199" s="217" t="e">
        <f>VLOOKUP("suecia",#REF!,2,FALSE)</f>
        <v>#REF!</v>
      </c>
      <c r="N199" s="216" t="e">
        <f>VLOOKUP("suecia",#REF!,7,FALSE)/VLOOKUP("suecia",#REF!,7,FALSE)-1</f>
        <v>#REF!</v>
      </c>
      <c r="O199" s="217" t="e">
        <f>VLOOKUP("suecia",#REF!,7,FALSE)</f>
        <v>#REF!</v>
      </c>
      <c r="P199" s="216" t="e">
        <f>VLOOKUP("suecia",#REF!,8,FALSE)/VLOOKUP("suecia",#REF!,8,FALSE)-1</f>
        <v>#REF!</v>
      </c>
      <c r="Q199" s="217" t="e">
        <f>VLOOKUP("suecia",#REF!,8,FALSE)</f>
        <v>#REF!</v>
      </c>
    </row>
    <row r="200" spans="3:17" ht="24" hidden="1" customHeight="1" x14ac:dyDescent="0.2">
      <c r="C200" s="218" t="s">
        <v>50</v>
      </c>
      <c r="D200" s="216" t="e">
        <f>VLOOKUP("noruega",#REF!,6,FALSE)/VLOOKUP("noruega",#REF!,6,FALSE)-1</f>
        <v>#REF!</v>
      </c>
      <c r="E200" s="217" t="e">
        <f>VLOOKUP("noruega",#REF!,6,FALSE)</f>
        <v>#REF!</v>
      </c>
      <c r="F200" s="216" t="e">
        <f>VLOOKUP("noruega",#REF!,5,FALSE)/VLOOKUP("noruega",#REF!,5,FALSE)-1</f>
        <v>#REF!</v>
      </c>
      <c r="G200" s="217" t="e">
        <f>VLOOKUP("noruega",#REF!,5,FALSE)</f>
        <v>#REF!</v>
      </c>
      <c r="H200" s="216" t="e">
        <f>VLOOKUP("noruega",#REF!,4,FALSE)/VLOOKUP("noruega",#REF!,4,FALSE)-1</f>
        <v>#REF!</v>
      </c>
      <c r="I200" s="217" t="e">
        <f>VLOOKUP("noruega",#REF!,4,FALSE)</f>
        <v>#REF!</v>
      </c>
      <c r="J200" s="216" t="e">
        <f>VLOOKUP("noruega",#REF!,3,FALSE)/VLOOKUP("noruega",#REF!,3,FALSE)-1</f>
        <v>#REF!</v>
      </c>
      <c r="K200" s="217" t="e">
        <f>VLOOKUP("noruega",#REF!,3,FALSE)</f>
        <v>#REF!</v>
      </c>
      <c r="L200" s="216" t="e">
        <f>VLOOKUP("noruega",#REF!,2,FALSE)/VLOOKUP("noruega",#REF!,2,FALSE)-1</f>
        <v>#REF!</v>
      </c>
      <c r="M200" s="217" t="e">
        <f>VLOOKUP("noruega",#REF!,2,FALSE)</f>
        <v>#REF!</v>
      </c>
      <c r="N200" s="216" t="e">
        <f>VLOOKUP("noruega",#REF!,7,FALSE)/VLOOKUP("noruega",#REF!,7,FALSE)-1</f>
        <v>#REF!</v>
      </c>
      <c r="O200" s="217" t="e">
        <f>VLOOKUP("noruega",#REF!,7,FALSE)</f>
        <v>#REF!</v>
      </c>
      <c r="P200" s="216" t="e">
        <f>VLOOKUP("noruega",#REF!,8,FALSE)/VLOOKUP("noruega",#REF!,8,FALSE)-1</f>
        <v>#REF!</v>
      </c>
      <c r="Q200" s="217" t="e">
        <f>VLOOKUP("noruega",#REF!,8,FALSE)</f>
        <v>#REF!</v>
      </c>
    </row>
    <row r="201" spans="3:17" ht="24" hidden="1" customHeight="1" x14ac:dyDescent="0.2">
      <c r="C201" s="218" t="s">
        <v>51</v>
      </c>
      <c r="D201" s="216" t="e">
        <f>VLOOKUP("dinamarca",#REF!,6,FALSE)/VLOOKUP("dinamarca",#REF!,6,FALSE)-1</f>
        <v>#REF!</v>
      </c>
      <c r="E201" s="217" t="e">
        <f>VLOOKUP("dinamarca",#REF!,6,FALSE)</f>
        <v>#REF!</v>
      </c>
      <c r="F201" s="216" t="e">
        <f>VLOOKUP("dinamarca",#REF!,5,FALSE)/VLOOKUP("dinamarca",#REF!,5,FALSE)-1</f>
        <v>#REF!</v>
      </c>
      <c r="G201" s="217" t="e">
        <f>VLOOKUP("dinamarca",#REF!,5,FALSE)</f>
        <v>#REF!</v>
      </c>
      <c r="H201" s="216" t="e">
        <f>VLOOKUP("dinamarca",#REF!,4,FALSE)/VLOOKUP("dinamarca",#REF!,4,FALSE)-1</f>
        <v>#REF!</v>
      </c>
      <c r="I201" s="217" t="e">
        <f>VLOOKUP("dinamarca",#REF!,4,FALSE)</f>
        <v>#REF!</v>
      </c>
      <c r="J201" s="216" t="e">
        <f>VLOOKUP("dinamarca",#REF!,3,FALSE)/VLOOKUP("dinamarca",#REF!,3,FALSE)-1</f>
        <v>#REF!</v>
      </c>
      <c r="K201" s="217" t="e">
        <f>VLOOKUP("dinamarca",#REF!,3,FALSE)</f>
        <v>#REF!</v>
      </c>
      <c r="L201" s="216" t="e">
        <f>VLOOKUP("dinamarca",#REF!,2,FALSE)/VLOOKUP("dinamarca",#REF!,2,FALSE)-1</f>
        <v>#REF!</v>
      </c>
      <c r="M201" s="217" t="e">
        <f>VLOOKUP("dinamarca",#REF!,2,FALSE)</f>
        <v>#REF!</v>
      </c>
      <c r="N201" s="216" t="e">
        <f>VLOOKUP("dinamarca",#REF!,7,FALSE)/VLOOKUP("dinamarca",#REF!,7,FALSE)-1</f>
        <v>#REF!</v>
      </c>
      <c r="O201" s="217" t="e">
        <f>VLOOKUP("dinamarca",#REF!,7,FALSE)</f>
        <v>#REF!</v>
      </c>
      <c r="P201" s="216" t="e">
        <f>VLOOKUP("dinamarca",#REF!,8,FALSE)/VLOOKUP("dinamarca",#REF!,8,FALSE)-1</f>
        <v>#REF!</v>
      </c>
      <c r="Q201" s="217" t="e">
        <f>VLOOKUP("dinamarca",#REF!,8,FALSE)</f>
        <v>#REF!</v>
      </c>
    </row>
    <row r="202" spans="3:17" ht="24" hidden="1" customHeight="1" x14ac:dyDescent="0.2">
      <c r="C202" s="218" t="s">
        <v>52</v>
      </c>
      <c r="D202" s="216" t="s">
        <v>38</v>
      </c>
      <c r="E202" s="217" t="e">
        <f>VLOOKUP("finlandia",#REF!,6,FALSE)</f>
        <v>#REF!</v>
      </c>
      <c r="F202" s="216" t="e">
        <f>VLOOKUP("finlandia",#REF!,5,FALSE)/VLOOKUP("finlandia",#REF!,5,FALSE)-1</f>
        <v>#REF!</v>
      </c>
      <c r="G202" s="217" t="e">
        <f>VLOOKUP("finlandia",#REF!,5,FALSE)</f>
        <v>#REF!</v>
      </c>
      <c r="H202" s="216" t="e">
        <f>VLOOKUP("finlandia",#REF!,4,FALSE)/VLOOKUP("finlandia",#REF!,4,FALSE)-1</f>
        <v>#REF!</v>
      </c>
      <c r="I202" s="217" t="e">
        <f>VLOOKUP("finlandia",#REF!,4,FALSE)</f>
        <v>#REF!</v>
      </c>
      <c r="J202" s="216" t="e">
        <f>VLOOKUP("finlandia",#REF!,3,FALSE)/VLOOKUP("finlandia",#REF!,3,FALSE)-1</f>
        <v>#REF!</v>
      </c>
      <c r="K202" s="217" t="e">
        <f>VLOOKUP("finlandia",#REF!,3,FALSE)</f>
        <v>#REF!</v>
      </c>
      <c r="L202" s="216" t="s">
        <v>38</v>
      </c>
      <c r="M202" s="217" t="e">
        <f>VLOOKUP("finlandia",#REF!,2,FALSE)</f>
        <v>#REF!</v>
      </c>
      <c r="N202" s="216" t="e">
        <f>VLOOKUP("finlandia",#REF!,7,FALSE)/VLOOKUP("finlandia",#REF!,7,FALSE)-1</f>
        <v>#REF!</v>
      </c>
      <c r="O202" s="217" t="e">
        <f>VLOOKUP("finlandia",#REF!,7,FALSE)</f>
        <v>#REF!</v>
      </c>
      <c r="P202" s="216" t="e">
        <f>VLOOKUP("finlandia",#REF!,8,FALSE)/VLOOKUP("finlandia",#REF!,8,FALSE)-1</f>
        <v>#REF!</v>
      </c>
      <c r="Q202" s="217" t="e">
        <f>VLOOKUP("finlandia",#REF!,8,FALSE)</f>
        <v>#REF!</v>
      </c>
    </row>
    <row r="203" spans="3:17" ht="24" hidden="1" customHeight="1" x14ac:dyDescent="0.2">
      <c r="C203" s="215" t="s">
        <v>53</v>
      </c>
      <c r="D203" s="216" t="e">
        <f>VLOOKUP("suiza",#REF!,6,FALSE)/VLOOKUP("suiza",#REF!,6,FALSE)-1</f>
        <v>#REF!</v>
      </c>
      <c r="E203" s="217" t="e">
        <f>VLOOKUP("suiza",#REF!,6,FALSE)</f>
        <v>#REF!</v>
      </c>
      <c r="F203" s="216" t="e">
        <f>VLOOKUP("suiza",#REF!,5,FALSE)/VLOOKUP("suiza",#REF!,5,FALSE)-1</f>
        <v>#REF!</v>
      </c>
      <c r="G203" s="217" t="e">
        <f>VLOOKUP("suiza",#REF!,5,FALSE)</f>
        <v>#REF!</v>
      </c>
      <c r="H203" s="216" t="e">
        <f>VLOOKUP("suiza",#REF!,4,FALSE)/VLOOKUP("suiza",#REF!,4,FALSE)-1</f>
        <v>#REF!</v>
      </c>
      <c r="I203" s="217" t="e">
        <f>VLOOKUP("suiza",#REF!,4,FALSE)</f>
        <v>#REF!</v>
      </c>
      <c r="J203" s="216" t="e">
        <f>VLOOKUP("suiza",#REF!,3,FALSE)/VLOOKUP("suiza",#REF!,3,FALSE)-1</f>
        <v>#REF!</v>
      </c>
      <c r="K203" s="217" t="e">
        <f>VLOOKUP("suiza",#REF!,3,FALSE)</f>
        <v>#REF!</v>
      </c>
      <c r="L203" s="216" t="e">
        <f>VLOOKUP("suiza",#REF!,2,FALSE)/VLOOKUP("suiza",#REF!,2,FALSE)-1</f>
        <v>#REF!</v>
      </c>
      <c r="M203" s="217" t="e">
        <f>VLOOKUP("suiza",#REF!,2,FALSE)</f>
        <v>#REF!</v>
      </c>
      <c r="N203" s="216" t="e">
        <f>VLOOKUP("suiza",#REF!,7,FALSE)/VLOOKUP("suiza",#REF!,7,FALSE)-1</f>
        <v>#REF!</v>
      </c>
      <c r="O203" s="217" t="e">
        <f>VLOOKUP("suiza",#REF!,7,FALSE)</f>
        <v>#REF!</v>
      </c>
      <c r="P203" s="216" t="e">
        <f>VLOOKUP("suiza",#REF!,8,FALSE)/VLOOKUP("suiza",#REF!,8,FALSE)-1</f>
        <v>#REF!</v>
      </c>
      <c r="Q203" s="217" t="e">
        <f>VLOOKUP("suiza",#REF!,8,FALSE)</f>
        <v>#REF!</v>
      </c>
    </row>
    <row r="204" spans="3:17" ht="24" hidden="1" customHeight="1" x14ac:dyDescent="0.2">
      <c r="C204" s="215" t="s">
        <v>54</v>
      </c>
      <c r="D204" s="216" t="e">
        <f>VLOOKUP("austria",#REF!,6,FALSE)/VLOOKUP("austria",#REF!,6,FALSE)-1</f>
        <v>#REF!</v>
      </c>
      <c r="E204" s="217" t="e">
        <f>VLOOKUP("austria",#REF!,6,FALSE)</f>
        <v>#REF!</v>
      </c>
      <c r="F204" s="216" t="e">
        <f>VLOOKUP("austria",#REF!,5,FALSE)/VLOOKUP("austria",#REF!,5,FALSE)-1</f>
        <v>#REF!</v>
      </c>
      <c r="G204" s="217" t="e">
        <f>VLOOKUP("austria",#REF!,5,FALSE)</f>
        <v>#REF!</v>
      </c>
      <c r="H204" s="216" t="e">
        <f>VLOOKUP("austria",#REF!,4,FALSE)/VLOOKUP("austria",#REF!,4,FALSE)-1</f>
        <v>#REF!</v>
      </c>
      <c r="I204" s="217" t="e">
        <f>VLOOKUP("austria",#REF!,4,FALSE)</f>
        <v>#REF!</v>
      </c>
      <c r="J204" s="216" t="e">
        <f>VLOOKUP("austria",#REF!,3,FALSE)/VLOOKUP("austria",#REF!,3,FALSE)-1</f>
        <v>#REF!</v>
      </c>
      <c r="K204" s="217" t="e">
        <f>VLOOKUP("austria",#REF!,3,FALSE)</f>
        <v>#REF!</v>
      </c>
      <c r="L204" s="216" t="e">
        <f>VLOOKUP("austria",#REF!,2,FALSE)/VLOOKUP("austria",#REF!,2,FALSE)-1</f>
        <v>#REF!</v>
      </c>
      <c r="M204" s="217" t="e">
        <f>VLOOKUP("austria",#REF!,2,FALSE)</f>
        <v>#REF!</v>
      </c>
      <c r="N204" s="216" t="e">
        <f>VLOOKUP("austria",#REF!,7,FALSE)/VLOOKUP("austria",#REF!,7,FALSE)-1</f>
        <v>#REF!</v>
      </c>
      <c r="O204" s="217" t="e">
        <f>VLOOKUP("austria",#REF!,7,FALSE)</f>
        <v>#REF!</v>
      </c>
      <c r="P204" s="216" t="e">
        <f>VLOOKUP("austria",#REF!,8,FALSE)/VLOOKUP("austria",#REF!,8,FALSE)-1</f>
        <v>#REF!</v>
      </c>
      <c r="Q204" s="217" t="e">
        <f>VLOOKUP("austria",#REF!,8,FALSE)</f>
        <v>#REF!</v>
      </c>
    </row>
    <row r="205" spans="3:17" ht="24" hidden="1" customHeight="1" x14ac:dyDescent="0.2">
      <c r="C205" s="215" t="s">
        <v>55</v>
      </c>
      <c r="D205" s="216" t="e">
        <f>VLOOKUP("rusia",#REF!,6,FALSE)/VLOOKUP("rusia",#REF!,6,FALSE)-1</f>
        <v>#REF!</v>
      </c>
      <c r="E205" s="217" t="e">
        <f>VLOOKUP("rusia",#REF!,6,FALSE)</f>
        <v>#REF!</v>
      </c>
      <c r="F205" s="216" t="e">
        <f>VLOOKUP("rusia",#REF!,5,FALSE)/VLOOKUP("rusia",#REF!,5,FALSE)-1</f>
        <v>#REF!</v>
      </c>
      <c r="G205" s="217" t="e">
        <f>VLOOKUP("rusia",#REF!,5,FALSE)</f>
        <v>#REF!</v>
      </c>
      <c r="H205" s="216" t="e">
        <f>VLOOKUP("rusia",#REF!,4,FALSE)/VLOOKUP("rusia",#REF!,4,FALSE)-1</f>
        <v>#REF!</v>
      </c>
      <c r="I205" s="217" t="e">
        <f>VLOOKUP("rusia",#REF!,4,FALSE)</f>
        <v>#REF!</v>
      </c>
      <c r="J205" s="216" t="e">
        <f>VLOOKUP("rusia",#REF!,3,FALSE)/VLOOKUP("rusia",#REF!,3,FALSE)-1</f>
        <v>#REF!</v>
      </c>
      <c r="K205" s="217" t="e">
        <f>VLOOKUP("rusia",#REF!,3,FALSE)</f>
        <v>#REF!</v>
      </c>
      <c r="L205" s="216" t="e">
        <f>VLOOKUP("rusia",#REF!,2,FALSE)/VLOOKUP("rusia",#REF!,2,FALSE)-1</f>
        <v>#REF!</v>
      </c>
      <c r="M205" s="217" t="e">
        <f>VLOOKUP("rusia",#REF!,2,FALSE)</f>
        <v>#REF!</v>
      </c>
      <c r="N205" s="216" t="e">
        <f>VLOOKUP("rusia",#REF!,7,FALSE)/VLOOKUP("rusia",#REF!,7,FALSE)-1</f>
        <v>#REF!</v>
      </c>
      <c r="O205" s="217" t="e">
        <f>VLOOKUP("rusia",#REF!,7,FALSE)</f>
        <v>#REF!</v>
      </c>
      <c r="P205" s="216" t="e">
        <f>VLOOKUP("rusia",#REF!,8,FALSE)/VLOOKUP("rusia",#REF!,8,FALSE)-1</f>
        <v>#REF!</v>
      </c>
      <c r="Q205" s="217" t="e">
        <f>VLOOKUP("rusia",#REF!,8,FALSE)</f>
        <v>#REF!</v>
      </c>
    </row>
    <row r="206" spans="3:17" ht="24" hidden="1" customHeight="1" x14ac:dyDescent="0.2">
      <c r="C206" s="215" t="s">
        <v>56</v>
      </c>
      <c r="D206" s="216" t="e">
        <f>VLOOKUP("paises del este",#REF!,6,FALSE)/VLOOKUP("paises del este",#REF!,6,FALSE)-1</f>
        <v>#REF!</v>
      </c>
      <c r="E206" s="217" t="e">
        <f>VLOOKUP("paises del este",#REF!,6,FALSE)</f>
        <v>#REF!</v>
      </c>
      <c r="F206" s="216" t="e">
        <f>VLOOKUP("paises del este",#REF!,5,FALSE)/VLOOKUP("paises del este",#REF!,5,FALSE)-1</f>
        <v>#REF!</v>
      </c>
      <c r="G206" s="217" t="e">
        <f>VLOOKUP("paises del este",#REF!,5,FALSE)</f>
        <v>#REF!</v>
      </c>
      <c r="H206" s="216" t="e">
        <f>VLOOKUP("paises del este",#REF!,4,FALSE)/VLOOKUP("paises del este",#REF!,4,FALSE)-1</f>
        <v>#REF!</v>
      </c>
      <c r="I206" s="217" t="e">
        <f>VLOOKUP("paises del este",#REF!,4,FALSE)</f>
        <v>#REF!</v>
      </c>
      <c r="J206" s="216" t="e">
        <f>VLOOKUP("paises del este",#REF!,3,FALSE)/VLOOKUP("paises del este",#REF!,3,FALSE)-1</f>
        <v>#REF!</v>
      </c>
      <c r="K206" s="217" t="e">
        <f>VLOOKUP("paises del este",#REF!,3,FALSE)</f>
        <v>#REF!</v>
      </c>
      <c r="L206" s="216" t="e">
        <f>VLOOKUP("paises del este",#REF!,2,FALSE)/VLOOKUP("paises del este",#REF!,2,FALSE)-1</f>
        <v>#REF!</v>
      </c>
      <c r="M206" s="217" t="e">
        <f>VLOOKUP("paises del este",#REF!,2,FALSE)</f>
        <v>#REF!</v>
      </c>
      <c r="N206" s="216" t="e">
        <f>VLOOKUP("paises del este",#REF!,7,FALSE)/VLOOKUP("paises del este",#REF!,7,FALSE)-1</f>
        <v>#REF!</v>
      </c>
      <c r="O206" s="217" t="e">
        <f>VLOOKUP("paises del este",#REF!,7,FALSE)</f>
        <v>#REF!</v>
      </c>
      <c r="P206" s="216" t="e">
        <f>VLOOKUP("paises del este",#REF!,8,FALSE)/VLOOKUP("paises del este",#REF!,8,FALSE)-1</f>
        <v>#REF!</v>
      </c>
      <c r="Q206" s="217" t="e">
        <f>VLOOKUP("paises del este",#REF!,8,FALSE)</f>
        <v>#REF!</v>
      </c>
    </row>
    <row r="207" spans="3:17" ht="24" hidden="1" customHeight="1" x14ac:dyDescent="0.2">
      <c r="C207" s="215" t="s">
        <v>57</v>
      </c>
      <c r="D207" s="216" t="e">
        <f>VLOOKUP("resto de europa",#REF!,6,FALSE)/VLOOKUP("resto de europa",#REF!,6,FALSE)-1</f>
        <v>#REF!</v>
      </c>
      <c r="E207" s="217" t="e">
        <f>VLOOKUP("resto de europa",#REF!,6,FALSE)</f>
        <v>#REF!</v>
      </c>
      <c r="F207" s="216" t="e">
        <f>VLOOKUP("resto de europa",#REF!,5,FALSE)/VLOOKUP("resto de europa",#REF!,5,FALSE)-1</f>
        <v>#REF!</v>
      </c>
      <c r="G207" s="217" t="e">
        <f>VLOOKUP("resto de europa",#REF!,5,FALSE)</f>
        <v>#REF!</v>
      </c>
      <c r="H207" s="216" t="e">
        <f>VLOOKUP("resto de europa",#REF!,4,FALSE)/VLOOKUP("resto de europa",#REF!,4,FALSE)-1</f>
        <v>#REF!</v>
      </c>
      <c r="I207" s="217" t="e">
        <f>VLOOKUP("resto de europa",#REF!,4,FALSE)</f>
        <v>#REF!</v>
      </c>
      <c r="J207" s="216" t="e">
        <f>VLOOKUP("resto de europa",#REF!,3,FALSE)/VLOOKUP("resto de europa",#REF!,3,FALSE)-1</f>
        <v>#REF!</v>
      </c>
      <c r="K207" s="217" t="e">
        <f>VLOOKUP("resto de europa",#REF!,3,FALSE)</f>
        <v>#REF!</v>
      </c>
      <c r="L207" s="216" t="e">
        <f>VLOOKUP("resto de europa",#REF!,2,FALSE)/VLOOKUP("resto de europa",#REF!,2,FALSE)-1</f>
        <v>#REF!</v>
      </c>
      <c r="M207" s="217" t="e">
        <f>VLOOKUP("resto de europa",#REF!,2,FALSE)</f>
        <v>#REF!</v>
      </c>
      <c r="N207" s="216" t="e">
        <f>VLOOKUP("resto de europa",#REF!,7,FALSE)/VLOOKUP("resto de europa",#REF!,7,FALSE)-1</f>
        <v>#REF!</v>
      </c>
      <c r="O207" s="217" t="e">
        <f>VLOOKUP("resto de europa",#REF!,7,FALSE)</f>
        <v>#REF!</v>
      </c>
      <c r="P207" s="216" t="e">
        <f>VLOOKUP("resto de europa",#REF!,8,FALSE)/VLOOKUP("resto de europa",#REF!,8,FALSE)-1</f>
        <v>#REF!</v>
      </c>
      <c r="Q207" s="217" t="e">
        <f>VLOOKUP("resto de europa",#REF!,8,FALSE)</f>
        <v>#REF!</v>
      </c>
    </row>
    <row r="208" spans="3:17" ht="24" hidden="1" customHeight="1" x14ac:dyDescent="0.2">
      <c r="C208" s="215" t="s">
        <v>58</v>
      </c>
      <c r="D208" s="216" t="e">
        <f>VLOOKUP("usa",#REF!,6,FALSE)/VLOOKUP("usa",#REF!,6,FALSE)-1</f>
        <v>#REF!</v>
      </c>
      <c r="E208" s="217" t="e">
        <f>VLOOKUP("usa",#REF!,6,FALSE)</f>
        <v>#REF!</v>
      </c>
      <c r="F208" s="216" t="e">
        <f>VLOOKUP("usa",#REF!,5,FALSE)/VLOOKUP("usa",#REF!,5,FALSE)-1</f>
        <v>#REF!</v>
      </c>
      <c r="G208" s="217" t="e">
        <f>VLOOKUP("usa",#REF!,5,FALSE)</f>
        <v>#REF!</v>
      </c>
      <c r="H208" s="216" t="e">
        <f>VLOOKUP("usa",#REF!,4,FALSE)/VLOOKUP("usa",#REF!,4,FALSE)-1</f>
        <v>#REF!</v>
      </c>
      <c r="I208" s="217" t="e">
        <f>VLOOKUP("usa",#REF!,4,FALSE)</f>
        <v>#REF!</v>
      </c>
      <c r="J208" s="216" t="e">
        <f>VLOOKUP("usa",#REF!,3,FALSE)/VLOOKUP("usa",#REF!,3,FALSE)-1</f>
        <v>#REF!</v>
      </c>
      <c r="K208" s="217" t="e">
        <f>VLOOKUP("usa",#REF!,3,FALSE)</f>
        <v>#REF!</v>
      </c>
      <c r="L208" s="216" t="e">
        <f>VLOOKUP("usa",#REF!,2,FALSE)/VLOOKUP("usa",#REF!,2,FALSE)-1</f>
        <v>#REF!</v>
      </c>
      <c r="M208" s="217" t="e">
        <f>VLOOKUP("usa",#REF!,2,FALSE)</f>
        <v>#REF!</v>
      </c>
      <c r="N208" s="216" t="e">
        <f>VLOOKUP("usa",#REF!,7,FALSE)/VLOOKUP("usa",#REF!,7,FALSE)-1</f>
        <v>#REF!</v>
      </c>
      <c r="O208" s="217" t="e">
        <f>VLOOKUP("usa",#REF!,7,FALSE)</f>
        <v>#REF!</v>
      </c>
      <c r="P208" s="216" t="e">
        <f>VLOOKUP("usa",#REF!,8,FALSE)/VLOOKUP("usa",#REF!,8,FALSE)-1</f>
        <v>#REF!</v>
      </c>
      <c r="Q208" s="217" t="e">
        <f>VLOOKUP("usa",#REF!,8,FALSE)</f>
        <v>#REF!</v>
      </c>
    </row>
    <row r="209" spans="3:18" ht="24" hidden="1" customHeight="1" x14ac:dyDescent="0.2">
      <c r="C209" s="215" t="s">
        <v>59</v>
      </c>
      <c r="D209" s="216" t="e">
        <f>VLOOKUP("resto de america",#REF!,6,FALSE)/VLOOKUP("resto de america",#REF!,6,FALSE)-1</f>
        <v>#REF!</v>
      </c>
      <c r="E209" s="217" t="e">
        <f>VLOOKUP("resto de america",#REF!,6,FALSE)</f>
        <v>#REF!</v>
      </c>
      <c r="F209" s="216" t="e">
        <f>VLOOKUP("resto de america",#REF!,5,FALSE)/VLOOKUP("resto de america",#REF!,5,FALSE)-1</f>
        <v>#REF!</v>
      </c>
      <c r="G209" s="217" t="e">
        <f>VLOOKUP("resto de america",#REF!,5,FALSE)</f>
        <v>#REF!</v>
      </c>
      <c r="H209" s="216" t="e">
        <f>VLOOKUP("resto de america",#REF!,4,FALSE)/VLOOKUP("resto de america",#REF!,4,FALSE)-1</f>
        <v>#REF!</v>
      </c>
      <c r="I209" s="217" t="e">
        <f>VLOOKUP("resto de america",#REF!,4,FALSE)</f>
        <v>#REF!</v>
      </c>
      <c r="J209" s="216" t="e">
        <f>VLOOKUP("resto de america",#REF!,3,FALSE)/VLOOKUP("resto de america",#REF!,3,FALSE)-1</f>
        <v>#REF!</v>
      </c>
      <c r="K209" s="217" t="e">
        <f>VLOOKUP("resto de america",#REF!,3,FALSE)</f>
        <v>#REF!</v>
      </c>
      <c r="L209" s="216" t="e">
        <f>VLOOKUP("resto de america",#REF!,2,FALSE)/VLOOKUP("resto de america",#REF!,2,FALSE)-1</f>
        <v>#REF!</v>
      </c>
      <c r="M209" s="217" t="e">
        <f>VLOOKUP("resto de america",#REF!,2,FALSE)</f>
        <v>#REF!</v>
      </c>
      <c r="N209" s="216" t="e">
        <f>VLOOKUP("resto de america",#REF!,7,FALSE)/VLOOKUP("resto de america",#REF!,7,FALSE)-1</f>
        <v>#REF!</v>
      </c>
      <c r="O209" s="217" t="e">
        <f>VLOOKUP("resto de america",#REF!,7,FALSE)</f>
        <v>#REF!</v>
      </c>
      <c r="P209" s="216" t="e">
        <f>VLOOKUP("resto de america",#REF!,8,FALSE)/VLOOKUP("resto de america",#REF!,8,FALSE)-1</f>
        <v>#REF!</v>
      </c>
      <c r="Q209" s="217" t="e">
        <f>VLOOKUP("resto de america",#REF!,8,FALSE)</f>
        <v>#REF!</v>
      </c>
    </row>
    <row r="210" spans="3:18" ht="24" hidden="1" customHeight="1" x14ac:dyDescent="0.2">
      <c r="C210" s="215" t="s">
        <v>60</v>
      </c>
      <c r="D210" s="216" t="e">
        <f>VLOOKUP("resto del mundo",#REF!,6,FALSE)/VLOOKUP("resto del mundo",#REF!,6,FALSE)-1</f>
        <v>#REF!</v>
      </c>
      <c r="E210" s="217" t="e">
        <f>VLOOKUP("resto del mundo",#REF!,6,FALSE)</f>
        <v>#REF!</v>
      </c>
      <c r="F210" s="216" t="e">
        <f>VLOOKUP("resto del mundo",#REF!,5,FALSE)/VLOOKUP("resto del mundo",#REF!,5,FALSE)-1</f>
        <v>#REF!</v>
      </c>
      <c r="G210" s="217" t="e">
        <f>VLOOKUP("resto del mundo",#REF!,5,FALSE)</f>
        <v>#REF!</v>
      </c>
      <c r="H210" s="216" t="e">
        <f>VLOOKUP("resto del mundo",#REF!,4,FALSE)/VLOOKUP("resto del mundo",#REF!,4,FALSE)-1</f>
        <v>#REF!</v>
      </c>
      <c r="I210" s="217" t="e">
        <f>VLOOKUP("resto del mundo",#REF!,4,FALSE)</f>
        <v>#REF!</v>
      </c>
      <c r="J210" s="216" t="e">
        <f>VLOOKUP("resto del mundo",#REF!,3,FALSE)/VLOOKUP("resto del mundo",#REF!,3,FALSE)-1</f>
        <v>#REF!</v>
      </c>
      <c r="K210" s="217" t="e">
        <f>VLOOKUP("resto del mundo",#REF!,3,FALSE)</f>
        <v>#REF!</v>
      </c>
      <c r="L210" s="216" t="e">
        <f>VLOOKUP("resto del mundo",#REF!,2,FALSE)/VLOOKUP("resto del mundo",#REF!,2,FALSE)-1</f>
        <v>#REF!</v>
      </c>
      <c r="M210" s="217" t="e">
        <f>VLOOKUP("resto del mundo",#REF!,2,FALSE)</f>
        <v>#REF!</v>
      </c>
      <c r="N210" s="216" t="e">
        <f>VLOOKUP("resto del mundo",#REF!,7,FALSE)/VLOOKUP("resto del mundo",#REF!,7,FALSE)-1</f>
        <v>#REF!</v>
      </c>
      <c r="O210" s="217" t="e">
        <f>VLOOKUP("resto del mundo",#REF!,7,FALSE)</f>
        <v>#REF!</v>
      </c>
      <c r="P210" s="216" t="e">
        <f>VLOOKUP("resto del mundo",#REF!,8,FALSE)/VLOOKUP("resto del mundo",#REF!,8,FALSE)-1</f>
        <v>#REF!</v>
      </c>
      <c r="Q210" s="217" t="e">
        <f>VLOOKUP("resto del mundo",#REF!,8,FALSE)</f>
        <v>#REF!</v>
      </c>
    </row>
    <row r="211" spans="3:18" ht="24" hidden="1" customHeight="1" x14ac:dyDescent="0.2">
      <c r="C211" s="215" t="s">
        <v>61</v>
      </c>
      <c r="D211" s="216" t="e">
        <f>(VLOOKUP("total",#REF!,6,FALSE)-VLOOKUP("españa",#REF!,6,FALSE))/(VLOOKUP("total",#REF!,6,FALSE)-VLOOKUP("españa",#REF!,6,FALSE))-1</f>
        <v>#REF!</v>
      </c>
      <c r="E211" s="217" t="e">
        <f>VLOOKUP("total",#REF!,6,FALSE)-VLOOKUP("españa",#REF!,6,FALSE)</f>
        <v>#REF!</v>
      </c>
      <c r="F211" s="216" t="e">
        <f>(VLOOKUP("total",#REF!,5,FALSE)-VLOOKUP("españa",#REF!,5,FALSE))/(VLOOKUP("total",#REF!,5,FALSE)-VLOOKUP("españa",#REF!,5,FALSE))-1</f>
        <v>#REF!</v>
      </c>
      <c r="G211" s="217" t="e">
        <f>VLOOKUP("total",#REF!,5,FALSE)-VLOOKUP("españa",#REF!,5,FALSE)</f>
        <v>#REF!</v>
      </c>
      <c r="H211" s="216" t="e">
        <f>(VLOOKUP("total",#REF!,4,FALSE)-VLOOKUP("españa",#REF!,4,FALSE))/(VLOOKUP("total",#REF!,4,FALSE)-VLOOKUP("españa",#REF!,4,FALSE))-1</f>
        <v>#REF!</v>
      </c>
      <c r="I211" s="217" t="e">
        <f>VLOOKUP("total",#REF!,4,FALSE)-VLOOKUP("españa",#REF!,4,FALSE)</f>
        <v>#REF!</v>
      </c>
      <c r="J211" s="216" t="e">
        <f>(VLOOKUP("total",#REF!,3,FALSE)-VLOOKUP("españa",#REF!,3,FALSE))/(VLOOKUP("total",#REF!,3,FALSE)-VLOOKUP("españa",#REF!,3,FALSE))-1</f>
        <v>#REF!</v>
      </c>
      <c r="K211" s="217" t="e">
        <f>VLOOKUP("total",#REF!,3,FALSE)-VLOOKUP("españa",#REF!,3,FALSE)</f>
        <v>#REF!</v>
      </c>
      <c r="L211" s="216" t="e">
        <f>(VLOOKUP("total",#REF!,2,FALSE)-VLOOKUP("españa",#REF!,2,FALSE))/(VLOOKUP("total",#REF!,2,FALSE)-VLOOKUP("españa",#REF!,2,FALSE))-1</f>
        <v>#REF!</v>
      </c>
      <c r="M211" s="217" t="e">
        <f>VLOOKUP("total",#REF!,2,FALSE)-VLOOKUP("españa",#REF!,2,FALSE)</f>
        <v>#REF!</v>
      </c>
      <c r="N211" s="216" t="e">
        <f>(VLOOKUP("total",#REF!,7,FALSE)-VLOOKUP("españa",#REF!,7,FALSE))/(VLOOKUP("total",#REF!,7,FALSE)-VLOOKUP("españa",#REF!,7,FALSE))-1</f>
        <v>#REF!</v>
      </c>
      <c r="O211" s="217" t="e">
        <f>VLOOKUP("total",#REF!,7,FALSE)-VLOOKUP("españa",#REF!,7,FALSE)</f>
        <v>#REF!</v>
      </c>
      <c r="P211" s="216" t="e">
        <f>(VLOOKUP("total",#REF!,8,FALSE)-VLOOKUP("españa",#REF!,8,FALSE))/(VLOOKUP("total",#REF!,8,FALSE)-VLOOKUP("españa",#REF!,8,FALSE))-1</f>
        <v>#REF!</v>
      </c>
      <c r="Q211" s="217" t="e">
        <f>VLOOKUP("total",#REF!,8,FALSE)-VLOOKUP("españa",#REF!,8,FALSE)</f>
        <v>#REF!</v>
      </c>
    </row>
    <row r="212" spans="3:18" ht="24" hidden="1" customHeight="1" x14ac:dyDescent="0.2">
      <c r="C212" s="215" t="s">
        <v>8</v>
      </c>
      <c r="D212" s="216" t="e">
        <f>VLOOKUP("total",#REF!,6,FALSE)/VLOOKUP("total",#REF!,6,FALSE)-1</f>
        <v>#REF!</v>
      </c>
      <c r="E212" s="217" t="e">
        <f>VLOOKUP("total",#REF!,6,FALSE)</f>
        <v>#REF!</v>
      </c>
      <c r="F212" s="216" t="e">
        <f>VLOOKUP("total",#REF!,5,FALSE)/VLOOKUP("total",#REF!,5,FALSE)-1</f>
        <v>#REF!</v>
      </c>
      <c r="G212" s="217" t="e">
        <f>VLOOKUP("total",#REF!,5,FALSE)</f>
        <v>#REF!</v>
      </c>
      <c r="H212" s="216" t="e">
        <f>VLOOKUP("total",#REF!,4,FALSE)/VLOOKUP("total",#REF!,4,FALSE)-1</f>
        <v>#REF!</v>
      </c>
      <c r="I212" s="217" t="e">
        <f>VLOOKUP("total",#REF!,4,FALSE)</f>
        <v>#REF!</v>
      </c>
      <c r="J212" s="216" t="e">
        <f>VLOOKUP("total",#REF!,3,FALSE)/VLOOKUP("total",#REF!,3,FALSE)-1</f>
        <v>#REF!</v>
      </c>
      <c r="K212" s="217" t="e">
        <f>VLOOKUP("total",#REF!,3,FALSE)</f>
        <v>#REF!</v>
      </c>
      <c r="L212" s="216" t="e">
        <f>VLOOKUP("total",#REF!,2,FALSE)/VLOOKUP("total",#REF!,2,FALSE)-1</f>
        <v>#REF!</v>
      </c>
      <c r="M212" s="217" t="e">
        <f>VLOOKUP("total",#REF!,2,FALSE)</f>
        <v>#REF!</v>
      </c>
      <c r="N212" s="216" t="e">
        <f>VLOOKUP("total",#REF!,7,FALSE)/VLOOKUP("total",#REF!,7,FALSE)-1</f>
        <v>#REF!</v>
      </c>
      <c r="O212" s="217" t="e">
        <f>VLOOKUP("total",#REF!,7,FALSE)</f>
        <v>#REF!</v>
      </c>
      <c r="P212" s="216" t="e">
        <f>VLOOKUP("total",#REF!,8,FALSE)/VLOOKUP("total",#REF!,8,FALSE)-1</f>
        <v>#REF!</v>
      </c>
      <c r="Q212" s="217" t="e">
        <f>VLOOKUP("total",#REF!,8,FALSE)</f>
        <v>#REF!</v>
      </c>
    </row>
    <row r="213" spans="3:18" hidden="1" x14ac:dyDescent="0.2">
      <c r="C213" s="160"/>
      <c r="D213" s="161"/>
      <c r="E213" s="161"/>
      <c r="F213" s="161"/>
      <c r="G213" s="161"/>
      <c r="H213" s="161"/>
      <c r="I213" s="161"/>
      <c r="J213" s="161"/>
      <c r="K213" s="161"/>
      <c r="L213" s="161"/>
      <c r="M213" s="163"/>
    </row>
    <row r="214" spans="3:18" ht="35.25" hidden="1" customHeight="1" x14ac:dyDescent="0.2">
      <c r="C214" s="206" t="s">
        <v>29</v>
      </c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8"/>
    </row>
    <row r="215" spans="3:18" ht="20.100000000000001" hidden="1" customHeight="1" x14ac:dyDescent="0.2">
      <c r="C215" s="219" t="str">
        <f>I2</f>
        <v>acumulado noviembre 2018</v>
      </c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1"/>
    </row>
    <row r="216" spans="3:18" ht="13.5" hidden="1" thickBot="1" x14ac:dyDescent="0.25">
      <c r="C216" s="211"/>
      <c r="D216" s="212" t="s">
        <v>24</v>
      </c>
      <c r="E216" s="213"/>
      <c r="F216" s="212" t="s">
        <v>23</v>
      </c>
      <c r="G216" s="213"/>
      <c r="H216" s="212" t="s">
        <v>22</v>
      </c>
      <c r="I216" s="213"/>
      <c r="J216" s="212" t="s">
        <v>21</v>
      </c>
      <c r="K216" s="213"/>
      <c r="L216" s="212" t="s">
        <v>20</v>
      </c>
      <c r="M216" s="213"/>
      <c r="N216" s="212" t="s">
        <v>63</v>
      </c>
      <c r="O216" s="213"/>
      <c r="P216" s="212" t="s">
        <v>64</v>
      </c>
      <c r="Q216" s="213"/>
    </row>
    <row r="217" spans="3:18" ht="28.5" hidden="1" customHeight="1" x14ac:dyDescent="0.2">
      <c r="C217" s="211"/>
      <c r="D217" s="214" t="s">
        <v>65</v>
      </c>
      <c r="E217" s="214" t="s">
        <v>66</v>
      </c>
      <c r="F217" s="214" t="s">
        <v>65</v>
      </c>
      <c r="G217" s="214" t="s">
        <v>66</v>
      </c>
      <c r="H217" s="214" t="s">
        <v>65</v>
      </c>
      <c r="I217" s="214" t="s">
        <v>66</v>
      </c>
      <c r="J217" s="214" t="s">
        <v>65</v>
      </c>
      <c r="K217" s="214" t="s">
        <v>66</v>
      </c>
      <c r="L217" s="214" t="s">
        <v>65</v>
      </c>
      <c r="M217" s="214" t="s">
        <v>66</v>
      </c>
      <c r="N217" s="214" t="s">
        <v>65</v>
      </c>
      <c r="O217" s="214" t="s">
        <v>66</v>
      </c>
      <c r="P217" s="214" t="s">
        <v>65</v>
      </c>
      <c r="Q217" s="214" t="s">
        <v>66</v>
      </c>
    </row>
    <row r="218" spans="3:18" ht="24" hidden="1" customHeight="1" x14ac:dyDescent="0.2">
      <c r="C218" s="215" t="s">
        <v>36</v>
      </c>
      <c r="D218" s="216" t="e">
        <f>VLOOKUP("españa",#REF!,6,FALSE)/VLOOKUP("españa",#REF!,6,FALSE)-1</f>
        <v>#REF!</v>
      </c>
      <c r="E218" s="217" t="e">
        <f>VLOOKUP("españa",#REF!,6,FALSE)</f>
        <v>#REF!</v>
      </c>
      <c r="F218" s="216" t="e">
        <f>VLOOKUP("españa",#REF!,5,FALSE)/VLOOKUP("españa",#REF!,5,FALSE)-1</f>
        <v>#REF!</v>
      </c>
      <c r="G218" s="217" t="e">
        <f>VLOOKUP("españa",#REF!,5,FALSE)</f>
        <v>#REF!</v>
      </c>
      <c r="H218" s="216" t="e">
        <f>VLOOKUP("españa",#REF!,4,FALSE)/VLOOKUP("españa",#REF!,4,FALSE)-1</f>
        <v>#REF!</v>
      </c>
      <c r="I218" s="217" t="e">
        <f>VLOOKUP("españa",#REF!,4,FALSE)</f>
        <v>#REF!</v>
      </c>
      <c r="J218" s="216" t="e">
        <f>VLOOKUP("españa",#REF!,3,FALSE)/VLOOKUP("españa",#REF!,3,FALSE)-1</f>
        <v>#REF!</v>
      </c>
      <c r="K218" s="217" t="e">
        <f>VLOOKUP("españa",#REF!,3,FALSE)</f>
        <v>#REF!</v>
      </c>
      <c r="L218" s="216" t="e">
        <f>VLOOKUP("españa",#REF!,2,FALSE)/VLOOKUP("españa",#REF!,2,FALSE)-1</f>
        <v>#REF!</v>
      </c>
      <c r="M218" s="217" t="e">
        <f>VLOOKUP("españa",#REF!,2,FALSE)</f>
        <v>#REF!</v>
      </c>
      <c r="N218" s="216" t="e">
        <f>VLOOKUP("españa",#REF!,7,FALSE)/VLOOKUP("españa",#REF!,7,FALSE)-1</f>
        <v>#REF!</v>
      </c>
      <c r="O218" s="217" t="e">
        <f>VLOOKUP("españa",#REF!,7,FALSE)</f>
        <v>#REF!</v>
      </c>
      <c r="P218" s="216" t="e">
        <f>VLOOKUP("españa",#REF!,8,FALSE)/VLOOKUP("españa",#REF!,8,FALSE)-1</f>
        <v>#REF!</v>
      </c>
      <c r="Q218" s="217" t="e">
        <f>VLOOKUP("españa",#REF!,8,FALSE)</f>
        <v>#REF!</v>
      </c>
    </row>
    <row r="219" spans="3:18" ht="24" hidden="1" customHeight="1" x14ac:dyDescent="0.2">
      <c r="C219" s="215" t="s">
        <v>41</v>
      </c>
      <c r="D219" s="216" t="e">
        <f>VLOOKUP("holanda",#REF!,6,FALSE)/VLOOKUP("holanda",#REF!,6,FALSE)-1</f>
        <v>#REF!</v>
      </c>
      <c r="E219" s="217" t="e">
        <f>VLOOKUP("holanda",#REF!,6,FALSE)</f>
        <v>#REF!</v>
      </c>
      <c r="F219" s="216" t="e">
        <f>VLOOKUP("holanda",#REF!,5,FALSE)/VLOOKUP("holanda",#REF!,5,FALSE)-1</f>
        <v>#REF!</v>
      </c>
      <c r="G219" s="217" t="e">
        <f>VLOOKUP("holanda",#REF!,5,FALSE)</f>
        <v>#REF!</v>
      </c>
      <c r="H219" s="216" t="e">
        <f>VLOOKUP("holanda",#REF!,4,FALSE)/VLOOKUP("holanda",#REF!,4,FALSE)-1</f>
        <v>#REF!</v>
      </c>
      <c r="I219" s="217" t="e">
        <f>VLOOKUP("holanda",#REF!,4,FALSE)</f>
        <v>#REF!</v>
      </c>
      <c r="J219" s="216" t="e">
        <f>VLOOKUP("holanda",#REF!,3,FALSE)/VLOOKUP("holanda",#REF!,3,FALSE)-1</f>
        <v>#REF!</v>
      </c>
      <c r="K219" s="217" t="e">
        <f>VLOOKUP("holanda",#REF!,3,FALSE)</f>
        <v>#REF!</v>
      </c>
      <c r="L219" s="216" t="e">
        <f>VLOOKUP("holanda",#REF!,2,FALSE)/VLOOKUP("holanda",#REF!,2,FALSE)-1</f>
        <v>#REF!</v>
      </c>
      <c r="M219" s="217" t="e">
        <f>VLOOKUP("holanda",#REF!,2,FALSE)</f>
        <v>#REF!</v>
      </c>
      <c r="N219" s="216" t="e">
        <f>VLOOKUP("holanda",#REF!,7,FALSE)/VLOOKUP("holanda",#REF!,7,FALSE)-1</f>
        <v>#REF!</v>
      </c>
      <c r="O219" s="217" t="e">
        <f>VLOOKUP("holanda",#REF!,7,FALSE)</f>
        <v>#REF!</v>
      </c>
      <c r="P219" s="216" t="e">
        <f>VLOOKUP("holanda",#REF!,8,FALSE)/VLOOKUP("holanda",#REF!,8,FALSE)-1</f>
        <v>#REF!</v>
      </c>
      <c r="Q219" s="217" t="e">
        <f>VLOOKUP("holanda",#REF!,8,FALSE)</f>
        <v>#REF!</v>
      </c>
    </row>
    <row r="220" spans="3:18" ht="24" hidden="1" customHeight="1" x14ac:dyDescent="0.2">
      <c r="C220" s="215" t="s">
        <v>42</v>
      </c>
      <c r="D220" s="216" t="e">
        <f>VLOOKUP("belgica",#REF!,6,FALSE)/VLOOKUP("belgica",#REF!,6,FALSE)-1</f>
        <v>#REF!</v>
      </c>
      <c r="E220" s="217" t="e">
        <f>VLOOKUP("belgica",#REF!,6,FALSE)</f>
        <v>#REF!</v>
      </c>
      <c r="F220" s="216" t="e">
        <f>VLOOKUP("belgica",#REF!,5,FALSE)/VLOOKUP("belgica",#REF!,5,FALSE)-1</f>
        <v>#REF!</v>
      </c>
      <c r="G220" s="217" t="e">
        <f>VLOOKUP("belgica",#REF!,5,FALSE)</f>
        <v>#REF!</v>
      </c>
      <c r="H220" s="216" t="e">
        <f>VLOOKUP("belgica",#REF!,4,FALSE)/VLOOKUP("belgica",#REF!,4,FALSE)-1</f>
        <v>#REF!</v>
      </c>
      <c r="I220" s="217" t="e">
        <f>VLOOKUP("belgica",#REF!,4,FALSE)</f>
        <v>#REF!</v>
      </c>
      <c r="J220" s="216" t="e">
        <f>VLOOKUP("belgica",#REF!,3,FALSE)/VLOOKUP("belgica",#REF!,3,FALSE)-1</f>
        <v>#REF!</v>
      </c>
      <c r="K220" s="217" t="e">
        <f>VLOOKUP("belgica",#REF!,3,FALSE)</f>
        <v>#REF!</v>
      </c>
      <c r="L220" s="216" t="e">
        <f>VLOOKUP("belgica",#REF!,2,FALSE)/VLOOKUP("belgica",#REF!,2,FALSE)-1</f>
        <v>#REF!</v>
      </c>
      <c r="M220" s="217" t="e">
        <f>VLOOKUP("belgica",#REF!,2,FALSE)</f>
        <v>#REF!</v>
      </c>
      <c r="N220" s="216" t="e">
        <f>VLOOKUP("belgica",#REF!,7,FALSE)/VLOOKUP("belgica",#REF!,7,FALSE)-1</f>
        <v>#REF!</v>
      </c>
      <c r="O220" s="217" t="e">
        <f>VLOOKUP("belgica",#REF!,7,FALSE)</f>
        <v>#REF!</v>
      </c>
      <c r="P220" s="216" t="e">
        <f>VLOOKUP("belgica",#REF!,8,FALSE)/VLOOKUP("belgica",#REF!,8,FALSE)-1</f>
        <v>#REF!</v>
      </c>
      <c r="Q220" s="217" t="e">
        <f>VLOOKUP("belgica",#REF!,8,FALSE)</f>
        <v>#REF!</v>
      </c>
    </row>
    <row r="221" spans="3:18" ht="24" hidden="1" customHeight="1" x14ac:dyDescent="0.2">
      <c r="C221" s="215" t="s">
        <v>43</v>
      </c>
      <c r="D221" s="216" t="e">
        <f>VLOOKUP("alemania",#REF!,6,FALSE)/VLOOKUP("alemania",#REF!,6,FALSE)-1</f>
        <v>#REF!</v>
      </c>
      <c r="E221" s="217" t="e">
        <f>VLOOKUP("alemania",#REF!,6,FALSE)</f>
        <v>#REF!</v>
      </c>
      <c r="F221" s="216" t="e">
        <f>VLOOKUP("alemania",#REF!,5,FALSE)/VLOOKUP("alemania",#REF!,5,FALSE)-1</f>
        <v>#REF!</v>
      </c>
      <c r="G221" s="217" t="e">
        <f>VLOOKUP("alemania",#REF!,5,FALSE)</f>
        <v>#REF!</v>
      </c>
      <c r="H221" s="216" t="e">
        <f>VLOOKUP("alemania",#REF!,4,FALSE)/VLOOKUP("alemania",#REF!,4,FALSE)-1</f>
        <v>#REF!</v>
      </c>
      <c r="I221" s="217" t="e">
        <f>VLOOKUP("alemania",#REF!,4,FALSE)</f>
        <v>#REF!</v>
      </c>
      <c r="J221" s="216" t="e">
        <f>VLOOKUP("alemania",#REF!,3,FALSE)/VLOOKUP("alemania",#REF!,3,FALSE)-1</f>
        <v>#REF!</v>
      </c>
      <c r="K221" s="217" t="e">
        <f>VLOOKUP("alemania",#REF!,3,FALSE)</f>
        <v>#REF!</v>
      </c>
      <c r="L221" s="216" t="e">
        <f>VLOOKUP("alemania",#REF!,2,FALSE)/VLOOKUP("alemania",#REF!,2,FALSE)-1</f>
        <v>#REF!</v>
      </c>
      <c r="M221" s="217" t="e">
        <f>VLOOKUP("alemania",#REF!,2,FALSE)</f>
        <v>#REF!</v>
      </c>
      <c r="N221" s="216" t="e">
        <f>VLOOKUP("alemania",#REF!,7,FALSE)/VLOOKUP("alemania",#REF!,7,FALSE)-1</f>
        <v>#REF!</v>
      </c>
      <c r="O221" s="217" t="e">
        <f>VLOOKUP("alemania",#REF!,7,FALSE)</f>
        <v>#REF!</v>
      </c>
      <c r="P221" s="216" t="e">
        <f>VLOOKUP("alemania",#REF!,8,FALSE)/VLOOKUP("alemania",#REF!,8,FALSE)-1</f>
        <v>#REF!</v>
      </c>
      <c r="Q221" s="217" t="e">
        <f>VLOOKUP("alemania",#REF!,8,FALSE)</f>
        <v>#REF!</v>
      </c>
    </row>
    <row r="222" spans="3:18" ht="24" hidden="1" customHeight="1" x14ac:dyDescent="0.2">
      <c r="C222" s="215" t="s">
        <v>44</v>
      </c>
      <c r="D222" s="216" t="e">
        <f>VLOOKUP("francia",#REF!,6,FALSE)/VLOOKUP("francia",#REF!,6,FALSE)-1</f>
        <v>#REF!</v>
      </c>
      <c r="E222" s="217" t="e">
        <f>VLOOKUP("francia",#REF!,6,FALSE)</f>
        <v>#REF!</v>
      </c>
      <c r="F222" s="216" t="e">
        <f>VLOOKUP("francia",#REF!,5,FALSE)/VLOOKUP("francia",#REF!,5,FALSE)-1</f>
        <v>#REF!</v>
      </c>
      <c r="G222" s="217" t="e">
        <f>VLOOKUP("francia",#REF!,5,FALSE)</f>
        <v>#REF!</v>
      </c>
      <c r="H222" s="216" t="e">
        <f>VLOOKUP("francia",#REF!,4,FALSE)/VLOOKUP("francia",#REF!,4,FALSE)-1</f>
        <v>#REF!</v>
      </c>
      <c r="I222" s="217" t="e">
        <f>VLOOKUP("francia",#REF!,4,FALSE)</f>
        <v>#REF!</v>
      </c>
      <c r="J222" s="216" t="e">
        <f>VLOOKUP("francia",#REF!,3,FALSE)/VLOOKUP("francia",#REF!,3,FALSE)-1</f>
        <v>#REF!</v>
      </c>
      <c r="K222" s="217" t="e">
        <f>VLOOKUP("francia",#REF!,3,FALSE)</f>
        <v>#REF!</v>
      </c>
      <c r="L222" s="216" t="e">
        <f>VLOOKUP("francia",#REF!,2,FALSE)/VLOOKUP("francia",#REF!,2,FALSE)-1</f>
        <v>#REF!</v>
      </c>
      <c r="M222" s="217" t="e">
        <f>VLOOKUP("francia",#REF!,2,FALSE)</f>
        <v>#REF!</v>
      </c>
      <c r="N222" s="216" t="e">
        <f>VLOOKUP("francia",#REF!,7,FALSE)/VLOOKUP("francia",#REF!,7,FALSE)-1</f>
        <v>#REF!</v>
      </c>
      <c r="O222" s="217" t="e">
        <f>VLOOKUP("francia",#REF!,7,FALSE)</f>
        <v>#REF!</v>
      </c>
      <c r="P222" s="216" t="e">
        <f>VLOOKUP("francia",#REF!,8,FALSE)/VLOOKUP("francia",#REF!,8,FALSE)-1</f>
        <v>#REF!</v>
      </c>
      <c r="Q222" s="217" t="e">
        <f>VLOOKUP("francia",#REF!,8,FALSE)</f>
        <v>#REF!</v>
      </c>
    </row>
    <row r="223" spans="3:18" ht="24" hidden="1" customHeight="1" x14ac:dyDescent="0.2">
      <c r="C223" s="215" t="s">
        <v>45</v>
      </c>
      <c r="D223" s="216" t="e">
        <f>VLOOKUP("reino unido",#REF!,6,FALSE)/VLOOKUP("reino unido",#REF!,6,FALSE)-1</f>
        <v>#REF!</v>
      </c>
      <c r="E223" s="217" t="e">
        <f>VLOOKUP("reino unido",#REF!,6,FALSE)</f>
        <v>#REF!</v>
      </c>
      <c r="F223" s="216" t="e">
        <f>VLOOKUP("reino unido",#REF!,5,FALSE)/VLOOKUP("reino unido",#REF!,5,FALSE)-1</f>
        <v>#REF!</v>
      </c>
      <c r="G223" s="217" t="e">
        <f>VLOOKUP("reino unido",#REF!,5,FALSE)</f>
        <v>#REF!</v>
      </c>
      <c r="H223" s="216" t="e">
        <f>VLOOKUP("reino unido",#REF!,4,FALSE)/VLOOKUP("reino unido",#REF!,4,FALSE)-1</f>
        <v>#REF!</v>
      </c>
      <c r="I223" s="217" t="e">
        <f>VLOOKUP("reino unido",#REF!,4,FALSE)</f>
        <v>#REF!</v>
      </c>
      <c r="J223" s="216" t="e">
        <f>VLOOKUP("reino unido",#REF!,3,FALSE)/VLOOKUP("reino unido",#REF!,3,FALSE)-1</f>
        <v>#REF!</v>
      </c>
      <c r="K223" s="217" t="e">
        <f>VLOOKUP("reino unido",#REF!,3,FALSE)</f>
        <v>#REF!</v>
      </c>
      <c r="L223" s="216" t="e">
        <f>VLOOKUP("reino unido",#REF!,2,FALSE)/VLOOKUP("reino unido",#REF!,2,FALSE)-1</f>
        <v>#REF!</v>
      </c>
      <c r="M223" s="217" t="e">
        <f>VLOOKUP("reino unido",#REF!,2,FALSE)</f>
        <v>#REF!</v>
      </c>
      <c r="N223" s="216" t="e">
        <f>VLOOKUP("reino unido",#REF!,7,FALSE)/VLOOKUP("reino unido",#REF!,7,FALSE)-1</f>
        <v>#REF!</v>
      </c>
      <c r="O223" s="217" t="e">
        <f>VLOOKUP("reino unido",#REF!,7,FALSE)</f>
        <v>#REF!</v>
      </c>
      <c r="P223" s="216" t="e">
        <f>VLOOKUP("reino unido",#REF!,8,FALSE)/VLOOKUP("reino unido",#REF!,8,FALSE)-1</f>
        <v>#REF!</v>
      </c>
      <c r="Q223" s="217" t="e">
        <f>VLOOKUP("reino unido",#REF!,8,FALSE)</f>
        <v>#REF!</v>
      </c>
    </row>
    <row r="224" spans="3:18" ht="24" hidden="1" customHeight="1" x14ac:dyDescent="0.2">
      <c r="C224" s="215" t="s">
        <v>46</v>
      </c>
      <c r="D224" s="216" t="e">
        <f>VLOOKUP("irlanda",#REF!,6,FALSE)/VLOOKUP("irlanda",#REF!,6,FALSE)-1</f>
        <v>#REF!</v>
      </c>
      <c r="E224" s="217" t="e">
        <f>VLOOKUP("irlanda",#REF!,6,FALSE)</f>
        <v>#REF!</v>
      </c>
      <c r="F224" s="216" t="e">
        <f>VLOOKUP("irlanda",#REF!,5,FALSE)/VLOOKUP("irlanda",#REF!,5,FALSE)-1</f>
        <v>#REF!</v>
      </c>
      <c r="G224" s="217" t="e">
        <f>VLOOKUP("irlanda",#REF!,5,FALSE)</f>
        <v>#REF!</v>
      </c>
      <c r="H224" s="216" t="e">
        <f>VLOOKUP("irlanda",#REF!,4,FALSE)/VLOOKUP("irlanda",#REF!,4,FALSE)-1</f>
        <v>#REF!</v>
      </c>
      <c r="I224" s="217" t="e">
        <f>VLOOKUP("irlanda",#REF!,4,FALSE)</f>
        <v>#REF!</v>
      </c>
      <c r="J224" s="216" t="e">
        <f>VLOOKUP("irlanda",#REF!,3,FALSE)/VLOOKUP("irlanda",#REF!,3,FALSE)-1</f>
        <v>#REF!</v>
      </c>
      <c r="K224" s="217" t="e">
        <f>VLOOKUP("irlanda",#REF!,3,FALSE)</f>
        <v>#REF!</v>
      </c>
      <c r="L224" s="216" t="e">
        <f>VLOOKUP("irlanda",#REF!,2,FALSE)/VLOOKUP("irlanda",#REF!,2,FALSE)-1</f>
        <v>#REF!</v>
      </c>
      <c r="M224" s="217" t="e">
        <f>VLOOKUP("irlanda",#REF!,2,FALSE)</f>
        <v>#REF!</v>
      </c>
      <c r="N224" s="216" t="e">
        <f>VLOOKUP("irlanda",#REF!,7,FALSE)/VLOOKUP("irlanda",#REF!,7,FALSE)-1</f>
        <v>#REF!</v>
      </c>
      <c r="O224" s="217" t="e">
        <f>VLOOKUP("irlanda",#REF!,7,FALSE)</f>
        <v>#REF!</v>
      </c>
      <c r="P224" s="216" t="e">
        <f>VLOOKUP("irlanda",#REF!,8,FALSE)/VLOOKUP("irlanda",#REF!,8,FALSE)-1</f>
        <v>#REF!</v>
      </c>
      <c r="Q224" s="217" t="e">
        <f>VLOOKUP("irlanda",#REF!,8,FALSE)</f>
        <v>#REF!</v>
      </c>
    </row>
    <row r="225" spans="3:17" ht="24" hidden="1" customHeight="1" x14ac:dyDescent="0.2">
      <c r="C225" s="215" t="s">
        <v>47</v>
      </c>
      <c r="D225" s="216" t="e">
        <f>VLOOKUP("italia",#REF!,6,FALSE)/VLOOKUP("italia",#REF!,6,FALSE)-1</f>
        <v>#REF!</v>
      </c>
      <c r="E225" s="217" t="e">
        <f>VLOOKUP("italia",#REF!,6,FALSE)</f>
        <v>#REF!</v>
      </c>
      <c r="F225" s="216" t="e">
        <f>VLOOKUP("italia",#REF!,5,FALSE)/VLOOKUP("italia",#REF!,5,FALSE)-1</f>
        <v>#REF!</v>
      </c>
      <c r="G225" s="217" t="e">
        <f>VLOOKUP("italia",#REF!,5,FALSE)</f>
        <v>#REF!</v>
      </c>
      <c r="H225" s="216" t="e">
        <f>VLOOKUP("italia",#REF!,4,FALSE)/VLOOKUP("italia",#REF!,4,FALSE)-1</f>
        <v>#REF!</v>
      </c>
      <c r="I225" s="217" t="e">
        <f>VLOOKUP("italia",#REF!,4,FALSE)</f>
        <v>#REF!</v>
      </c>
      <c r="J225" s="216" t="e">
        <f>VLOOKUP("italia",#REF!,3,FALSE)/VLOOKUP("italia",#REF!,3,FALSE)-1</f>
        <v>#REF!</v>
      </c>
      <c r="K225" s="217" t="e">
        <f>VLOOKUP("italia",#REF!,3,FALSE)</f>
        <v>#REF!</v>
      </c>
      <c r="L225" s="216" t="e">
        <f>VLOOKUP("italia",#REF!,2,FALSE)/VLOOKUP("italia",#REF!,2,FALSE)-1</f>
        <v>#REF!</v>
      </c>
      <c r="M225" s="217" t="e">
        <f>VLOOKUP("italia",#REF!,2,FALSE)</f>
        <v>#REF!</v>
      </c>
      <c r="N225" s="216" t="e">
        <f>VLOOKUP("italia",#REF!,7,FALSE)/VLOOKUP("italia",#REF!,7,FALSE)-1</f>
        <v>#REF!</v>
      </c>
      <c r="O225" s="217" t="e">
        <f>VLOOKUP("italia",#REF!,7,FALSE)</f>
        <v>#REF!</v>
      </c>
      <c r="P225" s="216" t="e">
        <f>VLOOKUP("italia",#REF!,8,FALSE)/VLOOKUP("italia",#REF!,8,FALSE)-1</f>
        <v>#REF!</v>
      </c>
      <c r="Q225" s="217" t="e">
        <f>VLOOKUP("italia",#REF!,8,FALSE)</f>
        <v>#REF!</v>
      </c>
    </row>
    <row r="226" spans="3:17" ht="24" hidden="1" customHeight="1" x14ac:dyDescent="0.2">
      <c r="C226" s="215" t="s">
        <v>48</v>
      </c>
      <c r="D226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217" t="e">
        <f>(VLOOKUP("suecia",#REF!,6,FALSE)+VLOOKUP("noruega",#REF!,6,FALSE)+VLOOKUP("dinamarca",#REF!,6,FALSE)+VLOOKUP("finlandia",#REF!,6,FALSE))</f>
        <v>#REF!</v>
      </c>
      <c r="F226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217" t="e">
        <f>(VLOOKUP("suecia",#REF!,5,FALSE)+VLOOKUP("noruega",#REF!,5,FALSE)+VLOOKUP("dinamarca",#REF!,5,FALSE)+VLOOKUP("finlandia",#REF!,5,FALSE))</f>
        <v>#REF!</v>
      </c>
      <c r="H226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217" t="e">
        <f>(VLOOKUP("suecia",#REF!,4,FALSE)+VLOOKUP("noruega",#REF!,4,FALSE)+VLOOKUP("dinamarca",#REF!,4,FALSE)+VLOOKUP("finlandia",#REF!,4,FALSE))</f>
        <v>#REF!</v>
      </c>
      <c r="J226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217" t="e">
        <f>(VLOOKUP("suecia",#REF!,3,FALSE)+VLOOKUP("noruega",#REF!,3,FALSE)+VLOOKUP("dinamarca",#REF!,3,FALSE)+VLOOKUP("finlandia",#REF!,3,FALSE))</f>
        <v>#REF!</v>
      </c>
      <c r="L226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217" t="e">
        <f>(VLOOKUP("suecia",#REF!,2,FALSE)+VLOOKUP("noruega",#REF!,2,FALSE)+VLOOKUP("dinamarca",#REF!,2,FALSE)+VLOOKUP("finlandia",#REF!,2,FALSE))</f>
        <v>#REF!</v>
      </c>
      <c r="N226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217" t="e">
        <f>(VLOOKUP("suecia",#REF!,7,FALSE)+VLOOKUP("noruega",#REF!,7,FALSE)+VLOOKUP("dinamarca",#REF!,7,FALSE)+VLOOKUP("finlandia",#REF!,7,FALSE))</f>
        <v>#REF!</v>
      </c>
      <c r="P226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217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218" t="s">
        <v>49</v>
      </c>
      <c r="D227" s="216" t="e">
        <f>VLOOKUP("suecia",#REF!,6,FALSE)/VLOOKUP("suecia",#REF!,6,FALSE)-1</f>
        <v>#REF!</v>
      </c>
      <c r="E227" s="217" t="e">
        <f>VLOOKUP("suecia",#REF!,6,FALSE)</f>
        <v>#REF!</v>
      </c>
      <c r="F227" s="216" t="e">
        <f>VLOOKUP("suecia",#REF!,5,FALSE)/VLOOKUP("suecia",#REF!,5,FALSE)-1</f>
        <v>#REF!</v>
      </c>
      <c r="G227" s="217" t="e">
        <f>VLOOKUP("suecia",#REF!,5,FALSE)</f>
        <v>#REF!</v>
      </c>
      <c r="H227" s="216" t="e">
        <f>VLOOKUP("suecia",#REF!,4,FALSE)/VLOOKUP("suecia",#REF!,4,FALSE)-1</f>
        <v>#REF!</v>
      </c>
      <c r="I227" s="217" t="e">
        <f>VLOOKUP("suecia",#REF!,4,FALSE)</f>
        <v>#REF!</v>
      </c>
      <c r="J227" s="216" t="e">
        <f>VLOOKUP("suecia",#REF!,3,FALSE)/VLOOKUP("suecia",#REF!,3,FALSE)-1</f>
        <v>#REF!</v>
      </c>
      <c r="K227" s="217" t="e">
        <f>VLOOKUP("suecia",#REF!,3,FALSE)</f>
        <v>#REF!</v>
      </c>
      <c r="L227" s="216" t="e">
        <f>VLOOKUP("suecia",#REF!,2,FALSE)/VLOOKUP("suecia",#REF!,2,FALSE)-1</f>
        <v>#REF!</v>
      </c>
      <c r="M227" s="217" t="e">
        <f>VLOOKUP("suecia",#REF!,2,FALSE)</f>
        <v>#REF!</v>
      </c>
      <c r="N227" s="216" t="e">
        <f>VLOOKUP("suecia",#REF!,7,FALSE)/VLOOKUP("suecia",#REF!,7,FALSE)-1</f>
        <v>#REF!</v>
      </c>
      <c r="O227" s="217" t="e">
        <f>VLOOKUP("suecia",#REF!,7,FALSE)</f>
        <v>#REF!</v>
      </c>
      <c r="P227" s="216" t="e">
        <f>VLOOKUP("suecia",#REF!,8,FALSE)/VLOOKUP("suecia",#REF!,8,FALSE)-1</f>
        <v>#REF!</v>
      </c>
      <c r="Q227" s="217" t="e">
        <f>VLOOKUP("suecia",#REF!,8,FALSE)</f>
        <v>#REF!</v>
      </c>
    </row>
    <row r="228" spans="3:17" ht="24" hidden="1" customHeight="1" x14ac:dyDescent="0.2">
      <c r="C228" s="218" t="s">
        <v>50</v>
      </c>
      <c r="D228" s="216" t="e">
        <f>VLOOKUP("noruega",#REF!,6,FALSE)/VLOOKUP("noruega",#REF!,6,FALSE)-1</f>
        <v>#REF!</v>
      </c>
      <c r="E228" s="217" t="e">
        <f>VLOOKUP("noruega",#REF!,6,FALSE)</f>
        <v>#REF!</v>
      </c>
      <c r="F228" s="216" t="e">
        <f>VLOOKUP("noruega",#REF!,5,FALSE)/VLOOKUP("noruega",#REF!,5,FALSE)-1</f>
        <v>#REF!</v>
      </c>
      <c r="G228" s="217" t="e">
        <f>VLOOKUP("noruega",#REF!,5,FALSE)</f>
        <v>#REF!</v>
      </c>
      <c r="H228" s="216" t="e">
        <f>VLOOKUP("noruega",#REF!,4,FALSE)/VLOOKUP("noruega",#REF!,4,FALSE)-1</f>
        <v>#REF!</v>
      </c>
      <c r="I228" s="217" t="e">
        <f>VLOOKUP("noruega",#REF!,4,FALSE)</f>
        <v>#REF!</v>
      </c>
      <c r="J228" s="216" t="e">
        <f>VLOOKUP("noruega",#REF!,3,FALSE)/VLOOKUP("noruega",#REF!,3,FALSE)-1</f>
        <v>#REF!</v>
      </c>
      <c r="K228" s="217" t="e">
        <f>VLOOKUP("noruega",#REF!,3,FALSE)</f>
        <v>#REF!</v>
      </c>
      <c r="L228" s="216" t="e">
        <f>VLOOKUP("noruega",#REF!,2,FALSE)/VLOOKUP("noruega",#REF!,2,FALSE)-1</f>
        <v>#REF!</v>
      </c>
      <c r="M228" s="217" t="e">
        <f>VLOOKUP("noruega",#REF!,2,FALSE)</f>
        <v>#REF!</v>
      </c>
      <c r="N228" s="216" t="e">
        <f>VLOOKUP("noruega",#REF!,7,FALSE)/VLOOKUP("noruega",#REF!,7,FALSE)-1</f>
        <v>#REF!</v>
      </c>
      <c r="O228" s="217" t="e">
        <f>VLOOKUP("noruega",#REF!,7,FALSE)</f>
        <v>#REF!</v>
      </c>
      <c r="P228" s="216" t="e">
        <f>VLOOKUP("noruega",#REF!,8,FALSE)/VLOOKUP("noruega",#REF!,8,FALSE)-1</f>
        <v>#REF!</v>
      </c>
      <c r="Q228" s="217" t="e">
        <f>VLOOKUP("noruega",#REF!,8,FALSE)</f>
        <v>#REF!</v>
      </c>
    </row>
    <row r="229" spans="3:17" ht="24" hidden="1" customHeight="1" x14ac:dyDescent="0.2">
      <c r="C229" s="218" t="s">
        <v>51</v>
      </c>
      <c r="D229" s="216" t="e">
        <f>VLOOKUP("dinamarca",#REF!,6,FALSE)/VLOOKUP("dinamarca",#REF!,6,FALSE)-1</f>
        <v>#REF!</v>
      </c>
      <c r="E229" s="217" t="e">
        <f>VLOOKUP("dinamarca",#REF!,6,FALSE)</f>
        <v>#REF!</v>
      </c>
      <c r="F229" s="216" t="e">
        <f>VLOOKUP("dinamarca",#REF!,5,FALSE)/VLOOKUP("dinamarca",#REF!,5,FALSE)-1</f>
        <v>#REF!</v>
      </c>
      <c r="G229" s="217" t="e">
        <f>VLOOKUP("dinamarca",#REF!,5,FALSE)</f>
        <v>#REF!</v>
      </c>
      <c r="H229" s="216" t="e">
        <f>VLOOKUP("dinamarca",#REF!,4,FALSE)/VLOOKUP("dinamarca",#REF!,4,FALSE)-1</f>
        <v>#REF!</v>
      </c>
      <c r="I229" s="217" t="e">
        <f>VLOOKUP("dinamarca",#REF!,4,FALSE)</f>
        <v>#REF!</v>
      </c>
      <c r="J229" s="216" t="e">
        <f>VLOOKUP("dinamarca",#REF!,3,FALSE)/VLOOKUP("dinamarca",#REF!,3,FALSE)-1</f>
        <v>#REF!</v>
      </c>
      <c r="K229" s="217" t="e">
        <f>VLOOKUP("dinamarca",#REF!,3,FALSE)</f>
        <v>#REF!</v>
      </c>
      <c r="L229" s="216" t="e">
        <f>VLOOKUP("dinamarca",#REF!,2,FALSE)/VLOOKUP("dinamarca",#REF!,2,FALSE)-1</f>
        <v>#REF!</v>
      </c>
      <c r="M229" s="217" t="e">
        <f>VLOOKUP("dinamarca",#REF!,2,FALSE)</f>
        <v>#REF!</v>
      </c>
      <c r="N229" s="216" t="e">
        <f>VLOOKUP("dinamarca",#REF!,7,FALSE)/VLOOKUP("dinamarca",#REF!,7,FALSE)-1</f>
        <v>#REF!</v>
      </c>
      <c r="O229" s="217" t="e">
        <f>VLOOKUP("dinamarca",#REF!,7,FALSE)</f>
        <v>#REF!</v>
      </c>
      <c r="P229" s="216" t="e">
        <f>VLOOKUP("dinamarca",#REF!,8,FALSE)/VLOOKUP("dinamarca",#REF!,8,FALSE)-1</f>
        <v>#REF!</v>
      </c>
      <c r="Q229" s="217" t="e">
        <f>VLOOKUP("dinamarca",#REF!,8,FALSE)</f>
        <v>#REF!</v>
      </c>
    </row>
    <row r="230" spans="3:17" ht="24" hidden="1" customHeight="1" x14ac:dyDescent="0.2">
      <c r="C230" s="218" t="s">
        <v>52</v>
      </c>
      <c r="D230" s="216" t="s">
        <v>38</v>
      </c>
      <c r="E230" s="217" t="e">
        <f>VLOOKUP("finlandia",#REF!,6,FALSE)</f>
        <v>#REF!</v>
      </c>
      <c r="F230" s="216" t="e">
        <f>VLOOKUP("finlandia",#REF!,5,FALSE)/VLOOKUP("finlandia",#REF!,5,FALSE)-1</f>
        <v>#REF!</v>
      </c>
      <c r="G230" s="217" t="e">
        <f>VLOOKUP("finlandia",#REF!,5,FALSE)</f>
        <v>#REF!</v>
      </c>
      <c r="H230" s="216" t="e">
        <f>VLOOKUP("finlandia",#REF!,4,FALSE)/VLOOKUP("finlandia",#REF!,4,FALSE)-1</f>
        <v>#REF!</v>
      </c>
      <c r="I230" s="217" t="e">
        <f>VLOOKUP("finlandia",#REF!,4,FALSE)</f>
        <v>#REF!</v>
      </c>
      <c r="J230" s="216" t="e">
        <f>VLOOKUP("finlandia",#REF!,3,FALSE)/VLOOKUP("finlandia",#REF!,3,FALSE)-1</f>
        <v>#REF!</v>
      </c>
      <c r="K230" s="217" t="e">
        <f>VLOOKUP("finlandia",#REF!,3,FALSE)</f>
        <v>#REF!</v>
      </c>
      <c r="L230" s="216" t="s">
        <v>38</v>
      </c>
      <c r="M230" s="217" t="e">
        <f>VLOOKUP("finlandia",#REF!,2,FALSE)</f>
        <v>#REF!</v>
      </c>
      <c r="N230" s="216" t="e">
        <f>VLOOKUP("finlandia",#REF!,7,FALSE)/VLOOKUP("finlandia",#REF!,7,FALSE)-1</f>
        <v>#REF!</v>
      </c>
      <c r="O230" s="217" t="e">
        <f>VLOOKUP("finlandia",#REF!,7,FALSE)</f>
        <v>#REF!</v>
      </c>
      <c r="P230" s="216" t="e">
        <f>VLOOKUP("finlandia",#REF!,8,FALSE)/VLOOKUP("finlandia",#REF!,8,FALSE)-1</f>
        <v>#REF!</v>
      </c>
      <c r="Q230" s="217" t="e">
        <f>VLOOKUP("finlandia",#REF!,8,FALSE)</f>
        <v>#REF!</v>
      </c>
    </row>
    <row r="231" spans="3:17" ht="24" hidden="1" customHeight="1" x14ac:dyDescent="0.2">
      <c r="C231" s="215" t="s">
        <v>53</v>
      </c>
      <c r="D231" s="216" t="e">
        <f>VLOOKUP("suiza",#REF!,6,FALSE)/VLOOKUP("suiza",#REF!,6,FALSE)-1</f>
        <v>#REF!</v>
      </c>
      <c r="E231" s="217" t="e">
        <f>VLOOKUP("suiza",#REF!,6,FALSE)</f>
        <v>#REF!</v>
      </c>
      <c r="F231" s="216" t="e">
        <f>VLOOKUP("suiza",#REF!,5,FALSE)/VLOOKUP("suiza",#REF!,5,FALSE)-1</f>
        <v>#REF!</v>
      </c>
      <c r="G231" s="217" t="e">
        <f>VLOOKUP("suiza",#REF!,5,FALSE)</f>
        <v>#REF!</v>
      </c>
      <c r="H231" s="216" t="e">
        <f>VLOOKUP("suiza",#REF!,4,FALSE)/VLOOKUP("suiza",#REF!,4,FALSE)-1</f>
        <v>#REF!</v>
      </c>
      <c r="I231" s="217" t="e">
        <f>VLOOKUP("suiza",#REF!,4,FALSE)</f>
        <v>#REF!</v>
      </c>
      <c r="J231" s="216" t="e">
        <f>VLOOKUP("suiza",#REF!,3,FALSE)/VLOOKUP("suiza",#REF!,3,FALSE)-1</f>
        <v>#REF!</v>
      </c>
      <c r="K231" s="217" t="e">
        <f>VLOOKUP("suiza",#REF!,3,FALSE)</f>
        <v>#REF!</v>
      </c>
      <c r="L231" s="216" t="e">
        <f>VLOOKUP("suiza",#REF!,2,FALSE)/VLOOKUP("suiza",#REF!,2,FALSE)-1</f>
        <v>#REF!</v>
      </c>
      <c r="M231" s="217" t="e">
        <f>VLOOKUP("suiza",#REF!,2,FALSE)</f>
        <v>#REF!</v>
      </c>
      <c r="N231" s="216" t="e">
        <f>VLOOKUP("suiza",#REF!,7,FALSE)/VLOOKUP("suiza",#REF!,7,FALSE)-1</f>
        <v>#REF!</v>
      </c>
      <c r="O231" s="217" t="e">
        <f>VLOOKUP("suiza",#REF!,7,FALSE)</f>
        <v>#REF!</v>
      </c>
      <c r="P231" s="216" t="e">
        <f>VLOOKUP("suiza",#REF!,8,FALSE)/VLOOKUP("suiza",#REF!,8,FALSE)-1</f>
        <v>#REF!</v>
      </c>
      <c r="Q231" s="217" t="e">
        <f>VLOOKUP("suiza",#REF!,8,FALSE)</f>
        <v>#REF!</v>
      </c>
    </row>
    <row r="232" spans="3:17" ht="24" hidden="1" customHeight="1" x14ac:dyDescent="0.2">
      <c r="C232" s="215" t="s">
        <v>54</v>
      </c>
      <c r="D232" s="216" t="e">
        <f>VLOOKUP("austria",#REF!,6,FALSE)/VLOOKUP("austria",#REF!,6,FALSE)-1</f>
        <v>#REF!</v>
      </c>
      <c r="E232" s="217" t="e">
        <f>VLOOKUP("austria",#REF!,6,FALSE)</f>
        <v>#REF!</v>
      </c>
      <c r="F232" s="216" t="e">
        <f>VLOOKUP("austria",#REF!,5,FALSE)/VLOOKUP("austria",#REF!,5,FALSE)-1</f>
        <v>#REF!</v>
      </c>
      <c r="G232" s="217" t="e">
        <f>VLOOKUP("austria",#REF!,5,FALSE)</f>
        <v>#REF!</v>
      </c>
      <c r="H232" s="216" t="e">
        <f>VLOOKUP("austria",#REF!,4,FALSE)/VLOOKUP("austria",#REF!,4,FALSE)-1</f>
        <v>#REF!</v>
      </c>
      <c r="I232" s="217" t="e">
        <f>VLOOKUP("austria",#REF!,4,FALSE)</f>
        <v>#REF!</v>
      </c>
      <c r="J232" s="216" t="e">
        <f>VLOOKUP("austria",#REF!,3,FALSE)/VLOOKUP("austria",#REF!,3,FALSE)-1</f>
        <v>#REF!</v>
      </c>
      <c r="K232" s="217" t="e">
        <f>VLOOKUP("austria",#REF!,3,FALSE)</f>
        <v>#REF!</v>
      </c>
      <c r="L232" s="216" t="e">
        <f>VLOOKUP("austria",#REF!,2,FALSE)/VLOOKUP("austria",#REF!,2,FALSE)-1</f>
        <v>#REF!</v>
      </c>
      <c r="M232" s="217" t="e">
        <f>VLOOKUP("austria",#REF!,2,FALSE)</f>
        <v>#REF!</v>
      </c>
      <c r="N232" s="216" t="e">
        <f>VLOOKUP("austria",#REF!,7,FALSE)/VLOOKUP("austria",#REF!,7,FALSE)-1</f>
        <v>#REF!</v>
      </c>
      <c r="O232" s="217" t="e">
        <f>VLOOKUP("austria",#REF!,7,FALSE)</f>
        <v>#REF!</v>
      </c>
      <c r="P232" s="216" t="e">
        <f>VLOOKUP("austria",#REF!,8,FALSE)/VLOOKUP("austria",#REF!,8,FALSE)-1</f>
        <v>#REF!</v>
      </c>
      <c r="Q232" s="217" t="e">
        <f>VLOOKUP("austria",#REF!,8,FALSE)</f>
        <v>#REF!</v>
      </c>
    </row>
    <row r="233" spans="3:17" ht="24" hidden="1" customHeight="1" x14ac:dyDescent="0.2">
      <c r="C233" s="215" t="s">
        <v>55</v>
      </c>
      <c r="D233" s="216" t="e">
        <f>VLOOKUP("rusia",#REF!,6,FALSE)/VLOOKUP("rusia",#REF!,6,FALSE)-1</f>
        <v>#REF!</v>
      </c>
      <c r="E233" s="217" t="e">
        <f>VLOOKUP("rusia",#REF!,6,FALSE)</f>
        <v>#REF!</v>
      </c>
      <c r="F233" s="216" t="e">
        <f>VLOOKUP("rusia",#REF!,5,FALSE)/VLOOKUP("rusia",#REF!,5,FALSE)-1</f>
        <v>#REF!</v>
      </c>
      <c r="G233" s="217" t="e">
        <f>VLOOKUP("rusia",#REF!,5,FALSE)</f>
        <v>#REF!</v>
      </c>
      <c r="H233" s="216" t="e">
        <f>VLOOKUP("rusia",#REF!,4,FALSE)/VLOOKUP("rusia",#REF!,4,FALSE)-1</f>
        <v>#REF!</v>
      </c>
      <c r="I233" s="217" t="e">
        <f>VLOOKUP("rusia",#REF!,4,FALSE)</f>
        <v>#REF!</v>
      </c>
      <c r="J233" s="216" t="e">
        <f>VLOOKUP("rusia",#REF!,3,FALSE)/VLOOKUP("rusia",#REF!,3,FALSE)-1</f>
        <v>#REF!</v>
      </c>
      <c r="K233" s="217" t="e">
        <f>VLOOKUP("rusia",#REF!,3,FALSE)</f>
        <v>#REF!</v>
      </c>
      <c r="L233" s="216" t="e">
        <f>VLOOKUP("rusia",#REF!,2,FALSE)/VLOOKUP("rusia",#REF!,2,FALSE)-1</f>
        <v>#REF!</v>
      </c>
      <c r="M233" s="217" t="e">
        <f>VLOOKUP("rusia",#REF!,2,FALSE)</f>
        <v>#REF!</v>
      </c>
      <c r="N233" s="216" t="e">
        <f>VLOOKUP("rusia",#REF!,7,FALSE)/VLOOKUP("rusia",#REF!,7,FALSE)-1</f>
        <v>#REF!</v>
      </c>
      <c r="O233" s="217" t="e">
        <f>VLOOKUP("rusia",#REF!,7,FALSE)</f>
        <v>#REF!</v>
      </c>
      <c r="P233" s="216" t="e">
        <f>VLOOKUP("rusia",#REF!,8,FALSE)/VLOOKUP("rusia",#REF!,8,FALSE)-1</f>
        <v>#REF!</v>
      </c>
      <c r="Q233" s="217" t="e">
        <f>VLOOKUP("rusia",#REF!,8,FALSE)</f>
        <v>#REF!</v>
      </c>
    </row>
    <row r="234" spans="3:17" ht="24" hidden="1" customHeight="1" x14ac:dyDescent="0.2">
      <c r="C234" s="215" t="s">
        <v>56</v>
      </c>
      <c r="D234" s="216" t="e">
        <f>VLOOKUP("paises del este",#REF!,6,FALSE)/VLOOKUP("paises del este",#REF!,6,FALSE)-1</f>
        <v>#REF!</v>
      </c>
      <c r="E234" s="217" t="e">
        <f>VLOOKUP("paises del este",#REF!,6,FALSE)</f>
        <v>#REF!</v>
      </c>
      <c r="F234" s="216" t="e">
        <f>VLOOKUP("paises del este",#REF!,5,FALSE)/VLOOKUP("paises del este",#REF!,5,FALSE)-1</f>
        <v>#REF!</v>
      </c>
      <c r="G234" s="217" t="e">
        <f>VLOOKUP("paises del este",#REF!,5,FALSE)</f>
        <v>#REF!</v>
      </c>
      <c r="H234" s="216" t="e">
        <f>VLOOKUP("paises del este",#REF!,4,FALSE)/VLOOKUP("paises del este",#REF!,4,FALSE)-1</f>
        <v>#REF!</v>
      </c>
      <c r="I234" s="217" t="e">
        <f>VLOOKUP("paises del este",#REF!,4,FALSE)</f>
        <v>#REF!</v>
      </c>
      <c r="J234" s="216" t="e">
        <f>VLOOKUP("paises del este",#REF!,3,FALSE)/VLOOKUP("paises del este",#REF!,3,FALSE)-1</f>
        <v>#REF!</v>
      </c>
      <c r="K234" s="217" t="e">
        <f>VLOOKUP("paises del este",#REF!,3,FALSE)</f>
        <v>#REF!</v>
      </c>
      <c r="L234" s="216" t="e">
        <f>VLOOKUP("paises del este",#REF!,2,FALSE)/VLOOKUP("paises del este",#REF!,2,FALSE)-1</f>
        <v>#REF!</v>
      </c>
      <c r="M234" s="217" t="e">
        <f>VLOOKUP("paises del este",#REF!,2,FALSE)</f>
        <v>#REF!</v>
      </c>
      <c r="N234" s="216" t="e">
        <f>VLOOKUP("paises del este",#REF!,7,FALSE)/VLOOKUP("paises del este",#REF!,7,FALSE)-1</f>
        <v>#REF!</v>
      </c>
      <c r="O234" s="217" t="e">
        <f>VLOOKUP("paises del este",#REF!,7,FALSE)</f>
        <v>#REF!</v>
      </c>
      <c r="P234" s="216" t="e">
        <f>VLOOKUP("paises del este",#REF!,8,FALSE)/VLOOKUP("paises del este",#REF!,8,FALSE)-1</f>
        <v>#REF!</v>
      </c>
      <c r="Q234" s="217" t="e">
        <f>VLOOKUP("paises del este",#REF!,8,FALSE)</f>
        <v>#REF!</v>
      </c>
    </row>
    <row r="235" spans="3:17" ht="24" hidden="1" customHeight="1" x14ac:dyDescent="0.2">
      <c r="C235" s="215" t="s">
        <v>57</v>
      </c>
      <c r="D235" s="216" t="e">
        <f>VLOOKUP("resto de europa",#REF!,6,FALSE)/VLOOKUP("resto de europa",#REF!,6,FALSE)-1</f>
        <v>#REF!</v>
      </c>
      <c r="E235" s="217" t="e">
        <f>VLOOKUP("resto de europa",#REF!,6,FALSE)</f>
        <v>#REF!</v>
      </c>
      <c r="F235" s="216" t="e">
        <f>VLOOKUP("resto de europa",#REF!,5,FALSE)/VLOOKUP("resto de europa",#REF!,5,FALSE)-1</f>
        <v>#REF!</v>
      </c>
      <c r="G235" s="217" t="e">
        <f>VLOOKUP("resto de europa",#REF!,5,FALSE)</f>
        <v>#REF!</v>
      </c>
      <c r="H235" s="216" t="e">
        <f>VLOOKUP("resto de europa",#REF!,4,FALSE)/VLOOKUP("resto de europa",#REF!,4,FALSE)-1</f>
        <v>#REF!</v>
      </c>
      <c r="I235" s="217" t="e">
        <f>VLOOKUP("resto de europa",#REF!,4,FALSE)</f>
        <v>#REF!</v>
      </c>
      <c r="J235" s="216" t="e">
        <f>VLOOKUP("resto de europa",#REF!,3,FALSE)/VLOOKUP("resto de europa",#REF!,3,FALSE)-1</f>
        <v>#REF!</v>
      </c>
      <c r="K235" s="217" t="e">
        <f>VLOOKUP("resto de europa",#REF!,3,FALSE)</f>
        <v>#REF!</v>
      </c>
      <c r="L235" s="216" t="e">
        <f>VLOOKUP("resto de europa",#REF!,2,FALSE)/VLOOKUP("resto de europa",#REF!,2,FALSE)-1</f>
        <v>#REF!</v>
      </c>
      <c r="M235" s="217" t="e">
        <f>VLOOKUP("resto de europa",#REF!,2,FALSE)</f>
        <v>#REF!</v>
      </c>
      <c r="N235" s="216" t="e">
        <f>VLOOKUP("resto de europa",#REF!,7,FALSE)/VLOOKUP("resto de europa",#REF!,7,FALSE)-1</f>
        <v>#REF!</v>
      </c>
      <c r="O235" s="217" t="e">
        <f>VLOOKUP("resto de europa",#REF!,7,FALSE)</f>
        <v>#REF!</v>
      </c>
      <c r="P235" s="216" t="e">
        <f>VLOOKUP("resto de europa",#REF!,8,FALSE)/VLOOKUP("resto de europa",#REF!,8,FALSE)-1</f>
        <v>#REF!</v>
      </c>
      <c r="Q235" s="217" t="e">
        <f>VLOOKUP("resto de europa",#REF!,8,FALSE)</f>
        <v>#REF!</v>
      </c>
    </row>
    <row r="236" spans="3:17" ht="24" hidden="1" customHeight="1" x14ac:dyDescent="0.2">
      <c r="C236" s="215" t="s">
        <v>58</v>
      </c>
      <c r="D236" s="216" t="e">
        <f>VLOOKUP("usa",#REF!,6,FALSE)/VLOOKUP("usa",#REF!,6,FALSE)-1</f>
        <v>#REF!</v>
      </c>
      <c r="E236" s="217" t="e">
        <f>VLOOKUP("usa",#REF!,6,FALSE)</f>
        <v>#REF!</v>
      </c>
      <c r="F236" s="216" t="e">
        <f>VLOOKUP("usa",#REF!,5,FALSE)/VLOOKUP("usa",#REF!,5,FALSE)-1</f>
        <v>#REF!</v>
      </c>
      <c r="G236" s="217" t="e">
        <f>VLOOKUP("usa",#REF!,5,FALSE)</f>
        <v>#REF!</v>
      </c>
      <c r="H236" s="216" t="e">
        <f>VLOOKUP("usa",#REF!,4,FALSE)/VLOOKUP("usa",#REF!,4,FALSE)-1</f>
        <v>#REF!</v>
      </c>
      <c r="I236" s="217" t="e">
        <f>VLOOKUP("usa",#REF!,4,FALSE)</f>
        <v>#REF!</v>
      </c>
      <c r="J236" s="216" t="e">
        <f>VLOOKUP("usa",#REF!,3,FALSE)/VLOOKUP("usa",#REF!,3,FALSE)-1</f>
        <v>#REF!</v>
      </c>
      <c r="K236" s="217" t="e">
        <f>VLOOKUP("usa",#REF!,3,FALSE)</f>
        <v>#REF!</v>
      </c>
      <c r="L236" s="216" t="e">
        <f>VLOOKUP("usa",#REF!,2,FALSE)/VLOOKUP("usa",#REF!,2,FALSE)-1</f>
        <v>#REF!</v>
      </c>
      <c r="M236" s="217" t="e">
        <f>VLOOKUP("usa",#REF!,2,FALSE)</f>
        <v>#REF!</v>
      </c>
      <c r="N236" s="216" t="e">
        <f>VLOOKUP("usa",#REF!,7,FALSE)/VLOOKUP("usa",#REF!,7,FALSE)-1</f>
        <v>#REF!</v>
      </c>
      <c r="O236" s="217" t="e">
        <f>VLOOKUP("usa",#REF!,7,FALSE)</f>
        <v>#REF!</v>
      </c>
      <c r="P236" s="216" t="e">
        <f>VLOOKUP("usa",#REF!,8,FALSE)/VLOOKUP("usa",#REF!,8,FALSE)-1</f>
        <v>#REF!</v>
      </c>
      <c r="Q236" s="217" t="e">
        <f>VLOOKUP("usa",#REF!,8,FALSE)</f>
        <v>#REF!</v>
      </c>
    </row>
    <row r="237" spans="3:17" ht="24" hidden="1" customHeight="1" x14ac:dyDescent="0.2">
      <c r="C237" s="215" t="s">
        <v>59</v>
      </c>
      <c r="D237" s="216" t="e">
        <f>VLOOKUP("resto de america",#REF!,6,FALSE)/VLOOKUP("resto de america",#REF!,6,FALSE)-1</f>
        <v>#REF!</v>
      </c>
      <c r="E237" s="217" t="e">
        <f>VLOOKUP("resto de america",#REF!,6,FALSE)</f>
        <v>#REF!</v>
      </c>
      <c r="F237" s="216" t="e">
        <f>VLOOKUP("resto de america",#REF!,5,FALSE)/VLOOKUP("resto de america",#REF!,5,FALSE)-1</f>
        <v>#REF!</v>
      </c>
      <c r="G237" s="217" t="e">
        <f>VLOOKUP("resto de america",#REF!,5,FALSE)</f>
        <v>#REF!</v>
      </c>
      <c r="H237" s="216" t="e">
        <f>VLOOKUP("resto de america",#REF!,4,FALSE)/VLOOKUP("resto de america",#REF!,4,FALSE)-1</f>
        <v>#REF!</v>
      </c>
      <c r="I237" s="217" t="e">
        <f>VLOOKUP("resto de america",#REF!,4,FALSE)</f>
        <v>#REF!</v>
      </c>
      <c r="J237" s="216" t="e">
        <f>VLOOKUP("resto de america",#REF!,3,FALSE)/VLOOKUP("resto de america",#REF!,3,FALSE)-1</f>
        <v>#REF!</v>
      </c>
      <c r="K237" s="217" t="e">
        <f>VLOOKUP("resto de america",#REF!,3,FALSE)</f>
        <v>#REF!</v>
      </c>
      <c r="L237" s="216" t="e">
        <f>VLOOKUP("resto de america",#REF!,2,FALSE)/VLOOKUP("resto de america",#REF!,2,FALSE)-1</f>
        <v>#REF!</v>
      </c>
      <c r="M237" s="217" t="e">
        <f>VLOOKUP("resto de america",#REF!,2,FALSE)</f>
        <v>#REF!</v>
      </c>
      <c r="N237" s="216" t="e">
        <f>VLOOKUP("resto de america",#REF!,7,FALSE)/VLOOKUP("resto de america",#REF!,7,FALSE)-1</f>
        <v>#REF!</v>
      </c>
      <c r="O237" s="217" t="e">
        <f>VLOOKUP("resto de america",#REF!,7,FALSE)</f>
        <v>#REF!</v>
      </c>
      <c r="P237" s="216" t="e">
        <f>VLOOKUP("resto de america",#REF!,8,FALSE)/VLOOKUP("resto de america",#REF!,8,FALSE)-1</f>
        <v>#REF!</v>
      </c>
      <c r="Q237" s="217" t="e">
        <f>VLOOKUP("resto de america",#REF!,8,FALSE)</f>
        <v>#REF!</v>
      </c>
    </row>
    <row r="238" spans="3:17" ht="24" hidden="1" customHeight="1" x14ac:dyDescent="0.2">
      <c r="C238" s="215" t="s">
        <v>60</v>
      </c>
      <c r="D238" s="216" t="e">
        <f>VLOOKUP("resto del mundo",#REF!,6,FALSE)/VLOOKUP("resto del mundo",#REF!,6,FALSE)-1</f>
        <v>#REF!</v>
      </c>
      <c r="E238" s="217" t="e">
        <f>VLOOKUP("resto del mundo",#REF!,6,FALSE)</f>
        <v>#REF!</v>
      </c>
      <c r="F238" s="216" t="e">
        <f>VLOOKUP("resto del mundo",#REF!,5,FALSE)/VLOOKUP("resto del mundo",#REF!,5,FALSE)-1</f>
        <v>#REF!</v>
      </c>
      <c r="G238" s="217" t="e">
        <f>VLOOKUP("resto del mundo",#REF!,5,FALSE)</f>
        <v>#REF!</v>
      </c>
      <c r="H238" s="216" t="e">
        <f>VLOOKUP("resto del mundo",#REF!,4,FALSE)/VLOOKUP("resto del mundo",#REF!,4,FALSE)-1</f>
        <v>#REF!</v>
      </c>
      <c r="I238" s="217" t="e">
        <f>VLOOKUP("resto del mundo",#REF!,4,FALSE)</f>
        <v>#REF!</v>
      </c>
      <c r="J238" s="216" t="e">
        <f>VLOOKUP("resto del mundo",#REF!,3,FALSE)/VLOOKUP("resto del mundo",#REF!,3,FALSE)-1</f>
        <v>#REF!</v>
      </c>
      <c r="K238" s="217" t="e">
        <f>VLOOKUP("resto del mundo",#REF!,3,FALSE)</f>
        <v>#REF!</v>
      </c>
      <c r="L238" s="216" t="e">
        <f>VLOOKUP("resto del mundo",#REF!,2,FALSE)/VLOOKUP("resto del mundo",#REF!,2,FALSE)-1</f>
        <v>#REF!</v>
      </c>
      <c r="M238" s="217" t="e">
        <f>VLOOKUP("resto del mundo",#REF!,2,FALSE)</f>
        <v>#REF!</v>
      </c>
      <c r="N238" s="216" t="e">
        <f>VLOOKUP("resto del mundo",#REF!,7,FALSE)/VLOOKUP("resto del mundo",#REF!,7,FALSE)-1</f>
        <v>#REF!</v>
      </c>
      <c r="O238" s="217" t="e">
        <f>VLOOKUP("resto del mundo",#REF!,7,FALSE)</f>
        <v>#REF!</v>
      </c>
      <c r="P238" s="216" t="e">
        <f>VLOOKUP("resto del mundo",#REF!,8,FALSE)/VLOOKUP("resto del mundo",#REF!,8,FALSE)-1</f>
        <v>#REF!</v>
      </c>
      <c r="Q238" s="217" t="e">
        <f>VLOOKUP("resto del mundo",#REF!,8,FALSE)</f>
        <v>#REF!</v>
      </c>
    </row>
    <row r="239" spans="3:17" ht="24" hidden="1" customHeight="1" x14ac:dyDescent="0.2">
      <c r="C239" s="215" t="s">
        <v>61</v>
      </c>
      <c r="D239" s="216" t="e">
        <f>(VLOOKUP("total",#REF!,6,FALSE)-VLOOKUP("españa",#REF!,6,FALSE))/(VLOOKUP("total",#REF!,6,FALSE)-VLOOKUP("españa",#REF!,6,FALSE))-1</f>
        <v>#REF!</v>
      </c>
      <c r="E239" s="217" t="e">
        <f>VLOOKUP("total",#REF!,6,FALSE)-VLOOKUP("españa",#REF!,6,FALSE)</f>
        <v>#REF!</v>
      </c>
      <c r="F239" s="216" t="e">
        <f>(VLOOKUP("total",#REF!,5,FALSE)-VLOOKUP("españa",#REF!,5,FALSE))/(VLOOKUP("total",#REF!,5,FALSE)-VLOOKUP("españa",#REF!,5,FALSE))-1</f>
        <v>#REF!</v>
      </c>
      <c r="G239" s="217" t="e">
        <f>VLOOKUP("total",#REF!,5,FALSE)-VLOOKUP("españa",#REF!,5,FALSE)</f>
        <v>#REF!</v>
      </c>
      <c r="H239" s="216" t="e">
        <f>(VLOOKUP("total",#REF!,4,FALSE)-VLOOKUP("españa",#REF!,4,FALSE))/(VLOOKUP("total",#REF!,4,FALSE)-VLOOKUP("españa",#REF!,4,FALSE))-1</f>
        <v>#REF!</v>
      </c>
      <c r="I239" s="217" t="e">
        <f>VLOOKUP("total",#REF!,4,FALSE)-VLOOKUP("españa",#REF!,4,FALSE)</f>
        <v>#REF!</v>
      </c>
      <c r="J239" s="216" t="e">
        <f>(VLOOKUP("total",#REF!,3,FALSE)-VLOOKUP("españa",#REF!,3,FALSE))/(VLOOKUP("total",#REF!,3,FALSE)-VLOOKUP("españa",#REF!,3,FALSE))-1</f>
        <v>#REF!</v>
      </c>
      <c r="K239" s="217" t="e">
        <f>VLOOKUP("total",#REF!,3,FALSE)-VLOOKUP("españa",#REF!,3,FALSE)</f>
        <v>#REF!</v>
      </c>
      <c r="L239" s="216" t="e">
        <f>(VLOOKUP("total",#REF!,2,FALSE)-VLOOKUP("españa",#REF!,2,FALSE))/(VLOOKUP("total",#REF!,2,FALSE)-VLOOKUP("españa",#REF!,2,FALSE))-1</f>
        <v>#REF!</v>
      </c>
      <c r="M239" s="217" t="e">
        <f>VLOOKUP("total",#REF!,2,FALSE)-VLOOKUP("españa",#REF!,2,FALSE)</f>
        <v>#REF!</v>
      </c>
      <c r="N239" s="216" t="e">
        <f>(VLOOKUP("total",#REF!,7,FALSE)-VLOOKUP("españa",#REF!,7,FALSE))/(VLOOKUP("total",#REF!,7,FALSE)-VLOOKUP("españa",#REF!,7,FALSE))-1</f>
        <v>#REF!</v>
      </c>
      <c r="O239" s="217" t="e">
        <f>VLOOKUP("total",#REF!,7,FALSE)-VLOOKUP("españa",#REF!,7,FALSE)</f>
        <v>#REF!</v>
      </c>
      <c r="P239" s="216" t="e">
        <f>(VLOOKUP("total",#REF!,8,FALSE)-VLOOKUP("españa",#REF!,8,FALSE))/(VLOOKUP("total",#REF!,8,FALSE)-VLOOKUP("españa",#REF!,8,FALSE))-1</f>
        <v>#REF!</v>
      </c>
      <c r="Q239" s="217" t="e">
        <f>VLOOKUP("total",#REF!,8,FALSE)-VLOOKUP("españa",#REF!,8,FALSE)</f>
        <v>#REF!</v>
      </c>
    </row>
    <row r="240" spans="3:17" ht="24" hidden="1" customHeight="1" x14ac:dyDescent="0.2">
      <c r="C240" s="215" t="s">
        <v>8</v>
      </c>
      <c r="D240" s="216" t="e">
        <f>VLOOKUP("total",#REF!,6,FALSE)/VLOOKUP("total",#REF!,6,FALSE)-1</f>
        <v>#REF!</v>
      </c>
      <c r="E240" s="217" t="e">
        <f>VLOOKUP("total",#REF!,6,FALSE)</f>
        <v>#REF!</v>
      </c>
      <c r="F240" s="216" t="e">
        <f>VLOOKUP("total",#REF!,5,FALSE)/VLOOKUP("total",#REF!,5,FALSE)-1</f>
        <v>#REF!</v>
      </c>
      <c r="G240" s="217" t="e">
        <f>VLOOKUP("total",#REF!,5,FALSE)</f>
        <v>#REF!</v>
      </c>
      <c r="H240" s="216" t="e">
        <f>VLOOKUP("total",#REF!,4,FALSE)/VLOOKUP("total",#REF!,4,FALSE)-1</f>
        <v>#REF!</v>
      </c>
      <c r="I240" s="217" t="e">
        <f>VLOOKUP("total",#REF!,4,FALSE)</f>
        <v>#REF!</v>
      </c>
      <c r="J240" s="216" t="e">
        <f>VLOOKUP("total",#REF!,3,FALSE)/VLOOKUP("total",#REF!,3,FALSE)-1</f>
        <v>#REF!</v>
      </c>
      <c r="K240" s="217" t="e">
        <f>VLOOKUP("total",#REF!,3,FALSE)</f>
        <v>#REF!</v>
      </c>
      <c r="L240" s="216" t="e">
        <f>VLOOKUP("total",#REF!,2,FALSE)/VLOOKUP("total",#REF!,2,FALSE)-1</f>
        <v>#REF!</v>
      </c>
      <c r="M240" s="217" t="e">
        <f>VLOOKUP("total",#REF!,2,FALSE)</f>
        <v>#REF!</v>
      </c>
      <c r="N240" s="216" t="e">
        <f>VLOOKUP("total",#REF!,7,FALSE)/VLOOKUP("total",#REF!,7,FALSE)-1</f>
        <v>#REF!</v>
      </c>
      <c r="O240" s="217" t="e">
        <f>VLOOKUP("total",#REF!,7,FALSE)</f>
        <v>#REF!</v>
      </c>
      <c r="P240" s="216" t="e">
        <f>VLOOKUP("total",#REF!,8,FALSE)/VLOOKUP("total",#REF!,8,FALSE)-1</f>
        <v>#REF!</v>
      </c>
      <c r="Q240" s="217" t="e">
        <f>VLOOKUP("total",#REF!,8,FALSE)</f>
        <v>#REF!</v>
      </c>
    </row>
    <row r="241" spans="3:13" ht="18" customHeight="1" thickBot="1" x14ac:dyDescent="0.25">
      <c r="C241" s="4"/>
    </row>
    <row r="242" spans="3:13" ht="50.25" customHeight="1" thickBot="1" x14ac:dyDescent="0.25">
      <c r="C242" s="2"/>
      <c r="D242" s="2"/>
      <c r="E242" s="3" t="str">
        <f>$E$1</f>
        <v>INDICADORES TURÍSTICOS DE TENERIFE definitivo</v>
      </c>
      <c r="F242" s="3"/>
      <c r="G242" s="3"/>
      <c r="H242" s="3"/>
      <c r="I242" s="3"/>
      <c r="J242" s="3"/>
      <c r="K242" s="3"/>
      <c r="L242" s="2"/>
      <c r="M242" s="2"/>
    </row>
    <row r="243" spans="3:13" ht="5.25" customHeight="1" thickBot="1" x14ac:dyDescent="0.25">
      <c r="C243" s="4"/>
    </row>
    <row r="244" spans="3:13" ht="28.5" customHeight="1" thickBot="1" x14ac:dyDescent="0.25">
      <c r="C244" s="222" t="s">
        <v>67</v>
      </c>
      <c r="D244" s="223"/>
      <c r="E244" s="223"/>
      <c r="F244" s="223"/>
      <c r="G244" s="223"/>
      <c r="H244" s="223"/>
      <c r="I244" s="223"/>
      <c r="J244" s="223"/>
      <c r="K244" s="223"/>
      <c r="L244" s="223"/>
      <c r="M244" s="224"/>
    </row>
    <row r="245" spans="3:13" ht="5.25" customHeight="1" thickBot="1" x14ac:dyDescent="0.25">
      <c r="C245" s="225"/>
      <c r="D245" s="226"/>
      <c r="E245" s="226"/>
      <c r="F245" s="226"/>
      <c r="G245" s="227"/>
      <c r="H245" s="227"/>
      <c r="I245" s="227"/>
      <c r="J245" s="226"/>
      <c r="K245" s="226"/>
      <c r="L245" s="226"/>
      <c r="M245" s="228"/>
    </row>
    <row r="246" spans="3:13" ht="32.25" customHeight="1" thickTop="1" thickBot="1" x14ac:dyDescent="0.25">
      <c r="C246" s="175"/>
      <c r="D246" s="176" t="s">
        <v>7</v>
      </c>
      <c r="E246" s="177"/>
      <c r="F246" s="176" t="s">
        <v>30</v>
      </c>
      <c r="G246" s="177"/>
      <c r="H246" s="176" t="s">
        <v>31</v>
      </c>
      <c r="I246" s="177"/>
      <c r="J246" s="176" t="s">
        <v>32</v>
      </c>
      <c r="K246" s="177"/>
      <c r="L246" s="176" t="s">
        <v>33</v>
      </c>
      <c r="M246" s="229"/>
    </row>
    <row r="247" spans="3:13" ht="31.5" customHeight="1" thickBot="1" x14ac:dyDescent="0.25">
      <c r="C247" s="178"/>
      <c r="D247" s="230" t="s">
        <v>68</v>
      </c>
      <c r="E247" s="231" t="s">
        <v>69</v>
      </c>
      <c r="F247" s="230" t="s">
        <v>68</v>
      </c>
      <c r="G247" s="231" t="s">
        <v>69</v>
      </c>
      <c r="H247" s="230" t="s">
        <v>68</v>
      </c>
      <c r="I247" s="231" t="s">
        <v>69</v>
      </c>
      <c r="J247" s="230" t="s">
        <v>68</v>
      </c>
      <c r="K247" s="231" t="s">
        <v>69</v>
      </c>
      <c r="L247" s="230" t="s">
        <v>68</v>
      </c>
      <c r="M247" s="232" t="s">
        <v>69</v>
      </c>
    </row>
    <row r="248" spans="3:13" ht="18.75" thickBot="1" x14ac:dyDescent="0.25">
      <c r="C248" s="181" t="s">
        <v>36</v>
      </c>
      <c r="D248" s="233">
        <v>0.16479172411415965</v>
      </c>
      <c r="E248" s="234">
        <v>0.22895082963693733</v>
      </c>
      <c r="F248" s="233">
        <v>0.68109434311637806</v>
      </c>
      <c r="G248" s="234">
        <v>0.70097851531262567</v>
      </c>
      <c r="H248" s="233">
        <v>0.49164222873900293</v>
      </c>
      <c r="I248" s="234">
        <v>0.54534759523846377</v>
      </c>
      <c r="J248" s="233">
        <v>0.34728363682787278</v>
      </c>
      <c r="K248" s="234">
        <v>0.47024384946472186</v>
      </c>
      <c r="L248" s="233">
        <v>8.1537268990609452E-2</v>
      </c>
      <c r="M248" s="235">
        <v>0.13776639751409153</v>
      </c>
    </row>
    <row r="249" spans="3:13" ht="26.25" thickBot="1" x14ac:dyDescent="0.25">
      <c r="C249" s="236" t="s">
        <v>70</v>
      </c>
      <c r="D249" s="237">
        <v>3.9077742874199441E-2</v>
      </c>
      <c r="E249" s="238">
        <v>6.0820437696836843E-2</v>
      </c>
      <c r="F249" s="237"/>
      <c r="G249" s="238"/>
      <c r="H249" s="237"/>
      <c r="I249" s="238"/>
      <c r="J249" s="237"/>
      <c r="K249" s="238"/>
      <c r="L249" s="237"/>
      <c r="M249" s="239"/>
    </row>
    <row r="250" spans="3:13" ht="26.25" thickBot="1" x14ac:dyDescent="0.25">
      <c r="C250" s="236" t="s">
        <v>39</v>
      </c>
      <c r="D250" s="237">
        <v>2.2902823452271227E-2</v>
      </c>
      <c r="E250" s="238">
        <v>3.0489900513494685E-2</v>
      </c>
      <c r="F250" s="237"/>
      <c r="G250" s="238"/>
      <c r="H250" s="237"/>
      <c r="I250" s="238"/>
      <c r="J250" s="237"/>
      <c r="K250" s="238"/>
      <c r="L250" s="237"/>
      <c r="M250" s="239"/>
    </row>
    <row r="251" spans="3:13" ht="18.75" thickBot="1" x14ac:dyDescent="0.25">
      <c r="C251" s="236" t="s">
        <v>40</v>
      </c>
      <c r="D251" s="237">
        <v>0.10281115778768898</v>
      </c>
      <c r="E251" s="238">
        <v>0.13764049142661988</v>
      </c>
      <c r="F251" s="237"/>
      <c r="G251" s="238"/>
      <c r="H251" s="237"/>
      <c r="I251" s="238"/>
      <c r="J251" s="237"/>
      <c r="K251" s="238"/>
      <c r="L251" s="237"/>
      <c r="M251" s="239"/>
    </row>
    <row r="252" spans="3:13" ht="18.75" thickBot="1" x14ac:dyDescent="0.25">
      <c r="C252" s="240" t="s">
        <v>41</v>
      </c>
      <c r="D252" s="241">
        <v>2.5062905004825588E-2</v>
      </c>
      <c r="E252" s="242">
        <v>3.026905955946799E-2</v>
      </c>
      <c r="F252" s="241">
        <v>7.036385519859272E-3</v>
      </c>
      <c r="G252" s="242">
        <v>6.2084106759461646E-3</v>
      </c>
      <c r="H252" s="241">
        <v>1.4956011730205278E-2</v>
      </c>
      <c r="I252" s="242">
        <v>1.4690175074689246E-2</v>
      </c>
      <c r="J252" s="241">
        <v>1.1513062451400253E-2</v>
      </c>
      <c r="K252" s="242">
        <v>1.4451200533678259E-2</v>
      </c>
      <c r="L252" s="241">
        <v>2.9713363862851717E-2</v>
      </c>
      <c r="M252" s="243">
        <v>3.5810530048463379E-2</v>
      </c>
    </row>
    <row r="253" spans="3:13" ht="24" customHeight="1" thickBot="1" x14ac:dyDescent="0.25">
      <c r="C253" s="244" t="s">
        <v>42</v>
      </c>
      <c r="D253" s="237">
        <v>2.7654505032400387E-2</v>
      </c>
      <c r="E253" s="238">
        <v>2.706918969564889E-2</v>
      </c>
      <c r="F253" s="237">
        <v>6.9438014998611242E-3</v>
      </c>
      <c r="G253" s="238">
        <v>7.1728710385638751E-3</v>
      </c>
      <c r="H253" s="237">
        <v>9.3841642228739003E-3</v>
      </c>
      <c r="I253" s="238">
        <v>1.1083419761304005E-2</v>
      </c>
      <c r="J253" s="237">
        <v>7.1608463029374557E-3</v>
      </c>
      <c r="K253" s="238">
        <v>8.0711079738551954E-3</v>
      </c>
      <c r="L253" s="237">
        <v>3.4341417648960121E-2</v>
      </c>
      <c r="M253" s="239">
        <v>3.3219135586801271E-2</v>
      </c>
    </row>
    <row r="254" spans="3:13" ht="24" customHeight="1" thickBot="1" x14ac:dyDescent="0.25">
      <c r="C254" s="240" t="s">
        <v>43</v>
      </c>
      <c r="D254" s="241">
        <v>0.13321642768509581</v>
      </c>
      <c r="E254" s="242">
        <v>0.11051544672136844</v>
      </c>
      <c r="F254" s="241">
        <v>4.4625497639107489E-2</v>
      </c>
      <c r="G254" s="242">
        <v>4.2697968817397118E-2</v>
      </c>
      <c r="H254" s="241">
        <v>0.20043988269794721</v>
      </c>
      <c r="I254" s="242">
        <v>0.16191699818888253</v>
      </c>
      <c r="J254" s="241">
        <v>0.2771723361535694</v>
      </c>
      <c r="K254" s="242">
        <v>0.21106083098281544</v>
      </c>
      <c r="L254" s="241">
        <v>0.10190013357856106</v>
      </c>
      <c r="M254" s="243">
        <v>8.7383283429324263E-2</v>
      </c>
    </row>
    <row r="255" spans="3:13" ht="24" customHeight="1" thickBot="1" x14ac:dyDescent="0.25">
      <c r="C255" s="244" t="s">
        <v>44</v>
      </c>
      <c r="D255" s="237">
        <v>2.3841427685095822E-2</v>
      </c>
      <c r="E255" s="238">
        <v>3.3859638511443454E-2</v>
      </c>
      <c r="F255" s="237">
        <v>2.2868252939542633E-2</v>
      </c>
      <c r="G255" s="238">
        <v>2.5827182273315465E-2</v>
      </c>
      <c r="H255" s="237">
        <v>5.5278592375366566E-2</v>
      </c>
      <c r="I255" s="238">
        <v>7.7893531059890719E-2</v>
      </c>
      <c r="J255" s="237">
        <v>2.5753513689170525E-2</v>
      </c>
      <c r="K255" s="238">
        <v>3.7222701106238237E-2</v>
      </c>
      <c r="L255" s="237">
        <v>2.2817048857717379E-2</v>
      </c>
      <c r="M255" s="239">
        <v>3.270190111023883E-2</v>
      </c>
    </row>
    <row r="256" spans="3:13" ht="24" customHeight="1" thickBot="1" x14ac:dyDescent="0.25">
      <c r="C256" s="240" t="s">
        <v>45</v>
      </c>
      <c r="D256" s="241">
        <v>0.34891165724527784</v>
      </c>
      <c r="E256" s="242">
        <v>0.35055433730291263</v>
      </c>
      <c r="F256" s="241">
        <v>3.9533376539209332E-2</v>
      </c>
      <c r="G256" s="242">
        <v>4.7302176578637445E-2</v>
      </c>
      <c r="H256" s="241">
        <v>4.9706744868035189E-2</v>
      </c>
      <c r="I256" s="242">
        <v>4.1516385195275618E-2</v>
      </c>
      <c r="J256" s="241">
        <v>9.9474252289265694E-2</v>
      </c>
      <c r="K256" s="242">
        <v>8.1429567365729594E-2</v>
      </c>
      <c r="L256" s="241">
        <v>0.43534025348462702</v>
      </c>
      <c r="M256" s="243">
        <v>0.44009865252958741</v>
      </c>
    </row>
    <row r="257" spans="3:13" ht="24" customHeight="1" thickBot="1" x14ac:dyDescent="0.25">
      <c r="C257" s="244" t="s">
        <v>46</v>
      </c>
      <c r="D257" s="237">
        <v>1.6874482972563078E-2</v>
      </c>
      <c r="E257" s="238">
        <v>2.099009439756979E-2</v>
      </c>
      <c r="F257" s="237">
        <v>4.6292009999074164E-3</v>
      </c>
      <c r="G257" s="238">
        <v>3.6445939331081309E-3</v>
      </c>
      <c r="H257" s="237">
        <v>7.0381231671554252E-3</v>
      </c>
      <c r="I257" s="238">
        <v>4.1795018652962031E-3</v>
      </c>
      <c r="J257" s="237">
        <v>6.278797163515662E-3</v>
      </c>
      <c r="K257" s="238">
        <v>7.0665827623085853E-3</v>
      </c>
      <c r="L257" s="237">
        <v>2.0434373453620779E-2</v>
      </c>
      <c r="M257" s="239">
        <v>2.5720976369595864E-2</v>
      </c>
    </row>
    <row r="258" spans="3:13" ht="24" customHeight="1" thickBot="1" x14ac:dyDescent="0.25">
      <c r="C258" s="240" t="s">
        <v>47</v>
      </c>
      <c r="D258" s="241">
        <v>2.5146921963325519E-2</v>
      </c>
      <c r="E258" s="242">
        <v>2.5217078345061494E-2</v>
      </c>
      <c r="F258" s="241">
        <v>2.6201277659475976E-2</v>
      </c>
      <c r="G258" s="242">
        <v>2.8245602981588014E-2</v>
      </c>
      <c r="H258" s="241">
        <v>1.8768328445747801E-2</v>
      </c>
      <c r="I258" s="242">
        <v>2.5541400287921241E-2</v>
      </c>
      <c r="J258" s="241">
        <v>1.4310086696145677E-2</v>
      </c>
      <c r="K258" s="242">
        <v>1.5134781879373588E-2</v>
      </c>
      <c r="L258" s="241">
        <v>2.7877016192467543E-2</v>
      </c>
      <c r="M258" s="243">
        <v>2.7642204045519619E-2</v>
      </c>
    </row>
    <row r="259" spans="3:13" ht="24" customHeight="1" thickBot="1" x14ac:dyDescent="0.25">
      <c r="C259" s="244" t="s">
        <v>48</v>
      </c>
      <c r="D259" s="237">
        <v>0.12476949193437198</v>
      </c>
      <c r="E259" s="238">
        <v>6.4364438410159638E-2</v>
      </c>
      <c r="F259" s="237">
        <v>5.8327932598833447E-2</v>
      </c>
      <c r="G259" s="238">
        <v>3.3731880019192279E-2</v>
      </c>
      <c r="H259" s="237">
        <v>3.1671554252199412E-2</v>
      </c>
      <c r="I259" s="238">
        <v>1.4937849259299392E-2</v>
      </c>
      <c r="J259" s="237">
        <v>0.10932766964938546</v>
      </c>
      <c r="K259" s="238">
        <v>4.9946040706541919E-2</v>
      </c>
      <c r="L259" s="237">
        <v>0.13449673490519354</v>
      </c>
      <c r="M259" s="239">
        <v>7.0427939414933194E-2</v>
      </c>
    </row>
    <row r="260" spans="3:13" ht="24" customHeight="1" thickBot="1" x14ac:dyDescent="0.25">
      <c r="C260" s="245" t="s">
        <v>49</v>
      </c>
      <c r="D260" s="241">
        <v>4.2215290224734595E-2</v>
      </c>
      <c r="E260" s="242">
        <v>2.2200916889038996E-2</v>
      </c>
      <c r="F260" s="241">
        <v>2.1896120729562079E-2</v>
      </c>
      <c r="G260" s="242">
        <v>1.2348969869095103E-2</v>
      </c>
      <c r="H260" s="241">
        <v>1.0850439882697948E-2</v>
      </c>
      <c r="I260" s="242">
        <v>6.5943251652451204E-3</v>
      </c>
      <c r="J260" s="241">
        <v>2.7297099683158663E-2</v>
      </c>
      <c r="K260" s="242">
        <v>1.2883326723764294E-2</v>
      </c>
      <c r="L260" s="241">
        <v>4.7759341203122363E-2</v>
      </c>
      <c r="M260" s="243">
        <v>2.5346727385352368E-2</v>
      </c>
    </row>
    <row r="261" spans="3:13" ht="24" customHeight="1" thickBot="1" x14ac:dyDescent="0.25">
      <c r="C261" s="236" t="s">
        <v>50</v>
      </c>
      <c r="D261" s="237">
        <v>2.3847890528057355E-2</v>
      </c>
      <c r="E261" s="238">
        <v>1.1773116735234859E-2</v>
      </c>
      <c r="F261" s="237">
        <v>9.8601981298027958E-3</v>
      </c>
      <c r="G261" s="238">
        <v>7.7883809182244237E-3</v>
      </c>
      <c r="H261" s="237">
        <v>9.3841642228739003E-3</v>
      </c>
      <c r="I261" s="238">
        <v>3.1114069441649508E-3</v>
      </c>
      <c r="J261" s="237">
        <v>7.9036245256084402E-3</v>
      </c>
      <c r="K261" s="238">
        <v>5.2931497392209887E-3</v>
      </c>
      <c r="L261" s="237">
        <v>2.8923905985864126E-2</v>
      </c>
      <c r="M261" s="239">
        <v>1.3778579380696262E-2</v>
      </c>
    </row>
    <row r="262" spans="3:13" ht="24" customHeight="1" thickBot="1" x14ac:dyDescent="0.25">
      <c r="C262" s="245" t="s">
        <v>51</v>
      </c>
      <c r="D262" s="241">
        <v>2.2066300151661382E-2</v>
      </c>
      <c r="E262" s="242">
        <v>1.3736429903220607E-2</v>
      </c>
      <c r="F262" s="241">
        <v>1.5878159429682438E-2</v>
      </c>
      <c r="G262" s="242">
        <v>6.7172967969253584E-3</v>
      </c>
      <c r="H262" s="241">
        <v>5.131964809384164E-3</v>
      </c>
      <c r="I262" s="242">
        <v>2.8482531230166717E-3</v>
      </c>
      <c r="J262" s="241">
        <v>1.8372155101377623E-2</v>
      </c>
      <c r="K262" s="242">
        <v>8.6635451401244797E-3</v>
      </c>
      <c r="L262" s="241">
        <v>2.3689457018881199E-2</v>
      </c>
      <c r="M262" s="243">
        <v>1.5572487800850802E-2</v>
      </c>
    </row>
    <row r="263" spans="3:13" ht="24" customHeight="1" thickBot="1" x14ac:dyDescent="0.25">
      <c r="C263" s="236" t="s">
        <v>52</v>
      </c>
      <c r="D263" s="237">
        <v>3.6640011029918651E-2</v>
      </c>
      <c r="E263" s="238">
        <v>1.6653974882665176E-2</v>
      </c>
      <c r="F263" s="237">
        <v>1.0693454309786131E-2</v>
      </c>
      <c r="G263" s="238">
        <v>6.8772324349473911E-3</v>
      </c>
      <c r="H263" s="237">
        <v>6.3049853372434015E-3</v>
      </c>
      <c r="I263" s="238">
        <v>2.3838640268726489E-3</v>
      </c>
      <c r="J263" s="237">
        <v>5.5754790339240738E-2</v>
      </c>
      <c r="K263" s="238">
        <v>2.3106019103432161E-2</v>
      </c>
      <c r="L263" s="237">
        <v>3.4124030697325856E-2</v>
      </c>
      <c r="M263" s="239">
        <v>1.5730144848033777E-2</v>
      </c>
    </row>
    <row r="264" spans="3:13" ht="24" customHeight="1" thickBot="1" x14ac:dyDescent="0.25">
      <c r="C264" s="240" t="s">
        <v>53</v>
      </c>
      <c r="D264" s="241">
        <v>1.1891631049221012E-2</v>
      </c>
      <c r="E264" s="242">
        <v>9.745561976792631E-3</v>
      </c>
      <c r="F264" s="241">
        <v>5.4161651698916768E-3</v>
      </c>
      <c r="G264" s="242">
        <v>6.1793314690330682E-3</v>
      </c>
      <c r="H264" s="241">
        <v>2.404692082111437E-2</v>
      </c>
      <c r="I264" s="242">
        <v>1.4194826705468955E-2</v>
      </c>
      <c r="J264" s="241">
        <v>1.1524668361129487E-2</v>
      </c>
      <c r="K264" s="242">
        <v>8.4744694487619426E-3</v>
      </c>
      <c r="L264" s="241">
        <v>1.2145065745251097E-2</v>
      </c>
      <c r="M264" s="243">
        <v>1.0183053757323033E-2</v>
      </c>
    </row>
    <row r="265" spans="3:13" ht="24" customHeight="1" thickBot="1" x14ac:dyDescent="0.25">
      <c r="C265" s="244" t="s">
        <v>54</v>
      </c>
      <c r="D265" s="237">
        <v>7.9406797187370742E-3</v>
      </c>
      <c r="E265" s="238">
        <v>5.9921249577827556E-3</v>
      </c>
      <c r="F265" s="237">
        <v>3.3793167299324138E-3</v>
      </c>
      <c r="G265" s="238">
        <v>2.801296932628324E-3</v>
      </c>
      <c r="H265" s="237">
        <v>1.3929618768328446E-2</v>
      </c>
      <c r="I265" s="238">
        <v>8.1113295459822599E-3</v>
      </c>
      <c r="J265" s="237">
        <v>9.296333693116535E-3</v>
      </c>
      <c r="K265" s="238">
        <v>9.296706301456464E-3</v>
      </c>
      <c r="L265" s="237">
        <v>7.7715835209249242E-3</v>
      </c>
      <c r="M265" s="239">
        <v>5.2742996384083406E-3</v>
      </c>
    </row>
    <row r="266" spans="3:13" ht="24" customHeight="1" thickBot="1" x14ac:dyDescent="0.25">
      <c r="C266" s="240" t="s">
        <v>55</v>
      </c>
      <c r="D266" s="241">
        <v>1.6286364263063562E-2</v>
      </c>
      <c r="E266" s="242">
        <v>1.4022887287566021E-2</v>
      </c>
      <c r="F266" s="241">
        <v>5.3698731598926025E-3</v>
      </c>
      <c r="G266" s="242">
        <v>8.4959749531097785E-3</v>
      </c>
      <c r="H266" s="241">
        <v>4.1055718475073314E-3</v>
      </c>
      <c r="I266" s="242">
        <v>6.4859677094781815E-3</v>
      </c>
      <c r="J266" s="241">
        <v>9.3775750612211731E-3</v>
      </c>
      <c r="K266" s="242">
        <v>8.5297377277756062E-3</v>
      </c>
      <c r="L266" s="241">
        <v>1.8901223373673868E-2</v>
      </c>
      <c r="M266" s="243">
        <v>1.5836327117981931E-2</v>
      </c>
    </row>
    <row r="267" spans="3:13" ht="24" customHeight="1" thickBot="1" x14ac:dyDescent="0.25">
      <c r="C267" s="244" t="s">
        <v>56</v>
      </c>
      <c r="D267" s="237">
        <v>2.9479181028539914E-2</v>
      </c>
      <c r="E267" s="238">
        <v>2.9580246950684622E-2</v>
      </c>
      <c r="F267" s="237">
        <v>7.915933709841682E-3</v>
      </c>
      <c r="G267" s="238">
        <v>9.4458957122709412E-3</v>
      </c>
      <c r="H267" s="237">
        <v>8.2111436950146627E-3</v>
      </c>
      <c r="I267" s="238">
        <v>9.2258633767279136E-3</v>
      </c>
      <c r="J267" s="237">
        <v>1.8023977809500599E-2</v>
      </c>
      <c r="K267" s="238">
        <v>1.9664841520633976E-2</v>
      </c>
      <c r="L267" s="237">
        <v>3.4049661477029924E-2</v>
      </c>
      <c r="M267" s="239">
        <v>3.3483223574353821E-2</v>
      </c>
    </row>
    <row r="268" spans="3:13" ht="24" customHeight="1" thickBot="1" x14ac:dyDescent="0.25">
      <c r="C268" s="240" t="s">
        <v>57</v>
      </c>
      <c r="D268" s="241">
        <v>2.4052547221839238E-2</v>
      </c>
      <c r="E268" s="242">
        <v>2.7104128104493645E-2</v>
      </c>
      <c r="F268" s="241">
        <v>3.1247106749375059E-2</v>
      </c>
      <c r="G268" s="242">
        <v>2.3248825927020884E-2</v>
      </c>
      <c r="H268" s="241">
        <v>1.6275659824046922E-2</v>
      </c>
      <c r="I268" s="242">
        <v>1.4148387795854553E-2</v>
      </c>
      <c r="J268" s="241">
        <v>3.2612606339147893E-2</v>
      </c>
      <c r="K268" s="242">
        <v>3.6083398863412691E-2</v>
      </c>
      <c r="L268" s="241">
        <v>2.1650024169996597E-2</v>
      </c>
      <c r="M268" s="243">
        <v>2.5207223278933363E-2</v>
      </c>
    </row>
    <row r="269" spans="3:13" ht="24" customHeight="1" thickBot="1" x14ac:dyDescent="0.25">
      <c r="C269" s="244" t="s">
        <v>58</v>
      </c>
      <c r="D269" s="237">
        <v>4.2396249827657525E-3</v>
      </c>
      <c r="E269" s="238">
        <v>3.822938154883845E-3</v>
      </c>
      <c r="F269" s="237">
        <v>1.0600870289787982E-2</v>
      </c>
      <c r="G269" s="238">
        <v>1.0415202609374168E-2</v>
      </c>
      <c r="H269" s="237">
        <v>1.3636363636363636E-2</v>
      </c>
      <c r="I269" s="238">
        <v>1.5448677265057817E-2</v>
      </c>
      <c r="J269" s="237">
        <v>2.2631523972006544E-3</v>
      </c>
      <c r="K269" s="238">
        <v>2.7847455671446567E-3</v>
      </c>
      <c r="L269" s="237">
        <v>4.150374563438375E-3</v>
      </c>
      <c r="M269" s="239">
        <v>3.5641931502737737E-3</v>
      </c>
    </row>
    <row r="270" spans="3:13" ht="24" customHeight="1" thickBot="1" x14ac:dyDescent="0.25">
      <c r="C270" s="240" t="s">
        <v>59</v>
      </c>
      <c r="D270" s="241">
        <v>3.4317696125741072E-3</v>
      </c>
      <c r="E270" s="242">
        <v>3.7765414506652759E-3</v>
      </c>
      <c r="F270" s="241">
        <v>2.1525784649569484E-2</v>
      </c>
      <c r="G270" s="242">
        <v>2.0520227011675302E-2</v>
      </c>
      <c r="H270" s="241">
        <v>1.8328445747800588E-2</v>
      </c>
      <c r="I270" s="242">
        <v>1.5123604897757001E-2</v>
      </c>
      <c r="J270" s="241">
        <v>3.7487088425426228E-3</v>
      </c>
      <c r="K270" s="242">
        <v>4.8374288420907699E-3</v>
      </c>
      <c r="L270" s="241">
        <v>1.9450411462013061E-3</v>
      </c>
      <c r="M270" s="243">
        <v>2.4630805242071953E-3</v>
      </c>
    </row>
    <row r="271" spans="3:13" ht="24" customHeight="1" thickBot="1" x14ac:dyDescent="0.25">
      <c r="C271" s="244" t="s">
        <v>60</v>
      </c>
      <c r="D271" s="237">
        <v>1.2408658486143665E-2</v>
      </c>
      <c r="E271" s="238">
        <v>1.4165458536561542E-2</v>
      </c>
      <c r="F271" s="237">
        <v>2.3284881029534302E-2</v>
      </c>
      <c r="G271" s="238">
        <v>2.3084043754513336E-2</v>
      </c>
      <c r="H271" s="237">
        <v>2.2580645161290321E-2</v>
      </c>
      <c r="I271" s="238">
        <v>2.0154486772650578E-2</v>
      </c>
      <c r="J271" s="237">
        <v>1.4878776272878149E-2</v>
      </c>
      <c r="K271" s="238">
        <v>1.5702008953461199E-2</v>
      </c>
      <c r="L271" s="237">
        <v>1.092941502887528E-2</v>
      </c>
      <c r="M271" s="239">
        <v>1.3217578909963154E-2</v>
      </c>
    </row>
    <row r="272" spans="3:13" ht="30.75" customHeight="1" thickBot="1" x14ac:dyDescent="0.25">
      <c r="C272" s="246" t="s">
        <v>61</v>
      </c>
      <c r="D272" s="247">
        <v>0.83520827588584035</v>
      </c>
      <c r="E272" s="248">
        <v>0.77104917036306264</v>
      </c>
      <c r="F272" s="247">
        <v>0.31890565688362194</v>
      </c>
      <c r="G272" s="248">
        <v>0.29902148468737433</v>
      </c>
      <c r="H272" s="247">
        <v>0.50835777126099702</v>
      </c>
      <c r="I272" s="248">
        <v>0.45465240476153623</v>
      </c>
      <c r="J272" s="247">
        <v>0.65271636317212722</v>
      </c>
      <c r="K272" s="248">
        <v>0.52975615053527814</v>
      </c>
      <c r="L272" s="247">
        <v>0.91846273100939058</v>
      </c>
      <c r="M272" s="249">
        <v>0.86223360248590852</v>
      </c>
    </row>
    <row r="273" spans="3:18" ht="24" customHeight="1" thickBot="1" x14ac:dyDescent="0.25">
      <c r="C273" s="250" t="s">
        <v>8</v>
      </c>
      <c r="D273" s="251">
        <v>1</v>
      </c>
      <c r="E273" s="252">
        <v>1</v>
      </c>
      <c r="F273" s="251">
        <v>1</v>
      </c>
      <c r="G273" s="252">
        <v>1</v>
      </c>
      <c r="H273" s="251">
        <v>1</v>
      </c>
      <c r="I273" s="252">
        <v>1</v>
      </c>
      <c r="J273" s="251">
        <v>1</v>
      </c>
      <c r="K273" s="252">
        <v>1</v>
      </c>
      <c r="L273" s="251">
        <v>1</v>
      </c>
      <c r="M273" s="253">
        <v>1</v>
      </c>
    </row>
    <row r="274" spans="3:18" ht="18" customHeight="1" x14ac:dyDescent="0.2">
      <c r="C274" s="254"/>
      <c r="D274" s="255"/>
      <c r="E274" s="256"/>
      <c r="F274" s="255"/>
      <c r="G274" s="256"/>
      <c r="H274" s="255"/>
      <c r="I274" s="256"/>
      <c r="J274" s="255"/>
      <c r="K274" s="256"/>
      <c r="L274" s="255"/>
      <c r="M274" s="256"/>
      <c r="N274" s="257"/>
    </row>
    <row r="275" spans="3:18" ht="5.25" customHeight="1" thickBot="1" x14ac:dyDescent="0.25"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</row>
    <row r="276" spans="3:18" ht="20.100000000000001" customHeight="1" thickBot="1" x14ac:dyDescent="0.25">
      <c r="C276" s="27" t="s">
        <v>71</v>
      </c>
      <c r="D276" s="28"/>
      <c r="E276" s="28"/>
      <c r="F276" s="28"/>
      <c r="G276" s="28"/>
      <c r="H276" s="28"/>
      <c r="I276" s="28"/>
      <c r="J276" s="28"/>
      <c r="K276" s="28"/>
      <c r="L276" s="28"/>
      <c r="M276" s="29"/>
    </row>
    <row r="277" spans="3:18" ht="5.25" customHeight="1" x14ac:dyDescent="0.2"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151"/>
    </row>
    <row r="278" spans="3:18" ht="45.75" customHeight="1" thickBot="1" x14ac:dyDescent="0.25">
      <c r="C278" s="258" t="s">
        <v>7</v>
      </c>
      <c r="D278" s="259" t="s">
        <v>72</v>
      </c>
      <c r="E278" s="260" t="s">
        <v>73</v>
      </c>
      <c r="F278" s="261">
        <v>1119.9329920981111</v>
      </c>
      <c r="G278" s="262">
        <v>3.2679175677557737E-2</v>
      </c>
      <c r="H278" s="263" t="s">
        <v>96</v>
      </c>
      <c r="I278" s="264"/>
      <c r="J278" s="264"/>
      <c r="K278" s="264"/>
      <c r="L278" s="265"/>
      <c r="M278" s="266" t="s">
        <v>100</v>
      </c>
      <c r="O278" s="145"/>
      <c r="R278" s="145"/>
    </row>
    <row r="279" spans="3:18" ht="45.75" customHeight="1" thickTop="1" thickBot="1" x14ac:dyDescent="0.25">
      <c r="C279" s="258"/>
      <c r="D279" s="267"/>
      <c r="E279" s="268" t="s">
        <v>74</v>
      </c>
      <c r="F279" s="269">
        <v>747.80947918073173</v>
      </c>
      <c r="G279" s="262">
        <v>5.3405545368859997E-2</v>
      </c>
      <c r="H279" s="263" t="s">
        <v>97</v>
      </c>
      <c r="I279" s="264"/>
      <c r="J279" s="264"/>
      <c r="K279" s="264"/>
      <c r="L279" s="265"/>
      <c r="M279" s="266"/>
      <c r="O279" s="145"/>
      <c r="R279" s="145"/>
    </row>
    <row r="280" spans="3:18" ht="45.75" customHeight="1" thickTop="1" thickBot="1" x14ac:dyDescent="0.25">
      <c r="C280" s="258"/>
      <c r="D280" s="270"/>
      <c r="E280" s="271" t="s">
        <v>75</v>
      </c>
      <c r="F280" s="272">
        <v>381.28288775894373</v>
      </c>
      <c r="G280" s="262">
        <v>6.5673773836523175E-3</v>
      </c>
      <c r="H280" s="263" t="str">
        <f>CONCATENATE("El gasto medio por turista en destino ascendió a ",FIXED($F$280,0),"€. Experimenta un ",IF(G280&gt;0,"incremento del ","descenso del "),FIXED(G280*100,1),"% respecto al miso periodo del año anterior.")</f>
        <v>El gasto medio por turista en destino ascendió a 381€. Experimenta un incremento del 0,7% respecto al miso periodo del año anterior.</v>
      </c>
      <c r="I280" s="264"/>
      <c r="J280" s="264"/>
      <c r="K280" s="264"/>
      <c r="L280" s="265"/>
      <c r="M280" s="266"/>
      <c r="O280" s="145"/>
      <c r="R280" s="145"/>
    </row>
    <row r="281" spans="3:18" ht="45.75" customHeight="1" thickTop="1" thickBot="1" x14ac:dyDescent="0.25">
      <c r="C281" s="258"/>
      <c r="D281" s="273" t="s">
        <v>76</v>
      </c>
      <c r="E281" s="274" t="s">
        <v>73</v>
      </c>
      <c r="F281" s="275">
        <v>124.60234618471212</v>
      </c>
      <c r="G281" s="262">
        <v>3.1190250496200278E-2</v>
      </c>
      <c r="H281" s="276" t="s">
        <v>98</v>
      </c>
      <c r="I281" s="277"/>
      <c r="J281" s="277"/>
      <c r="K281" s="277"/>
      <c r="L281" s="278"/>
      <c r="M281" s="266"/>
      <c r="O281" s="145"/>
      <c r="R281" s="145"/>
    </row>
    <row r="282" spans="3:18" ht="45.75" customHeight="1" thickTop="1" thickBot="1" x14ac:dyDescent="0.25">
      <c r="C282" s="258"/>
      <c r="D282" s="279"/>
      <c r="E282" s="280" t="s">
        <v>74</v>
      </c>
      <c r="F282" s="281">
        <v>83.079360121241564</v>
      </c>
      <c r="G282" s="262">
        <v>5.1506005169914326E-2</v>
      </c>
      <c r="H282" s="276" t="str">
        <f>CONCATENATE("La media del gasto diario por turista en origen fue de ",FIXED($F$282,0),"€, ",IF(G282&gt;0,"aumentando un ","disminuyendo un "),FIXED(G282*100,1),"% respecto al mismo período del año anterior.")</f>
        <v>La media del gasto diario por turista en origen fue de 83€, aumentando un 5,2% respecto al mismo período del año anterior.</v>
      </c>
      <c r="I282" s="277"/>
      <c r="J282" s="277"/>
      <c r="K282" s="277"/>
      <c r="L282" s="278"/>
      <c r="M282" s="266"/>
      <c r="O282" s="145"/>
      <c r="R282" s="145"/>
    </row>
    <row r="283" spans="3:18" ht="45.75" customHeight="1" thickTop="1" thickBot="1" x14ac:dyDescent="0.25">
      <c r="C283" s="258"/>
      <c r="D283" s="282"/>
      <c r="E283" s="283" t="s">
        <v>75</v>
      </c>
      <c r="F283" s="284">
        <v>42.217284339241843</v>
      </c>
      <c r="G283" s="262">
        <v>1.0970649649703512E-2</v>
      </c>
      <c r="H283" s="276" t="s">
        <v>99</v>
      </c>
      <c r="I283" s="277"/>
      <c r="J283" s="277"/>
      <c r="K283" s="277"/>
      <c r="L283" s="278"/>
      <c r="M283" s="266"/>
      <c r="O283" s="145"/>
      <c r="R283" s="145"/>
    </row>
    <row r="284" spans="3:18" ht="5.25" customHeight="1" thickTop="1" thickBot="1" x14ac:dyDescent="0.25">
      <c r="C284" s="285"/>
      <c r="D284" s="285"/>
      <c r="E284" s="285"/>
      <c r="F284" s="285"/>
      <c r="G284" s="285"/>
      <c r="H284" s="285"/>
      <c r="I284" s="285"/>
      <c r="J284" s="285"/>
      <c r="K284" s="285"/>
      <c r="L284" s="285"/>
      <c r="M284" s="286"/>
      <c r="N284" s="257"/>
      <c r="O284" s="145"/>
      <c r="R284" s="145"/>
    </row>
    <row r="285" spans="3:18" ht="19.5" customHeight="1" thickBot="1" x14ac:dyDescent="0.25">
      <c r="C285" s="27" t="s">
        <v>77</v>
      </c>
      <c r="D285" s="28"/>
      <c r="E285" s="28"/>
      <c r="F285" s="28"/>
      <c r="G285" s="28"/>
      <c r="H285" s="28"/>
      <c r="I285" s="28"/>
      <c r="J285" s="28"/>
      <c r="K285" s="28"/>
      <c r="L285" s="28"/>
      <c r="M285" s="29"/>
      <c r="N285" s="257"/>
      <c r="O285" s="145"/>
      <c r="P285" s="145"/>
      <c r="Q285" s="145"/>
    </row>
    <row r="286" spans="3:18" ht="5.25" customHeight="1" x14ac:dyDescent="0.2"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151"/>
      <c r="N286" s="257"/>
      <c r="O286" s="145"/>
      <c r="P286" s="145"/>
      <c r="Q286" s="145"/>
    </row>
    <row r="287" spans="3:18" s="145" customFormat="1" ht="47.25" customHeight="1" thickBot="1" x14ac:dyDescent="0.25">
      <c r="C287" s="258" t="s">
        <v>7</v>
      </c>
      <c r="D287" s="287"/>
      <c r="E287" s="288" t="s">
        <v>8</v>
      </c>
      <c r="F287" s="289">
        <v>150770</v>
      </c>
      <c r="G287" s="262">
        <v>8.1656957557322052E-2</v>
      </c>
      <c r="H287" s="290" t="s">
        <v>101</v>
      </c>
      <c r="I287" s="290"/>
      <c r="J287" s="290"/>
      <c r="K287" s="290"/>
      <c r="L287" s="291"/>
      <c r="M287" s="266" t="s">
        <v>107</v>
      </c>
      <c r="Q287" s="292"/>
    </row>
    <row r="288" spans="3:18" s="145" customFormat="1" ht="47.25" customHeight="1" thickTop="1" thickBot="1" x14ac:dyDescent="0.25">
      <c r="C288" s="258"/>
      <c r="D288" s="287"/>
      <c r="E288" s="293" t="s">
        <v>78</v>
      </c>
      <c r="F288" s="294">
        <v>87458</v>
      </c>
      <c r="G288" s="295">
        <v>3.9743208702371691E-2</v>
      </c>
      <c r="H288" s="296" t="s">
        <v>102</v>
      </c>
      <c r="I288" s="297"/>
      <c r="J288" s="297"/>
      <c r="K288" s="297"/>
      <c r="L288" s="298"/>
      <c r="M288" s="266"/>
      <c r="O288" s="299"/>
      <c r="Q288" s="292"/>
    </row>
    <row r="289" spans="3:20" s="145" customFormat="1" ht="47.25" customHeight="1" thickTop="1" thickBot="1" x14ac:dyDescent="0.25">
      <c r="C289" s="258"/>
      <c r="D289" s="287"/>
      <c r="E289" s="300" t="s">
        <v>79</v>
      </c>
      <c r="F289" s="301">
        <v>48495</v>
      </c>
      <c r="G289" s="295">
        <v>-1.0730095265294448E-2</v>
      </c>
      <c r="H289" s="302" t="s">
        <v>103</v>
      </c>
      <c r="I289" s="297"/>
      <c r="J289" s="297"/>
      <c r="K289" s="297"/>
      <c r="L289" s="298"/>
      <c r="M289" s="266"/>
      <c r="O289" s="299"/>
      <c r="Q289" s="292"/>
    </row>
    <row r="290" spans="3:20" s="145" customFormat="1" ht="47.25" customHeight="1" thickTop="1" thickBot="1" x14ac:dyDescent="0.25">
      <c r="C290" s="258"/>
      <c r="D290" s="287"/>
      <c r="E290" s="293" t="s">
        <v>80</v>
      </c>
      <c r="F290" s="294">
        <v>13288</v>
      </c>
      <c r="G290" s="295">
        <v>1.7816621310445888</v>
      </c>
      <c r="H290" s="296" t="s">
        <v>104</v>
      </c>
      <c r="I290" s="297"/>
      <c r="J290" s="297"/>
      <c r="K290" s="297"/>
      <c r="L290" s="298"/>
      <c r="M290" s="266"/>
      <c r="O290" s="299"/>
      <c r="Q290" s="292"/>
    </row>
    <row r="291" spans="3:20" s="145" customFormat="1" ht="47.25" customHeight="1" thickTop="1" thickBot="1" x14ac:dyDescent="0.25">
      <c r="C291" s="258"/>
      <c r="D291" s="287"/>
      <c r="E291" s="300" t="s">
        <v>81</v>
      </c>
      <c r="F291" s="301">
        <v>557</v>
      </c>
      <c r="G291" s="295">
        <v>0</v>
      </c>
      <c r="H291" s="302" t="s">
        <v>105</v>
      </c>
      <c r="I291" s="297"/>
      <c r="J291" s="297"/>
      <c r="K291" s="297"/>
      <c r="L291" s="298"/>
      <c r="M291" s="266"/>
      <c r="O291" s="299"/>
      <c r="Q291" s="292"/>
    </row>
    <row r="292" spans="3:20" s="145" customFormat="1" ht="47.25" customHeight="1" thickTop="1" thickBot="1" x14ac:dyDescent="0.25">
      <c r="C292" s="258"/>
      <c r="D292" s="287"/>
      <c r="E292" s="293" t="s">
        <v>82</v>
      </c>
      <c r="F292" s="294">
        <v>972</v>
      </c>
      <c r="G292" s="295">
        <v>5.8823529411764719E-2</v>
      </c>
      <c r="H292" s="296" t="s">
        <v>106</v>
      </c>
      <c r="I292" s="297"/>
      <c r="J292" s="297"/>
      <c r="K292" s="297"/>
      <c r="L292" s="298"/>
      <c r="M292" s="266"/>
      <c r="O292" s="299"/>
      <c r="Q292" s="292"/>
    </row>
    <row r="293" spans="3:20" ht="5.25" customHeight="1" thickTop="1" x14ac:dyDescent="0.2">
      <c r="C293" s="96" t="s">
        <v>83</v>
      </c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303"/>
      <c r="P293" s="145"/>
      <c r="Q293" s="145"/>
      <c r="R293" s="145"/>
    </row>
    <row r="294" spans="3:20" s="1" customFormat="1" ht="18.75" customHeight="1" thickBot="1" x14ac:dyDescent="0.25"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303"/>
      <c r="P294" s="304"/>
      <c r="Q294" s="304"/>
      <c r="R294" s="304"/>
    </row>
    <row r="295" spans="3:20" ht="50.25" customHeight="1" thickBot="1" x14ac:dyDescent="0.25">
      <c r="C295" s="2"/>
      <c r="D295" s="2"/>
      <c r="E295" s="3" t="str">
        <f>E242</f>
        <v>INDICADORES TURÍSTICOS DE TENERIFE definitivo</v>
      </c>
      <c r="F295" s="3"/>
      <c r="G295" s="3"/>
      <c r="H295" s="3"/>
      <c r="I295" s="3"/>
      <c r="J295" s="3"/>
      <c r="K295" s="3"/>
      <c r="L295" s="2"/>
      <c r="M295" s="2"/>
      <c r="O295" s="145"/>
      <c r="P295" s="145"/>
      <c r="Q295" s="145"/>
      <c r="R295" s="145"/>
      <c r="S295" s="145"/>
      <c r="T295" s="145"/>
    </row>
    <row r="296" spans="3:20" ht="5.25" customHeight="1" thickBot="1" x14ac:dyDescent="0.25">
      <c r="C296" s="4"/>
      <c r="O296" s="145"/>
      <c r="P296" s="145"/>
      <c r="Q296" s="145"/>
      <c r="R296" s="145"/>
      <c r="S296" s="145"/>
      <c r="T296" s="145"/>
    </row>
    <row r="297" spans="3:20" ht="18" customHeight="1" thickBot="1" x14ac:dyDescent="0.25">
      <c r="C297" s="222" t="s">
        <v>84</v>
      </c>
      <c r="D297" s="223"/>
      <c r="E297" s="223"/>
      <c r="F297" s="223"/>
      <c r="G297" s="223"/>
      <c r="H297" s="223"/>
      <c r="I297" s="223"/>
      <c r="J297" s="223"/>
      <c r="K297" s="223"/>
      <c r="L297" s="223"/>
      <c r="M297" s="224"/>
      <c r="O297" s="145"/>
      <c r="P297" s="145"/>
      <c r="Q297" s="145"/>
      <c r="R297" s="145"/>
      <c r="S297" s="145"/>
      <c r="T297" s="145"/>
    </row>
    <row r="298" spans="3:20" ht="5.25" customHeight="1" x14ac:dyDescent="0.2"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151"/>
      <c r="N298" s="257"/>
      <c r="O298" s="145"/>
      <c r="P298" s="145"/>
      <c r="Q298" s="145"/>
      <c r="R298" s="145"/>
      <c r="S298" s="145"/>
      <c r="T298" s="145"/>
    </row>
    <row r="299" spans="3:20" ht="27.75" customHeight="1" x14ac:dyDescent="0.2">
      <c r="C299" s="305" t="s">
        <v>7</v>
      </c>
      <c r="D299" s="306"/>
      <c r="E299" s="307" t="s">
        <v>8</v>
      </c>
      <c r="F299" s="35">
        <v>171029</v>
      </c>
      <c r="G299" s="308">
        <v>6.3447847038706762E-2</v>
      </c>
      <c r="H299" s="309" t="s">
        <v>108</v>
      </c>
      <c r="I299" s="309"/>
      <c r="J299" s="309"/>
      <c r="K299" s="309"/>
      <c r="L299" s="310"/>
      <c r="M299" s="266" t="s">
        <v>9</v>
      </c>
      <c r="O299" s="145"/>
      <c r="P299" s="145"/>
      <c r="Q299" s="145"/>
      <c r="R299" s="145"/>
      <c r="S299" s="145"/>
      <c r="T299" s="145"/>
    </row>
    <row r="300" spans="3:20" ht="34.5" customHeight="1" x14ac:dyDescent="0.2">
      <c r="C300" s="311"/>
      <c r="D300" s="312"/>
      <c r="E300" s="313" t="s">
        <v>85</v>
      </c>
      <c r="F300" s="46">
        <v>95723</v>
      </c>
      <c r="G300" s="140">
        <v>2.4564370424283943E-2</v>
      </c>
      <c r="H300" s="314" t="str">
        <f>CONCATENATE("La oferta hotelera estimada por el STDE del Cabildo de Tenerife se sitúa en ",FIXED(F300,0)," plazas, un ",FIXED(F300/F299*100,1),"% del total de plazas. ",IF(G300&gt;0,"Aumentan un ","Disminuyen un"),FIXED(G300*100,1),"% respecto al mismo periodo del año anterior.")</f>
        <v>La oferta hotelera estimada por el STDE del Cabildo de Tenerife se sitúa en 95.723 plazas, un 56,0% del total de plazas. Aumentan un 2,5% respecto al mismo periodo del año anterior.</v>
      </c>
      <c r="I300" s="314"/>
      <c r="J300" s="314"/>
      <c r="K300" s="314"/>
      <c r="L300" s="315"/>
      <c r="M300" s="266"/>
      <c r="O300" s="145"/>
      <c r="P300" s="145"/>
      <c r="Q300" s="145"/>
      <c r="R300" s="145"/>
      <c r="S300" s="145"/>
      <c r="T300" s="145"/>
    </row>
    <row r="301" spans="3:20" ht="41.25" customHeight="1" thickBot="1" x14ac:dyDescent="0.25">
      <c r="C301" s="316"/>
      <c r="D301" s="317"/>
      <c r="E301" s="318" t="s">
        <v>86</v>
      </c>
      <c r="F301" s="319">
        <v>75306</v>
      </c>
      <c r="G301" s="320">
        <v>0.11734943691855726</v>
      </c>
      <c r="H301" s="321" t="s">
        <v>109</v>
      </c>
      <c r="I301" s="321"/>
      <c r="J301" s="321"/>
      <c r="K301" s="321"/>
      <c r="L301" s="322"/>
      <c r="M301" s="266"/>
      <c r="Q301" s="323"/>
    </row>
    <row r="302" spans="3:20" ht="18.75" hidden="1" customHeight="1" x14ac:dyDescent="0.2">
      <c r="C302" s="324" t="s">
        <v>12</v>
      </c>
      <c r="D302" s="325"/>
      <c r="E302" s="326" t="s">
        <v>8</v>
      </c>
      <c r="F302" s="327">
        <v>3880</v>
      </c>
      <c r="G302" s="328">
        <v>0.31838260278627262</v>
      </c>
      <c r="H302" s="329" t="str">
        <f>CONCATENATE("Las plazas estimadas por el STDE  del Cabildo de Tenerife en la zona de Santa Cruz, ascienden a ",FIXED(F303,0),", todas ellas pertenecientes a la tipología hotelera. Se registra un ",IF(G303&gt;0,"incremento ","descenso "),"con respecto al año anterior del ",FIXED(G303*100,1),"%.")</f>
        <v>Las plazas estimadas por el STDE  del Cabildo de Tenerife en la zona de Santa Cruz, ascienden a 2.551, todas ellas pertenecientes a la tipología hotelera. Se registra un incremento con respecto al año anterior del 0,6%.</v>
      </c>
      <c r="I302" s="329"/>
      <c r="J302" s="329"/>
      <c r="K302" s="329"/>
      <c r="L302" s="330"/>
      <c r="M302" s="266"/>
      <c r="Q302" s="323"/>
    </row>
    <row r="303" spans="3:20" ht="48.75" customHeight="1" thickTop="1" thickBot="1" x14ac:dyDescent="0.25">
      <c r="C303" s="331"/>
      <c r="D303" s="332"/>
      <c r="E303" s="333" t="s">
        <v>85</v>
      </c>
      <c r="F303" s="334">
        <v>2551</v>
      </c>
      <c r="G303" s="320">
        <v>5.518328734726019E-3</v>
      </c>
      <c r="H303" s="335"/>
      <c r="I303" s="335"/>
      <c r="J303" s="335"/>
      <c r="K303" s="335"/>
      <c r="L303" s="336"/>
      <c r="M303" s="266"/>
    </row>
    <row r="304" spans="3:20" ht="42" customHeight="1" thickTop="1" x14ac:dyDescent="0.2">
      <c r="C304" s="337" t="s">
        <v>13</v>
      </c>
      <c r="D304" s="338"/>
      <c r="E304" s="339" t="s">
        <v>8</v>
      </c>
      <c r="F304" s="340">
        <v>2058</v>
      </c>
      <c r="G304" s="328">
        <v>0.45133991537376583</v>
      </c>
      <c r="H304" s="341" t="s">
        <v>110</v>
      </c>
      <c r="I304" s="341"/>
      <c r="J304" s="341"/>
      <c r="K304" s="341"/>
      <c r="L304" s="342"/>
      <c r="M304" s="266"/>
    </row>
    <row r="305" spans="3:18" ht="34.5" customHeight="1" x14ac:dyDescent="0.2">
      <c r="C305" s="343"/>
      <c r="D305" s="344"/>
      <c r="E305" s="345" t="s">
        <v>85</v>
      </c>
      <c r="F305" s="79">
        <v>836</v>
      </c>
      <c r="G305" s="140">
        <v>1.4563106796116498E-2</v>
      </c>
      <c r="H305" s="346" t="str">
        <f>CONCATENATE("Las plazas hoteleras estimadas se sitúan en ",FIXED(F305,0)," plazas, registrando un ",IF(G305&gt;0,"incremento del ","descenso del "),FIXED(G305*100,1),"%.")</f>
        <v>Las plazas hoteleras estimadas se sitúan en 836 plazas, registrando un incremento del 1,5%.</v>
      </c>
      <c r="I305" s="346"/>
      <c r="J305" s="346"/>
      <c r="K305" s="346"/>
      <c r="L305" s="347"/>
      <c r="M305" s="266"/>
    </row>
    <row r="306" spans="3:18" ht="34.5" customHeight="1" thickBot="1" x14ac:dyDescent="0.25">
      <c r="C306" s="348"/>
      <c r="D306" s="349"/>
      <c r="E306" s="350" t="s">
        <v>86</v>
      </c>
      <c r="F306" s="351">
        <v>1222</v>
      </c>
      <c r="G306" s="320">
        <v>1.0572390572390571</v>
      </c>
      <c r="H306" s="352" t="s">
        <v>111</v>
      </c>
      <c r="I306" s="352"/>
      <c r="J306" s="352"/>
      <c r="K306" s="352"/>
      <c r="L306" s="353"/>
      <c r="M306" s="266"/>
    </row>
    <row r="307" spans="3:18" ht="39.75" customHeight="1" thickTop="1" x14ac:dyDescent="0.2">
      <c r="C307" s="354" t="s">
        <v>14</v>
      </c>
      <c r="D307" s="355"/>
      <c r="E307" s="326" t="s">
        <v>8</v>
      </c>
      <c r="F307" s="327">
        <v>30915</v>
      </c>
      <c r="G307" s="328">
        <v>8.1322140608604432E-2</v>
      </c>
      <c r="H307" s="329" t="s">
        <v>112</v>
      </c>
      <c r="I307" s="329"/>
      <c r="J307" s="329"/>
      <c r="K307" s="329"/>
      <c r="L307" s="330"/>
      <c r="M307" s="266"/>
    </row>
    <row r="308" spans="3:18" ht="34.5" customHeight="1" x14ac:dyDescent="0.2">
      <c r="C308" s="356"/>
      <c r="D308" s="357"/>
      <c r="E308" s="358" t="s">
        <v>85</v>
      </c>
      <c r="F308" s="66">
        <v>20288</v>
      </c>
      <c r="G308" s="140">
        <v>3.4785269815362563E-2</v>
      </c>
      <c r="H308" s="359" t="str">
        <f>CONCATENATE("La oferta hotelera asciende a ",FIXED(F308,0),", cifra que se ",IF(G308&gt;0,"incrementa un ","reduce un "),FIXED(G308*100,1),"% respecto al año anterior.")</f>
        <v>La oferta hotelera asciende a 20.288, cifra que se incrementa un 3,5% respecto al año anterior.</v>
      </c>
      <c r="I308" s="359"/>
      <c r="J308" s="359"/>
      <c r="K308" s="359"/>
      <c r="L308" s="360"/>
      <c r="M308" s="266"/>
    </row>
    <row r="309" spans="3:18" ht="34.5" customHeight="1" thickBot="1" x14ac:dyDescent="0.25">
      <c r="C309" s="361"/>
      <c r="D309" s="362"/>
      <c r="E309" s="333" t="s">
        <v>86</v>
      </c>
      <c r="F309" s="334">
        <v>10627</v>
      </c>
      <c r="G309" s="320">
        <v>0.18288067675868214</v>
      </c>
      <c r="H309" s="335" t="str">
        <f>CONCATENATE("Las plazas extrahoteras estimadas ascienden a ",FIXED(F309,0),", las cuales ",IF(G309&gt;0,"se incrementan un ","descienden un "),FIXED(G309*100,1),"%.")</f>
        <v>Las plazas extrahoteras estimadas ascienden a 10.627, las cuales se incrementan un 18,3%.</v>
      </c>
      <c r="I309" s="335"/>
      <c r="J309" s="335"/>
      <c r="K309" s="335"/>
      <c r="L309" s="336"/>
      <c r="M309" s="266"/>
    </row>
    <row r="310" spans="3:18" ht="34.5" customHeight="1" thickTop="1" x14ac:dyDescent="0.2">
      <c r="C310" s="363" t="s">
        <v>15</v>
      </c>
      <c r="D310" s="364"/>
      <c r="E310" s="365" t="s">
        <v>8</v>
      </c>
      <c r="F310" s="366">
        <v>134176</v>
      </c>
      <c r="G310" s="328">
        <v>4.928288784272028E-2</v>
      </c>
      <c r="H310" s="341" t="str">
        <f>CONCATENATE("Las plazas estimadas para la zona Sur por el STDE del Cabildo ascienden a ",FIXED(F310,0)," experimentando un ",IF(G310&gt;0,"incremento interanual del ","descenso interanual del "),FIXED(G310*100,1),"%.")</f>
        <v>Las plazas estimadas para la zona Sur por el STDE del Cabildo ascienden a 134.176 experimentando un incremento interanual del 4,9%.</v>
      </c>
      <c r="I310" s="341"/>
      <c r="J310" s="341"/>
      <c r="K310" s="341"/>
      <c r="L310" s="342"/>
      <c r="M310" s="266"/>
    </row>
    <row r="311" spans="3:18" ht="34.5" customHeight="1" x14ac:dyDescent="0.2">
      <c r="C311" s="367"/>
      <c r="D311" s="368"/>
      <c r="E311" s="369" t="s">
        <v>85</v>
      </c>
      <c r="F311" s="91">
        <v>72048</v>
      </c>
      <c r="G311" s="140">
        <v>2.2523097883935694E-2</v>
      </c>
      <c r="H311" s="346" t="str">
        <f>CONCATENATE("Las plazas hoteleras, con un oferta de ",FIXED(F311,0)," plazas, se ",IF(G311&gt;0,"incrementan un ","reducen un "),FIXED(G311*100,1),"% respecto al mismo período del año anterior.")</f>
        <v>Las plazas hoteleras, con un oferta de 72.048 plazas, se incrementan un 2,3% respecto al mismo período del año anterior.</v>
      </c>
      <c r="I311" s="346"/>
      <c r="J311" s="346"/>
      <c r="K311" s="346"/>
      <c r="L311" s="347"/>
      <c r="M311" s="266"/>
    </row>
    <row r="312" spans="3:18" ht="34.5" customHeight="1" x14ac:dyDescent="0.2">
      <c r="C312" s="367"/>
      <c r="D312" s="368"/>
      <c r="E312" s="370" t="s">
        <v>86</v>
      </c>
      <c r="F312" s="371">
        <v>62128</v>
      </c>
      <c r="G312" s="372">
        <v>8.2124257572326886E-2</v>
      </c>
      <c r="H312" s="373" t="s">
        <v>113</v>
      </c>
      <c r="I312" s="373"/>
      <c r="J312" s="373"/>
      <c r="K312" s="373"/>
      <c r="L312" s="374"/>
      <c r="M312" s="266"/>
    </row>
    <row r="313" spans="3:18" ht="5.25" customHeight="1" thickBot="1" x14ac:dyDescent="0.25">
      <c r="C313" s="285"/>
      <c r="D313" s="285"/>
      <c r="E313" s="285"/>
      <c r="F313" s="285"/>
      <c r="G313" s="285"/>
      <c r="H313" s="285"/>
      <c r="I313" s="285"/>
      <c r="J313" s="285"/>
      <c r="K313" s="285"/>
      <c r="L313" s="285"/>
      <c r="M313" s="286"/>
      <c r="N313" s="257"/>
      <c r="O313" s="145"/>
      <c r="R313" s="145"/>
    </row>
    <row r="314" spans="3:18" ht="19.5" customHeight="1" thickBot="1" x14ac:dyDescent="0.25">
      <c r="C314" s="27" t="s">
        <v>87</v>
      </c>
      <c r="D314" s="28"/>
      <c r="E314" s="28"/>
      <c r="F314" s="28"/>
      <c r="G314" s="28"/>
      <c r="H314" s="28"/>
      <c r="I314" s="28"/>
      <c r="J314" s="28"/>
      <c r="K314" s="28"/>
      <c r="L314" s="28"/>
      <c r="M314" s="29"/>
      <c r="N314" s="257"/>
      <c r="O314" s="145"/>
      <c r="P314" s="145"/>
      <c r="Q314" s="145"/>
    </row>
    <row r="315" spans="3:18" ht="5.25" customHeight="1" x14ac:dyDescent="0.2"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151"/>
      <c r="O315" s="145"/>
      <c r="P315" s="145"/>
      <c r="Q315" s="145"/>
    </row>
    <row r="316" spans="3:18" ht="44.25" customHeight="1" thickBot="1" x14ac:dyDescent="0.25">
      <c r="C316" s="375" t="s">
        <v>88</v>
      </c>
      <c r="D316" s="376"/>
      <c r="E316" s="377" t="s">
        <v>89</v>
      </c>
      <c r="F316" s="378">
        <v>409526</v>
      </c>
      <c r="G316" s="262">
        <v>0.3188011425663948</v>
      </c>
      <c r="H316" s="379" t="s">
        <v>114</v>
      </c>
      <c r="I316" s="379"/>
      <c r="J316" s="379"/>
      <c r="K316" s="379"/>
      <c r="L316" s="380"/>
      <c r="M316" s="266" t="s">
        <v>116</v>
      </c>
    </row>
    <row r="317" spans="3:18" ht="40.5" customHeight="1" thickTop="1" thickBot="1" x14ac:dyDescent="0.25">
      <c r="C317" s="375"/>
      <c r="D317" s="376"/>
      <c r="E317" s="381" t="s">
        <v>90</v>
      </c>
      <c r="F317" s="382">
        <v>182</v>
      </c>
      <c r="G317" s="383">
        <v>0.18181818181818188</v>
      </c>
      <c r="H317" s="384" t="s">
        <v>115</v>
      </c>
      <c r="I317" s="384"/>
      <c r="J317" s="384"/>
      <c r="K317" s="384"/>
      <c r="L317" s="385"/>
      <c r="M317" s="266"/>
    </row>
    <row r="318" spans="3:18" ht="13.5" thickTop="1" x14ac:dyDescent="0.2">
      <c r="C318" s="386"/>
      <c r="D318" s="387"/>
      <c r="E318" s="387"/>
      <c r="F318" s="387"/>
      <c r="G318" s="387"/>
      <c r="H318" s="387"/>
      <c r="I318" s="387"/>
      <c r="J318" s="387"/>
      <c r="K318" s="387"/>
      <c r="L318" s="387"/>
      <c r="M318" s="387"/>
    </row>
    <row r="319" spans="3:18" ht="29.25" customHeight="1" x14ac:dyDescent="0.2"/>
    <row r="320" spans="3:18" ht="18" customHeight="1" x14ac:dyDescent="0.2">
      <c r="C320" s="388" t="s">
        <v>91</v>
      </c>
      <c r="D320" s="388"/>
      <c r="E320" s="388"/>
      <c r="F320" s="388"/>
      <c r="G320" s="388"/>
      <c r="H320" s="388"/>
      <c r="I320" s="388"/>
      <c r="J320" s="388"/>
      <c r="K320" s="388"/>
      <c r="L320" s="388"/>
      <c r="M320" s="388"/>
    </row>
    <row r="322" spans="5:6" ht="6.75" customHeight="1" x14ac:dyDescent="0.2"/>
    <row r="324" spans="5:6" ht="8.25" customHeight="1" x14ac:dyDescent="0.2"/>
    <row r="327" spans="5:6" x14ac:dyDescent="0.2">
      <c r="E327" s="389"/>
      <c r="F327" s="389"/>
    </row>
    <row r="328" spans="5:6" x14ac:dyDescent="0.2">
      <c r="E328" s="389"/>
      <c r="F328" s="389"/>
    </row>
    <row r="331" spans="5:6" ht="21.75" customHeight="1" x14ac:dyDescent="0.2"/>
    <row r="333" spans="5:6" ht="6" customHeight="1" x14ac:dyDescent="0.2"/>
  </sheetData>
  <mergeCells count="163">
    <mergeCell ref="C320:M320"/>
    <mergeCell ref="C310:D312"/>
    <mergeCell ref="H310:L310"/>
    <mergeCell ref="H311:L311"/>
    <mergeCell ref="H312:L312"/>
    <mergeCell ref="C314:M314"/>
    <mergeCell ref="C316:D317"/>
    <mergeCell ref="H316:L316"/>
    <mergeCell ref="M316:M317"/>
    <mergeCell ref="H317:L317"/>
    <mergeCell ref="H304:L304"/>
    <mergeCell ref="H305:L305"/>
    <mergeCell ref="H306:L306"/>
    <mergeCell ref="C307:D309"/>
    <mergeCell ref="H307:L307"/>
    <mergeCell ref="H308:L308"/>
    <mergeCell ref="H309:L309"/>
    <mergeCell ref="E295:K295"/>
    <mergeCell ref="C297:M297"/>
    <mergeCell ref="C299:D301"/>
    <mergeCell ref="H299:L299"/>
    <mergeCell ref="M299:M312"/>
    <mergeCell ref="H300:L300"/>
    <mergeCell ref="H301:L301"/>
    <mergeCell ref="C302:D303"/>
    <mergeCell ref="H302:L303"/>
    <mergeCell ref="C304:D306"/>
    <mergeCell ref="H283:L283"/>
    <mergeCell ref="C285:M285"/>
    <mergeCell ref="C287:D292"/>
    <mergeCell ref="H287:L287"/>
    <mergeCell ref="M287:M292"/>
    <mergeCell ref="H288:L288"/>
    <mergeCell ref="H289:L289"/>
    <mergeCell ref="H290:L290"/>
    <mergeCell ref="H291:L291"/>
    <mergeCell ref="H292:L292"/>
    <mergeCell ref="C276:M276"/>
    <mergeCell ref="C278:C283"/>
    <mergeCell ref="D278:D280"/>
    <mergeCell ref="H278:L278"/>
    <mergeCell ref="M278:M283"/>
    <mergeCell ref="H279:L279"/>
    <mergeCell ref="H280:L280"/>
    <mergeCell ref="D281:D283"/>
    <mergeCell ref="H281:L281"/>
    <mergeCell ref="H282:L282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</mergeCells>
  <conditionalFormatting sqref="D190:D212 F190:F212 H190:H212 J190:J212 L190:L212 N190:N212 D218:D240 F218:F240 H218:H240 J218:J240 L218:L240 N218:N240 P190:P212 P218:P240 G9:G10 G15:G23">
    <cfRule type="cellIs" dxfId="281" priority="280" stopIfTrue="1" operator="greaterThan">
      <formula>0</formula>
    </cfRule>
    <cfRule type="cellIs" dxfId="280" priority="281" stopIfTrue="1" operator="lessThan">
      <formula>0</formula>
    </cfRule>
    <cfRule type="cellIs" dxfId="279" priority="282" stopIfTrue="1" operator="equal">
      <formula>0</formula>
    </cfRule>
  </conditionalFormatting>
  <conditionalFormatting sqref="G9:G10 G15:G23">
    <cfRule type="cellIs" dxfId="278" priority="277" operator="equal">
      <formula>0</formula>
    </cfRule>
    <cfRule type="cellIs" dxfId="277" priority="278" operator="lessThan">
      <formula>0</formula>
    </cfRule>
    <cfRule type="cellIs" dxfId="276" priority="279" operator="greaterThan">
      <formula>0</formula>
    </cfRule>
  </conditionalFormatting>
  <conditionalFormatting sqref="G10 G15:G23">
    <cfRule type="cellIs" dxfId="275" priority="274" stopIfTrue="1" operator="greaterThan">
      <formula>0</formula>
    </cfRule>
    <cfRule type="cellIs" dxfId="274" priority="275" stopIfTrue="1" operator="lessThan">
      <formula>0</formula>
    </cfRule>
    <cfRule type="cellIs" dxfId="273" priority="276" stopIfTrue="1" operator="equal">
      <formula>0</formula>
    </cfRule>
  </conditionalFormatting>
  <conditionalFormatting sqref="G10 G15:G23">
    <cfRule type="cellIs" dxfId="272" priority="271" operator="equal">
      <formula>0</formula>
    </cfRule>
    <cfRule type="cellIs" dxfId="271" priority="272" operator="lessThan">
      <formula>0</formula>
    </cfRule>
    <cfRule type="cellIs" dxfId="270" priority="273" operator="greaterThan">
      <formula>0</formula>
    </cfRule>
  </conditionalFormatting>
  <conditionalFormatting sqref="G316:G317 G299:G312 G287:G289 L110:L114 G110:G114 L102:L106 G102:G106 L94:L98 G94:G98 L87:L90 G86:G90 L9:L11 L15:L23">
    <cfRule type="cellIs" dxfId="269" priority="265" operator="equal">
      <formula>0</formula>
    </cfRule>
    <cfRule type="cellIs" dxfId="268" priority="266" operator="lessThan">
      <formula>0</formula>
    </cfRule>
    <cfRule type="cellIs" dxfId="267" priority="267" operator="greaterThan">
      <formula>0</formula>
    </cfRule>
  </conditionalFormatting>
  <conditionalFormatting sqref="G316:G317 G299:G312 G287:G289 L110:L114 G110:G114 L102:L106 G102:G106 L94:L98 G94:G98 L87:L90 G86:G90 L9:L11 L15:L23">
    <cfRule type="cellIs" dxfId="266" priority="268" stopIfTrue="1" operator="greaterThan">
      <formula>0</formula>
    </cfRule>
    <cfRule type="cellIs" dxfId="265" priority="269" stopIfTrue="1" operator="lessThan">
      <formula>0</formula>
    </cfRule>
    <cfRule type="cellIs" dxfId="264" priority="270" stopIfTrue="1" operator="equal">
      <formula>0</formula>
    </cfRule>
  </conditionalFormatting>
  <conditionalFormatting sqref="G27:G28 G33:G41">
    <cfRule type="cellIs" dxfId="263" priority="214" stopIfTrue="1" operator="greaterThan">
      <formula>0</formula>
    </cfRule>
    <cfRule type="cellIs" dxfId="262" priority="215" stopIfTrue="1" operator="lessThan">
      <formula>0</formula>
    </cfRule>
    <cfRule type="cellIs" dxfId="261" priority="216" stopIfTrue="1" operator="equal">
      <formula>0</formula>
    </cfRule>
  </conditionalFormatting>
  <conditionalFormatting sqref="G27:G28 G33:G41">
    <cfRule type="cellIs" dxfId="260" priority="211" operator="equal">
      <formula>0</formula>
    </cfRule>
    <cfRule type="cellIs" dxfId="259" priority="212" operator="lessThan">
      <formula>0</formula>
    </cfRule>
    <cfRule type="cellIs" dxfId="258" priority="213" operator="greaterThan">
      <formula>0</formula>
    </cfRule>
  </conditionalFormatting>
  <conditionalFormatting sqref="G45:G47 G51:G59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45:G47 G51:G59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46:G47 G51:G59">
    <cfRule type="cellIs" dxfId="251" priority="250" stopIfTrue="1" operator="greaterThan">
      <formula>0</formula>
    </cfRule>
    <cfRule type="cellIs" dxfId="250" priority="251" stopIfTrue="1" operator="lessThan">
      <formula>0</formula>
    </cfRule>
    <cfRule type="cellIs" dxfId="249" priority="252" stopIfTrue="1" operator="equal">
      <formula>0</formula>
    </cfRule>
  </conditionalFormatting>
  <conditionalFormatting sqref="G46:G47 G51:G59">
    <cfRule type="cellIs" dxfId="248" priority="247" operator="equal">
      <formula>0</formula>
    </cfRule>
    <cfRule type="cellIs" dxfId="247" priority="248" operator="lessThan">
      <formula>0</formula>
    </cfRule>
    <cfRule type="cellIs" dxfId="246" priority="249" operator="greaterThan">
      <formula>0</formula>
    </cfRule>
  </conditionalFormatting>
  <conditionalFormatting sqref="L27:L29 L33:L41">
    <cfRule type="cellIs" dxfId="245" priority="259" operator="equal">
      <formula>0</formula>
    </cfRule>
    <cfRule type="cellIs" dxfId="244" priority="260" operator="lessThan">
      <formula>0</formula>
    </cfRule>
    <cfRule type="cellIs" dxfId="243" priority="261" operator="greaterThan">
      <formula>0</formula>
    </cfRule>
  </conditionalFormatting>
  <conditionalFormatting sqref="L27:L29 L33:L41">
    <cfRule type="cellIs" dxfId="242" priority="262" stopIfTrue="1" operator="greaterThan">
      <formula>0</formula>
    </cfRule>
    <cfRule type="cellIs" dxfId="241" priority="263" stopIfTrue="1" operator="lessThan">
      <formula>0</formula>
    </cfRule>
    <cfRule type="cellIs" dxfId="240" priority="264" stopIfTrue="1" operator="equal">
      <formula>0</formula>
    </cfRule>
  </conditionalFormatting>
  <conditionalFormatting sqref="L45:L47 L51:L59">
    <cfRule type="cellIs" dxfId="239" priority="241" operator="equal">
      <formula>0</formula>
    </cfRule>
    <cfRule type="cellIs" dxfId="238" priority="242" operator="lessThan">
      <formula>0</formula>
    </cfRule>
    <cfRule type="cellIs" dxfId="237" priority="243" operator="greaterThan">
      <formula>0</formula>
    </cfRule>
  </conditionalFormatting>
  <conditionalFormatting sqref="L45:L47 L51:L59">
    <cfRule type="cellIs" dxfId="236" priority="244" stopIfTrue="1" operator="greaterThan">
      <formula>0</formula>
    </cfRule>
    <cfRule type="cellIs" dxfId="235" priority="245" stopIfTrue="1" operator="lessThan">
      <formula>0</formula>
    </cfRule>
    <cfRule type="cellIs" dxfId="234" priority="246" stopIfTrue="1" operator="equal">
      <formula>0</formula>
    </cfRule>
  </conditionalFormatting>
  <conditionalFormatting sqref="G68:G70 G74:G82">
    <cfRule type="cellIs" dxfId="233" priority="238" stopIfTrue="1" operator="greaterThan">
      <formula>0</formula>
    </cfRule>
    <cfRule type="cellIs" dxfId="232" priority="239" stopIfTrue="1" operator="lessThan">
      <formula>0</formula>
    </cfRule>
    <cfRule type="cellIs" dxfId="231" priority="240" stopIfTrue="1" operator="equal">
      <formula>0</formula>
    </cfRule>
  </conditionalFormatting>
  <conditionalFormatting sqref="G68:G70 G74:G82">
    <cfRule type="cellIs" dxfId="230" priority="235" operator="equal">
      <formula>0</formula>
    </cfRule>
    <cfRule type="cellIs" dxfId="229" priority="236" operator="lessThan">
      <formula>0</formula>
    </cfRule>
    <cfRule type="cellIs" dxfId="228" priority="237" operator="greaterThan">
      <formula>0</formula>
    </cfRule>
  </conditionalFormatting>
  <conditionalFormatting sqref="G69:G70 G74:G82">
    <cfRule type="cellIs" dxfId="227" priority="232" stopIfTrue="1" operator="greaterThan">
      <formula>0</formula>
    </cfRule>
    <cfRule type="cellIs" dxfId="226" priority="233" stopIfTrue="1" operator="lessThan">
      <formula>0</formula>
    </cfRule>
    <cfRule type="cellIs" dxfId="225" priority="234" stopIfTrue="1" operator="equal">
      <formula>0</formula>
    </cfRule>
  </conditionalFormatting>
  <conditionalFormatting sqref="G69:G70 G74:G82">
    <cfRule type="cellIs" dxfId="224" priority="229" operator="equal">
      <formula>0</formula>
    </cfRule>
    <cfRule type="cellIs" dxfId="223" priority="230" operator="lessThan">
      <formula>0</formula>
    </cfRule>
    <cfRule type="cellIs" dxfId="222" priority="231" operator="greaterThan">
      <formula>0</formula>
    </cfRule>
  </conditionalFormatting>
  <conditionalFormatting sqref="L68:L70 L74:L82">
    <cfRule type="cellIs" dxfId="221" priority="223" operator="equal">
      <formula>0</formula>
    </cfRule>
    <cfRule type="cellIs" dxfId="220" priority="224" operator="lessThan">
      <formula>0</formula>
    </cfRule>
    <cfRule type="cellIs" dxfId="219" priority="225" operator="greaterThan">
      <formula>0</formula>
    </cfRule>
  </conditionalFormatting>
  <conditionalFormatting sqref="L68:L70 L74:L82">
    <cfRule type="cellIs" dxfId="218" priority="226" stopIfTrue="1" operator="greaterThan">
      <formula>0</formula>
    </cfRule>
    <cfRule type="cellIs" dxfId="217" priority="227" stopIfTrue="1" operator="lessThan">
      <formula>0</formula>
    </cfRule>
    <cfRule type="cellIs" dxfId="216" priority="228" stopIfTrue="1" operator="equal">
      <formula>0</formula>
    </cfRule>
  </conditionalFormatting>
  <conditionalFormatting sqref="G11">
    <cfRule type="cellIs" dxfId="215" priority="220" stopIfTrue="1" operator="greaterThan">
      <formula>0</formula>
    </cfRule>
    <cfRule type="cellIs" dxfId="214" priority="221" stopIfTrue="1" operator="lessThan">
      <formula>0</formula>
    </cfRule>
    <cfRule type="cellIs" dxfId="213" priority="222" stopIfTrue="1" operator="equal">
      <formula>0</formula>
    </cfRule>
  </conditionalFormatting>
  <conditionalFormatting sqref="G11">
    <cfRule type="cellIs" dxfId="212" priority="217" operator="equal">
      <formula>0</formula>
    </cfRule>
    <cfRule type="cellIs" dxfId="211" priority="218" operator="lessThan">
      <formula>0</formula>
    </cfRule>
    <cfRule type="cellIs" dxfId="210" priority="219" operator="greaterThan">
      <formula>0</formula>
    </cfRule>
  </conditionalFormatting>
  <conditionalFormatting sqref="G28 G33:G41">
    <cfRule type="cellIs" dxfId="209" priority="208" stopIfTrue="1" operator="greaterThan">
      <formula>0</formula>
    </cfRule>
    <cfRule type="cellIs" dxfId="208" priority="209" stopIfTrue="1" operator="lessThan">
      <formula>0</formula>
    </cfRule>
    <cfRule type="cellIs" dxfId="207" priority="210" stopIfTrue="1" operator="equal">
      <formula>0</formula>
    </cfRule>
  </conditionalFormatting>
  <conditionalFormatting sqref="G28 G33:G41">
    <cfRule type="cellIs" dxfId="206" priority="205" operator="equal">
      <formula>0</formula>
    </cfRule>
    <cfRule type="cellIs" dxfId="205" priority="206" operator="lessThan">
      <formula>0</formula>
    </cfRule>
    <cfRule type="cellIs" dxfId="204" priority="207" operator="greaterThan">
      <formula>0</formula>
    </cfRule>
  </conditionalFormatting>
  <conditionalFormatting sqref="G29">
    <cfRule type="cellIs" dxfId="203" priority="202" stopIfTrue="1" operator="greaterThan">
      <formula>0</formula>
    </cfRule>
    <cfRule type="cellIs" dxfId="202" priority="203" stopIfTrue="1" operator="lessThan">
      <formula>0</formula>
    </cfRule>
    <cfRule type="cellIs" dxfId="201" priority="204" stopIfTrue="1" operator="equal">
      <formula>0</formula>
    </cfRule>
  </conditionalFormatting>
  <conditionalFormatting sqref="G29">
    <cfRule type="cellIs" dxfId="200" priority="199" operator="equal">
      <formula>0</formula>
    </cfRule>
    <cfRule type="cellIs" dxfId="199" priority="200" operator="lessThan">
      <formula>0</formula>
    </cfRule>
    <cfRule type="cellIs" dxfId="198" priority="201" operator="greaterThan">
      <formula>0</formula>
    </cfRule>
  </conditionalFormatting>
  <conditionalFormatting sqref="E124:E149">
    <cfRule type="cellIs" dxfId="197" priority="193" operator="equal">
      <formula>0</formula>
    </cfRule>
    <cfRule type="cellIs" dxfId="196" priority="194" operator="lessThan">
      <formula>0</formula>
    </cfRule>
    <cfRule type="cellIs" dxfId="195" priority="195" operator="greaterThan">
      <formula>0</formula>
    </cfRule>
  </conditionalFormatting>
  <conditionalFormatting sqref="E124:E149">
    <cfRule type="cellIs" dxfId="194" priority="196" stopIfTrue="1" operator="greaterThan">
      <formula>0</formula>
    </cfRule>
    <cfRule type="cellIs" dxfId="193" priority="197" stopIfTrue="1" operator="lessThan">
      <formula>0</formula>
    </cfRule>
    <cfRule type="cellIs" dxfId="192" priority="198" stopIfTrue="1" operator="equal">
      <formula>0</formula>
    </cfRule>
  </conditionalFormatting>
  <conditionalFormatting sqref="G124:G149 I124:I149 K124:K149 M124:M149">
    <cfRule type="cellIs" dxfId="191" priority="187" operator="equal">
      <formula>0</formula>
    </cfRule>
    <cfRule type="cellIs" dxfId="190" priority="188" operator="lessThan">
      <formula>0</formula>
    </cfRule>
    <cfRule type="cellIs" dxfId="189" priority="189" operator="greaterThan">
      <formula>0</formula>
    </cfRule>
  </conditionalFormatting>
  <conditionalFormatting sqref="G124:G149 I124:I149 K124:K149 M124:M149">
    <cfRule type="cellIs" dxfId="188" priority="190" stopIfTrue="1" operator="greaterThan">
      <formula>0</formula>
    </cfRule>
    <cfRule type="cellIs" dxfId="187" priority="191" stopIfTrue="1" operator="lessThan">
      <formula>0</formula>
    </cfRule>
    <cfRule type="cellIs" dxfId="186" priority="192" stopIfTrue="1" operator="equal">
      <formula>0</formula>
    </cfRule>
  </conditionalFormatting>
  <conditionalFormatting sqref="E156:E181">
    <cfRule type="cellIs" dxfId="185" priority="181" operator="equal">
      <formula>0</formula>
    </cfRule>
    <cfRule type="cellIs" dxfId="184" priority="182" operator="lessThan">
      <formula>0</formula>
    </cfRule>
    <cfRule type="cellIs" dxfId="183" priority="183" operator="greaterThan">
      <formula>0</formula>
    </cfRule>
  </conditionalFormatting>
  <conditionalFormatting sqref="E156:E181">
    <cfRule type="cellIs" dxfId="182" priority="184" stopIfTrue="1" operator="greaterThan">
      <formula>0</formula>
    </cfRule>
    <cfRule type="cellIs" dxfId="181" priority="185" stopIfTrue="1" operator="lessThan">
      <formula>0</formula>
    </cfRule>
    <cfRule type="cellIs" dxfId="180" priority="186" stopIfTrue="1" operator="equal">
      <formula>0</formula>
    </cfRule>
  </conditionalFormatting>
  <conditionalFormatting sqref="G156:G181 I156:I181 K156:K181 M156:M181">
    <cfRule type="cellIs" dxfId="179" priority="175" operator="equal">
      <formula>0</formula>
    </cfRule>
    <cfRule type="cellIs" dxfId="178" priority="176" operator="lessThan">
      <formula>0</formula>
    </cfRule>
    <cfRule type="cellIs" dxfId="177" priority="177" operator="greaterThan">
      <formula>0</formula>
    </cfRule>
  </conditionalFormatting>
  <conditionalFormatting sqref="G156:G181 I156:I181 K156:K181 M156:M181">
    <cfRule type="cellIs" dxfId="176" priority="178" stopIfTrue="1" operator="greaterThan">
      <formula>0</formula>
    </cfRule>
    <cfRule type="cellIs" dxfId="175" priority="179" stopIfTrue="1" operator="lessThan">
      <formula>0</formula>
    </cfRule>
    <cfRule type="cellIs" dxfId="174" priority="180" stopIfTrue="1" operator="equal">
      <formula>0</formula>
    </cfRule>
  </conditionalFormatting>
  <conditionalFormatting sqref="L86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L86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G12:G13">
    <cfRule type="cellIs" dxfId="167" priority="166" stopIfTrue="1" operator="greaterThan">
      <formula>0</formula>
    </cfRule>
    <cfRule type="cellIs" dxfId="166" priority="167" stopIfTrue="1" operator="lessThan">
      <formula>0</formula>
    </cfRule>
    <cfRule type="cellIs" dxfId="165" priority="168" stopIfTrue="1" operator="equal">
      <formula>0</formula>
    </cfRule>
  </conditionalFormatting>
  <conditionalFormatting sqref="G12:G13">
    <cfRule type="cellIs" dxfId="164" priority="163" operator="equal">
      <formula>0</formula>
    </cfRule>
    <cfRule type="cellIs" dxfId="163" priority="164" operator="lessThan">
      <formula>0</formula>
    </cfRule>
    <cfRule type="cellIs" dxfId="162" priority="165" operator="greaterThan">
      <formula>0</formula>
    </cfRule>
  </conditionalFormatting>
  <conditionalFormatting sqref="G12:G13">
    <cfRule type="cellIs" dxfId="161" priority="160" stopIfTrue="1" operator="greaterThan">
      <formula>0</formula>
    </cfRule>
    <cfRule type="cellIs" dxfId="160" priority="161" stopIfTrue="1" operator="lessThan">
      <formula>0</formula>
    </cfRule>
    <cfRule type="cellIs" dxfId="159" priority="162" stopIfTrue="1" operator="equal">
      <formula>0</formula>
    </cfRule>
  </conditionalFormatting>
  <conditionalFormatting sqref="G12:G13">
    <cfRule type="cellIs" dxfId="158" priority="157" operator="equal">
      <formula>0</formula>
    </cfRule>
    <cfRule type="cellIs" dxfId="157" priority="158" operator="lessThan">
      <formula>0</formula>
    </cfRule>
    <cfRule type="cellIs" dxfId="156" priority="159" operator="greaterThan">
      <formula>0</formula>
    </cfRule>
  </conditionalFormatting>
  <conditionalFormatting sqref="L12:L13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L12:L13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G30:G31">
    <cfRule type="cellIs" dxfId="149" priority="142" stopIfTrue="1" operator="greaterThan">
      <formula>0</formula>
    </cfRule>
    <cfRule type="cellIs" dxfId="148" priority="143" stopIfTrue="1" operator="lessThan">
      <formula>0</formula>
    </cfRule>
    <cfRule type="cellIs" dxfId="147" priority="144" stopIfTrue="1" operator="equal">
      <formula>0</formula>
    </cfRule>
  </conditionalFormatting>
  <conditionalFormatting sqref="G30:G31">
    <cfRule type="cellIs" dxfId="146" priority="139" operator="equal">
      <formula>0</formula>
    </cfRule>
    <cfRule type="cellIs" dxfId="145" priority="140" operator="lessThan">
      <formula>0</formula>
    </cfRule>
    <cfRule type="cellIs" dxfId="144" priority="141" operator="greaterThan">
      <formula>0</formula>
    </cfRule>
  </conditionalFormatting>
  <conditionalFormatting sqref="L30:L31">
    <cfRule type="cellIs" dxfId="143" priority="145" operator="equal">
      <formula>0</formula>
    </cfRule>
    <cfRule type="cellIs" dxfId="142" priority="146" operator="lessThan">
      <formula>0</formula>
    </cfRule>
    <cfRule type="cellIs" dxfId="141" priority="147" operator="greaterThan">
      <formula>0</formula>
    </cfRule>
  </conditionalFormatting>
  <conditionalFormatting sqref="L30:L31">
    <cfRule type="cellIs" dxfId="140" priority="148" stopIfTrue="1" operator="greaterThan">
      <formula>0</formula>
    </cfRule>
    <cfRule type="cellIs" dxfId="139" priority="149" stopIfTrue="1" operator="lessThan">
      <formula>0</formula>
    </cfRule>
    <cfRule type="cellIs" dxfId="138" priority="150" stopIfTrue="1" operator="equal">
      <formula>0</formula>
    </cfRule>
  </conditionalFormatting>
  <conditionalFormatting sqref="G30:G31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30:G31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G48:G49">
    <cfRule type="cellIs" dxfId="131" priority="130" stopIfTrue="1" operator="greaterThan">
      <formula>0</formula>
    </cfRule>
    <cfRule type="cellIs" dxfId="130" priority="131" stopIfTrue="1" operator="lessThan">
      <formula>0</formula>
    </cfRule>
    <cfRule type="cellIs" dxfId="129" priority="132" stopIfTrue="1" operator="equal">
      <formula>0</formula>
    </cfRule>
  </conditionalFormatting>
  <conditionalFormatting sqref="G48:G49">
    <cfRule type="cellIs" dxfId="128" priority="127" operator="equal">
      <formula>0</formula>
    </cfRule>
    <cfRule type="cellIs" dxfId="127" priority="128" operator="lessThan">
      <formula>0</formula>
    </cfRule>
    <cfRule type="cellIs" dxfId="126" priority="129" operator="greaterThan">
      <formula>0</formula>
    </cfRule>
  </conditionalFormatting>
  <conditionalFormatting sqref="G48:G49">
    <cfRule type="cellIs" dxfId="125" priority="124" stopIfTrue="1" operator="greaterThan">
      <formula>0</formula>
    </cfRule>
    <cfRule type="cellIs" dxfId="124" priority="125" stopIfTrue="1" operator="lessThan">
      <formula>0</formula>
    </cfRule>
    <cfRule type="cellIs" dxfId="123" priority="126" stopIfTrue="1" operator="equal">
      <formula>0</formula>
    </cfRule>
  </conditionalFormatting>
  <conditionalFormatting sqref="G48:G49">
    <cfRule type="cellIs" dxfId="122" priority="121" operator="equal">
      <formula>0</formula>
    </cfRule>
    <cfRule type="cellIs" dxfId="121" priority="122" operator="lessThan">
      <formula>0</formula>
    </cfRule>
    <cfRule type="cellIs" dxfId="120" priority="123" operator="greaterThan">
      <formula>0</formula>
    </cfRule>
  </conditionalFormatting>
  <conditionalFormatting sqref="L48:L49">
    <cfRule type="cellIs" dxfId="119" priority="115" operator="equal">
      <formula>0</formula>
    </cfRule>
    <cfRule type="cellIs" dxfId="118" priority="116" operator="lessThan">
      <formula>0</formula>
    </cfRule>
    <cfRule type="cellIs" dxfId="117" priority="117" operator="greaterThan">
      <formula>0</formula>
    </cfRule>
  </conditionalFormatting>
  <conditionalFormatting sqref="L48:L49">
    <cfRule type="cellIs" dxfId="116" priority="118" stopIfTrue="1" operator="greaterThan">
      <formula>0</formula>
    </cfRule>
    <cfRule type="cellIs" dxfId="115" priority="119" stopIfTrue="1" operator="lessThan">
      <formula>0</formula>
    </cfRule>
    <cfRule type="cellIs" dxfId="114" priority="120" stopIfTrue="1" operator="equal">
      <formula>0</formula>
    </cfRule>
  </conditionalFormatting>
  <conditionalFormatting sqref="G71:G72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71:G72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71:G72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71:G72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L71:L72">
    <cfRule type="cellIs" dxfId="101" priority="97" operator="equal">
      <formula>0</formula>
    </cfRule>
    <cfRule type="cellIs" dxfId="100" priority="98" operator="lessThan">
      <formula>0</formula>
    </cfRule>
    <cfRule type="cellIs" dxfId="99" priority="99" operator="greaterThan">
      <formula>0</formula>
    </cfRule>
  </conditionalFormatting>
  <conditionalFormatting sqref="L71:L72">
    <cfRule type="cellIs" dxfId="98" priority="100" stopIfTrue="1" operator="greaterThan">
      <formula>0</formula>
    </cfRule>
    <cfRule type="cellIs" dxfId="97" priority="101" stopIfTrue="1" operator="lessThan">
      <formula>0</formula>
    </cfRule>
    <cfRule type="cellIs" dxfId="96" priority="102" stopIfTrue="1" operator="equal">
      <formula>0</formula>
    </cfRule>
  </conditionalFormatting>
  <conditionalFormatting sqref="G14">
    <cfRule type="cellIs" dxfId="95" priority="94" stopIfTrue="1" operator="greaterThan">
      <formula>0</formula>
    </cfRule>
    <cfRule type="cellIs" dxfId="94" priority="95" stopIfTrue="1" operator="lessThan">
      <formula>0</formula>
    </cfRule>
    <cfRule type="cellIs" dxfId="93" priority="96" stopIfTrue="1" operator="equal">
      <formula>0</formula>
    </cfRule>
  </conditionalFormatting>
  <conditionalFormatting sqref="G14">
    <cfRule type="cellIs" dxfId="92" priority="91" operator="equal">
      <formula>0</formula>
    </cfRule>
    <cfRule type="cellIs" dxfId="91" priority="92" operator="lessThan">
      <formula>0</formula>
    </cfRule>
    <cfRule type="cellIs" dxfId="90" priority="93" operator="greaterThan">
      <formula>0</formula>
    </cfRule>
  </conditionalFormatting>
  <conditionalFormatting sqref="G14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14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L14">
    <cfRule type="cellIs" dxfId="83" priority="79" operator="equal">
      <formula>0</formula>
    </cfRule>
    <cfRule type="cellIs" dxfId="82" priority="80" operator="lessThan">
      <formula>0</formula>
    </cfRule>
    <cfRule type="cellIs" dxfId="81" priority="81" operator="greaterThan">
      <formula>0</formula>
    </cfRule>
  </conditionalFormatting>
  <conditionalFormatting sqref="L14">
    <cfRule type="cellIs" dxfId="80" priority="82" stopIfTrue="1" operator="greaterThan">
      <formula>0</formula>
    </cfRule>
    <cfRule type="cellIs" dxfId="79" priority="83" stopIfTrue="1" operator="lessThan">
      <formula>0</formula>
    </cfRule>
    <cfRule type="cellIs" dxfId="78" priority="84" stopIfTrue="1" operator="equal">
      <formula>0</formula>
    </cfRule>
  </conditionalFormatting>
  <conditionalFormatting sqref="G32">
    <cfRule type="cellIs" dxfId="77" priority="76" stopIfTrue="1" operator="greaterThan">
      <formula>0</formula>
    </cfRule>
    <cfRule type="cellIs" dxfId="76" priority="77" stopIfTrue="1" operator="lessThan">
      <formula>0</formula>
    </cfRule>
    <cfRule type="cellIs" dxfId="75" priority="78" stopIfTrue="1" operator="equal">
      <formula>0</formula>
    </cfRule>
  </conditionalFormatting>
  <conditionalFormatting sqref="G32">
    <cfRule type="cellIs" dxfId="74" priority="73" operator="equal">
      <formula>0</formula>
    </cfRule>
    <cfRule type="cellIs" dxfId="73" priority="74" operator="lessThan">
      <formula>0</formula>
    </cfRule>
    <cfRule type="cellIs" dxfId="72" priority="75" operator="greaterThan">
      <formula>0</formula>
    </cfRule>
  </conditionalFormatting>
  <conditionalFormatting sqref="G32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32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L32">
    <cfRule type="cellIs" dxfId="65" priority="61" operator="equal">
      <formula>0</formula>
    </cfRule>
    <cfRule type="cellIs" dxfId="64" priority="62" operator="lessThan">
      <formula>0</formula>
    </cfRule>
    <cfRule type="cellIs" dxfId="63" priority="63" operator="greaterThan">
      <formula>0</formula>
    </cfRule>
  </conditionalFormatting>
  <conditionalFormatting sqref="L32">
    <cfRule type="cellIs" dxfId="62" priority="64" stopIfTrue="1" operator="greaterThan">
      <formula>0</formula>
    </cfRule>
    <cfRule type="cellIs" dxfId="61" priority="65" stopIfTrue="1" operator="lessThan">
      <formula>0</formula>
    </cfRule>
    <cfRule type="cellIs" dxfId="60" priority="66" stopIfTrue="1" operator="equal">
      <formula>0</formula>
    </cfRule>
  </conditionalFormatting>
  <conditionalFormatting sqref="G50">
    <cfRule type="cellIs" dxfId="59" priority="58" stopIfTrue="1" operator="greaterThan">
      <formula>0</formula>
    </cfRule>
    <cfRule type="cellIs" dxfId="58" priority="59" stopIfTrue="1" operator="lessThan">
      <formula>0</formula>
    </cfRule>
    <cfRule type="cellIs" dxfId="57" priority="60" stopIfTrue="1" operator="equal">
      <formula>0</formula>
    </cfRule>
  </conditionalFormatting>
  <conditionalFormatting sqref="G50">
    <cfRule type="cellIs" dxfId="56" priority="55" operator="equal">
      <formula>0</formula>
    </cfRule>
    <cfRule type="cellIs" dxfId="55" priority="56" operator="lessThan">
      <formula>0</formula>
    </cfRule>
    <cfRule type="cellIs" dxfId="54" priority="57" operator="greaterThan">
      <formula>0</formula>
    </cfRule>
  </conditionalFormatting>
  <conditionalFormatting sqref="G50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50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L50">
    <cfRule type="cellIs" dxfId="47" priority="43" operator="equal">
      <formula>0</formula>
    </cfRule>
    <cfRule type="cellIs" dxfId="46" priority="44" operator="lessThan">
      <formula>0</formula>
    </cfRule>
    <cfRule type="cellIs" dxfId="45" priority="45" operator="greaterThan">
      <formula>0</formula>
    </cfRule>
  </conditionalFormatting>
  <conditionalFormatting sqref="L50">
    <cfRule type="cellIs" dxfId="44" priority="46" stopIfTrue="1" operator="greaterThan">
      <formula>0</formula>
    </cfRule>
    <cfRule type="cellIs" dxfId="43" priority="47" stopIfTrue="1" operator="lessThan">
      <formula>0</formula>
    </cfRule>
    <cfRule type="cellIs" dxfId="42" priority="48" stopIfTrue="1" operator="equal">
      <formula>0</formula>
    </cfRule>
  </conditionalFormatting>
  <conditionalFormatting sqref="G73">
    <cfRule type="cellIs" dxfId="41" priority="40" stopIfTrue="1" operator="greaterThan">
      <formula>0</formula>
    </cfRule>
    <cfRule type="cellIs" dxfId="40" priority="41" stopIfTrue="1" operator="lessThan">
      <formula>0</formula>
    </cfRule>
    <cfRule type="cellIs" dxfId="39" priority="42" stopIfTrue="1" operator="equal">
      <formula>0</formula>
    </cfRule>
  </conditionalFormatting>
  <conditionalFormatting sqref="G73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G73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73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L73">
    <cfRule type="cellIs" dxfId="29" priority="25" operator="equal">
      <formula>0</formula>
    </cfRule>
    <cfRule type="cellIs" dxfId="28" priority="26" operator="lessThan">
      <formula>0</formula>
    </cfRule>
    <cfRule type="cellIs" dxfId="27" priority="27" operator="greaterThan">
      <formula>0</formula>
    </cfRule>
  </conditionalFormatting>
  <conditionalFormatting sqref="L73">
    <cfRule type="cellIs" dxfId="26" priority="28" stopIfTrue="1" operator="greaterThan">
      <formula>0</formula>
    </cfRule>
    <cfRule type="cellIs" dxfId="25" priority="29" stopIfTrue="1" operator="lessThan">
      <formula>0</formula>
    </cfRule>
    <cfRule type="cellIs" dxfId="24" priority="30" stopIfTrue="1" operator="equal">
      <formula>0</formula>
    </cfRule>
  </conditionalFormatting>
  <conditionalFormatting sqref="G290:G292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G290:G292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278">
    <cfRule type="cellIs" dxfId="17" priority="13" operator="equal">
      <formula>0</formula>
    </cfRule>
    <cfRule type="cellIs" dxfId="16" priority="14" operator="lessThan">
      <formula>0</formula>
    </cfRule>
    <cfRule type="cellIs" dxfId="15" priority="15" operator="greaterThan">
      <formula>0</formula>
    </cfRule>
  </conditionalFormatting>
  <conditionalFormatting sqref="G278">
    <cfRule type="cellIs" dxfId="14" priority="16" stopIfTrue="1" operator="greaterThan">
      <formula>0</formula>
    </cfRule>
    <cfRule type="cellIs" dxfId="13" priority="17" stopIfTrue="1" operator="lessThan">
      <formula>0</formula>
    </cfRule>
    <cfRule type="cellIs" dxfId="12" priority="18" stopIfTrue="1" operator="equal">
      <formula>0</formula>
    </cfRule>
  </conditionalFormatting>
  <conditionalFormatting sqref="G279">
    <cfRule type="cellIs" dxfId="11" priority="7" operator="equal">
      <formula>0</formula>
    </cfRule>
    <cfRule type="cellIs" dxfId="10" priority="8" operator="lessThan">
      <formula>0</formula>
    </cfRule>
    <cfRule type="cellIs" dxfId="9" priority="9" operator="greaterThan">
      <formula>0</formula>
    </cfRule>
  </conditionalFormatting>
  <conditionalFormatting sqref="G279">
    <cfRule type="cellIs" dxfId="8" priority="10" stopIfTrue="1" operator="greaterThan">
      <formula>0</formula>
    </cfRule>
    <cfRule type="cellIs" dxfId="7" priority="11" stopIfTrue="1" operator="lessThan">
      <formula>0</formula>
    </cfRule>
    <cfRule type="cellIs" dxfId="6" priority="12" stopIfTrue="1" operator="equal">
      <formula>0</formula>
    </cfRule>
  </conditionalFormatting>
  <conditionalFormatting sqref="G280:G28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G280:G283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3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noviembre</mes>
    <year xmlns="36c86fb7-c3ab-4219-b2b9-06651c03637a">2018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2018-12-28T14:24:20+00:00</PublishingStartDate>
    <_dlc_DocId xmlns="8b099203-c902-4a5b-992f-1f849b15ff82">Q5F7QW3RQ55V-2035-396</_dlc_DocId>
    <_dlc_DocIdUrl xmlns="8b099203-c902-4a5b-992f-1f849b15ff82">
      <Url>http://admin.webtenerife.com/es/investigacion/Situacion-turistica/indicadores-turisticos/_layouts/DocIdRedir.aspx?ID=Q5F7QW3RQ55V-2035-396</Url>
      <Description>Q5F7QW3RQ55V-2035-396</Description>
    </_dlc_DocIdUrl>
    <Pagina xmlns="36c86fb7-c3ab-4219-b2b9-06651c0363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4EB369-E9BF-42C7-A3BF-DDC650B43846}"/>
</file>

<file path=customXml/itemProps2.xml><?xml version="1.0" encoding="utf-8"?>
<ds:datastoreItem xmlns:ds="http://schemas.openxmlformats.org/officeDocument/2006/customXml" ds:itemID="{46A64293-A17C-4809-B407-460906B249BD}"/>
</file>

<file path=customXml/itemProps3.xml><?xml version="1.0" encoding="utf-8"?>
<ds:datastoreItem xmlns:ds="http://schemas.openxmlformats.org/officeDocument/2006/customXml" ds:itemID="{8EC5BF39-7630-472D-87AA-9504AFBDEA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(noviembre y acumulado 2018)</dc:title>
  <dc:creator>Alejandro Garcia</dc:creator>
  <cp:lastModifiedBy>Alejandro Garcia</cp:lastModifiedBy>
  <dcterms:created xsi:type="dcterms:W3CDTF">2018-12-20T14:36:11Z</dcterms:created>
  <dcterms:modified xsi:type="dcterms:W3CDTF">2018-12-20T14:37:08Z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344faa65-d2a4-4d93-bc72-e6c60990c00f</vt:lpwstr>
  </property>
</Properties>
</file>