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junio/"/>
    </mc:Choice>
  </mc:AlternateContent>
  <bookViews>
    <workbookView xWindow="0" yWindow="0" windowWidth="28800" windowHeight="119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52" i="1"/>
  <c r="M64" i="1"/>
  <c r="L64" i="1"/>
  <c r="K64" i="1"/>
  <c r="J64" i="1"/>
  <c r="I64" i="1"/>
  <c r="G64" i="1"/>
  <c r="F64" i="1"/>
  <c r="E64" i="1"/>
  <c r="D64" i="1"/>
  <c r="C64" i="1"/>
  <c r="C215" i="1"/>
  <c r="G120" i="1"/>
  <c r="H305" i="1" l="1"/>
  <c r="H310" i="1"/>
  <c r="H302" i="1"/>
  <c r="H309" i="1"/>
  <c r="H308" i="1"/>
  <c r="H300" i="1"/>
  <c r="H311" i="1"/>
  <c r="E184" i="1"/>
  <c r="E242" i="1"/>
  <c r="E295" i="1" s="1"/>
  <c r="E117" i="1"/>
  <c r="I62" i="1"/>
</calcChain>
</file>

<file path=xl/sharedStrings.xml><?xml version="1.0" encoding="utf-8"?>
<sst xmlns="http://schemas.openxmlformats.org/spreadsheetml/2006/main" count="597" uniqueCount="119">
  <si>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</si>
  <si>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</si>
  <si>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</si>
  <si>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</si>
  <si>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</si>
  <si>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</si>
  <si>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</si>
  <si>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</si>
  <si>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</si>
  <si>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</si>
  <si>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</si>
  <si>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</si>
  <si>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</si>
  <si>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</si>
  <si>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</si>
  <si>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</si>
  <si>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</si>
  <si>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</si>
  <si>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</si>
  <si>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</si>
  <si>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</si>
  <si>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</si>
  <si>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</si>
  <si>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</si>
  <si>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</si>
  <si>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</si>
  <si>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</si>
  <si>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</si>
  <si>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</si>
  <si>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</si>
  <si>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</si>
  <si>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</si>
  <si>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</si>
  <si>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</si>
  <si>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</si>
  <si>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</si>
  <si>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</si>
  <si>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</si>
  <si>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</si>
  <si>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</si>
  <si>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</si>
  <si>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</si>
  <si>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</si>
  <si>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</si>
  <si>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</si>
  <si>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</si>
  <si>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</si>
  <si>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</si>
  <si>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</si>
  <si>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</si>
  <si>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</si>
  <si>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</si>
  <si>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</si>
  <si>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</si>
  <si>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</si>
  <si>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</si>
  <si>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</si>
  <si>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</si>
  <si>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</si>
  <si>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</si>
  <si>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</si>
  <si>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</si>
  <si>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</si>
  <si>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</si>
  <si>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</si>
  <si>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</si>
  <si>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</si>
  <si>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</si>
  <si>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</si>
  <si>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</si>
  <si>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</si>
  <si>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</si>
  <si>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</si>
  <si>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</si>
  <si>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</si>
  <si>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</si>
  <si>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</si>
  <si>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</si>
  <si>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</si>
  <si>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</si>
  <si>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</si>
  <si>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</si>
  <si>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</si>
  <si>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</si>
  <si>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</si>
  <si>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</si>
  <si>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</si>
  <si>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</si>
  <si>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</si>
  <si>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</si>
  <si>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</si>
  <si>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</si>
  <si>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</si>
  <si>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junio 2018</t>
  </si>
  <si>
    <t>Muestra hotelera= 95,0%;   Muestra extrahotelera= 61,6%;   Muestra total= 81,0%</t>
  </si>
  <si>
    <t>El número de plazas autorizadas por Policía Turística a fecha de junio 2018 asciendían a 146.266 plazas, registrando un incremento del 4,9% respecto al cierre del año 2017.</t>
  </si>
  <si>
    <t>Las plazas hoteleras autorizadas ascienden a 85.249 y representan el 58% del total. Con respecto al año 2017, las plazas hoteleras se incrementan un 1,3%.</t>
  </si>
  <si>
    <t>Las plazas extrahoteleras autorizadas, el 34% del total, ascienden a  49.080 (no incluye oferta rural). Aumentan un +0,1% respecto al cierre de 2017.</t>
  </si>
  <si>
    <t>Las plazas de vivienda vacacional autorizadas, el 7% del total, ascienden a  10.452 plazas. Aumentan un +118,8%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</si>
  <si>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</si>
  <si>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928, registrando un incremento del 1,1% respecto a 2017.</t>
  </si>
  <si>
    <t>junio 2018 Policía Turística Cabildo de Tenerife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</si>
  <si>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</si>
  <si>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</si>
  <si>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</si>
  <si>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</si>
  <si>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</si>
  <si>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 semestre del  2018, con un incremento del 3,4%  respecto al I semestre del año anterior.</t>
  </si>
  <si>
    <t>I semestre 2018</t>
  </si>
  <si>
    <t>El gasto medio total por turista en el primer semestre de ha ascendido a 1.114€. Se incrementa  un 5,0% respecto al mismo periodo del año anterior.</t>
  </si>
  <si>
    <t>El gasto medio por turista en origen se situó en 741€, un 7,6% más que en el primer semestre de 2017.</t>
  </si>
  <si>
    <t>El gasto medio por turista en destino ascendió a 384€. Experimenta un incremento del 1,8% respecto al miso periodo del año anterior.</t>
  </si>
  <si>
    <t>El gasto total diario por turista se situó en 121€, un 3,0% más que en el primer semestre de 2017.</t>
  </si>
  <si>
    <t>La media del gasto diario por turista en origen fue de 80€, aumentando un 5,5% respecto al mismo período del año anterior.</t>
  </si>
  <si>
    <t>El gasto medio en Tenerife, por turista y día  fue de 41,6€, experimentando un incremento del 1,1% respecto a los primeros seis meses de 2017.</t>
  </si>
  <si>
    <t>I semestre 2018 
Encuesta sobre el turista que visita Tenerife, Cabildo de Tenerife</t>
  </si>
  <si>
    <t>El número de buques de crucero en el Puerto de Santa Cruz de Tenerife hasta junio 2018 ascienden a un total de 165 cruceros, cifra que se incrementa un +23,1% respecto al mismo período del año anterior.</t>
  </si>
  <si>
    <t>I semestre 2018
FUENTE: Autoridad Portuaria de S/C de Tenerife</t>
  </si>
  <si>
    <t>Por el Puerto de Santa Cruz de Tenerife han pasado en los primeros seis meses del año 2018, 365.777 cruceristas, un 40,0% más en comparación al mismo período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</si>
</sst>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AFA625FB-A322-4AEC-B9B8-48A67AFD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9FF632C8-3B7E-45AF-99B4-515AA2DC4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5BBC1A2D-9DD2-4FCD-8471-A78A6AB1C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A42D0540-BC4C-4A33-91D5-3216D80E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FD1EBCB6-2DA5-4C2E-BC5D-7026E427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AF30036-B010-4AE2-BFCD-E6541AD8AE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3"/>
  <sheetViews>
    <sheetView showGridLines="0" tabSelected="1" showRuler="0" topLeftCell="A307" zoomScaleNormal="100" workbookViewId="0">
      <selection activeCell="K326" sqref="K326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bestFit="1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63" t="s">
        <v>92</v>
      </c>
      <c r="F1" s="263"/>
      <c r="G1" s="263"/>
      <c r="H1" s="263"/>
      <c r="I1" s="263"/>
      <c r="J1" s="263"/>
      <c r="K1" s="263"/>
      <c r="L1" s="2"/>
      <c r="M1" s="2"/>
    </row>
    <row r="2" spans="2:13" ht="15" customHeight="1" x14ac:dyDescent="0.2">
      <c r="B2" s="4"/>
      <c r="C2" s="264" t="s">
        <v>93</v>
      </c>
      <c r="D2" s="264"/>
      <c r="E2" s="264"/>
      <c r="F2" s="264"/>
      <c r="G2" s="264"/>
      <c r="H2" s="5"/>
      <c r="I2" s="266" t="s">
        <v>108</v>
      </c>
      <c r="J2" s="266"/>
      <c r="K2" s="266"/>
      <c r="L2" s="266"/>
      <c r="M2" s="266"/>
    </row>
    <row r="3" spans="2:13" ht="16.5" customHeight="1" thickBot="1" x14ac:dyDescent="0.25">
      <c r="B3" s="4"/>
      <c r="C3" s="265"/>
      <c r="D3" s="265"/>
      <c r="E3" s="265"/>
      <c r="F3" s="265"/>
      <c r="G3" s="265"/>
      <c r="H3" s="6"/>
      <c r="I3" s="267"/>
      <c r="J3" s="267"/>
      <c r="K3" s="267"/>
      <c r="L3" s="267"/>
      <c r="M3" s="267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268" t="s">
        <v>0</v>
      </c>
      <c r="D5" s="269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70" t="s">
        <v>6</v>
      </c>
      <c r="D7" s="271"/>
      <c r="E7" s="271"/>
      <c r="F7" s="271"/>
      <c r="G7" s="271"/>
      <c r="H7" s="271"/>
      <c r="I7" s="271"/>
      <c r="J7" s="271"/>
      <c r="K7" s="271"/>
      <c r="L7" s="271"/>
      <c r="M7" s="272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273" t="s">
        <v>7</v>
      </c>
      <c r="D9" s="274"/>
      <c r="E9" s="22" t="s">
        <v>8</v>
      </c>
      <c r="F9" s="23">
        <v>481550</v>
      </c>
      <c r="G9" s="24">
        <v>-1.3067555326012559E-2</v>
      </c>
      <c r="H9" s="25"/>
      <c r="I9" s="279" t="s">
        <v>7</v>
      </c>
      <c r="J9" s="26" t="s">
        <v>8</v>
      </c>
      <c r="K9" s="27">
        <v>2754286</v>
      </c>
      <c r="L9" s="28">
        <v>-8.4146398099982367E-3</v>
      </c>
      <c r="M9" s="281" t="s">
        <v>9</v>
      </c>
    </row>
    <row r="10" spans="2:13" ht="24.75" customHeight="1" x14ac:dyDescent="0.2">
      <c r="C10" s="275"/>
      <c r="D10" s="276"/>
      <c r="E10" s="29" t="s">
        <v>10</v>
      </c>
      <c r="F10" s="30">
        <v>320012</v>
      </c>
      <c r="G10" s="31">
        <v>-5.4017094017093648E-3</v>
      </c>
      <c r="H10" s="32"/>
      <c r="I10" s="275"/>
      <c r="J10" s="29" t="s">
        <v>10</v>
      </c>
      <c r="K10" s="30">
        <v>1859721</v>
      </c>
      <c r="L10" s="33">
        <v>-1.3821299883072569E-2</v>
      </c>
      <c r="M10" s="281"/>
    </row>
    <row r="11" spans="2:13" ht="24.75" customHeight="1" thickBot="1" x14ac:dyDescent="0.25">
      <c r="C11" s="277"/>
      <c r="D11" s="278"/>
      <c r="E11" s="34" t="s">
        <v>11</v>
      </c>
      <c r="F11" s="23">
        <v>161538</v>
      </c>
      <c r="G11" s="24">
        <v>-2.7910167533217844E-2</v>
      </c>
      <c r="H11" s="32"/>
      <c r="I11" s="280"/>
      <c r="J11" s="35" t="s">
        <v>11</v>
      </c>
      <c r="K11" s="36">
        <v>894565</v>
      </c>
      <c r="L11" s="37">
        <v>3.0172423458918463E-3</v>
      </c>
      <c r="M11" s="281"/>
    </row>
    <row r="12" spans="2:13" ht="24.75" hidden="1" customHeight="1" x14ac:dyDescent="0.2">
      <c r="C12" s="251" t="s">
        <v>12</v>
      </c>
      <c r="D12" s="252"/>
      <c r="E12" s="38" t="s">
        <v>8</v>
      </c>
      <c r="F12" s="39">
        <v>17735</v>
      </c>
      <c r="G12" s="40">
        <v>1.0656485069523658E-2</v>
      </c>
      <c r="H12" s="41"/>
      <c r="I12" s="251" t="s">
        <v>12</v>
      </c>
      <c r="J12" s="38" t="s">
        <v>8</v>
      </c>
      <c r="K12" s="39">
        <v>117656</v>
      </c>
      <c r="L12" s="28">
        <v>-2.6066801870783474E-2</v>
      </c>
      <c r="M12" s="281"/>
    </row>
    <row r="13" spans="2:13" ht="46.5" customHeight="1" thickBot="1" x14ac:dyDescent="0.25">
      <c r="C13" s="253"/>
      <c r="D13" s="254"/>
      <c r="E13" s="42" t="s">
        <v>10</v>
      </c>
      <c r="F13" s="43">
        <v>17735</v>
      </c>
      <c r="G13" s="31">
        <v>1.0656485069523658E-2</v>
      </c>
      <c r="H13" s="41"/>
      <c r="I13" s="253"/>
      <c r="J13" s="42" t="s">
        <v>10</v>
      </c>
      <c r="K13" s="43">
        <v>117656</v>
      </c>
      <c r="L13" s="33">
        <v>-2.6066801870783474E-2</v>
      </c>
      <c r="M13" s="281"/>
    </row>
    <row r="14" spans="2:13" ht="24.75" hidden="1" customHeight="1" x14ac:dyDescent="0.2">
      <c r="C14" s="255"/>
      <c r="D14" s="256"/>
      <c r="E14" s="44" t="s">
        <v>11</v>
      </c>
      <c r="F14" s="45">
        <v>0</v>
      </c>
      <c r="G14" s="46" t="s">
        <v>38</v>
      </c>
      <c r="H14" s="41"/>
      <c r="I14" s="255"/>
      <c r="J14" s="44" t="s">
        <v>11</v>
      </c>
      <c r="K14" s="45">
        <v>0</v>
      </c>
      <c r="L14" s="37" t="s">
        <v>38</v>
      </c>
      <c r="M14" s="281"/>
    </row>
    <row r="15" spans="2:13" ht="24.75" customHeight="1" x14ac:dyDescent="0.2">
      <c r="C15" s="245" t="s">
        <v>13</v>
      </c>
      <c r="D15" s="246"/>
      <c r="E15" s="47" t="s">
        <v>8</v>
      </c>
      <c r="F15" s="48">
        <v>4652</v>
      </c>
      <c r="G15" s="40">
        <v>0.61024575977847006</v>
      </c>
      <c r="H15" s="41"/>
      <c r="I15" s="245" t="s">
        <v>13</v>
      </c>
      <c r="J15" s="47" t="s">
        <v>8</v>
      </c>
      <c r="K15" s="48">
        <v>33293</v>
      </c>
      <c r="L15" s="28">
        <v>0.46626442350039632</v>
      </c>
      <c r="M15" s="281"/>
    </row>
    <row r="16" spans="2:13" ht="24.75" customHeight="1" x14ac:dyDescent="0.2">
      <c r="C16" s="247"/>
      <c r="D16" s="248"/>
      <c r="E16" s="49" t="s">
        <v>10</v>
      </c>
      <c r="F16" s="50">
        <v>3967</v>
      </c>
      <c r="G16" s="31">
        <v>0.66261525565800494</v>
      </c>
      <c r="H16" s="41"/>
      <c r="I16" s="247"/>
      <c r="J16" s="49" t="s">
        <v>10</v>
      </c>
      <c r="K16" s="50">
        <v>26844</v>
      </c>
      <c r="L16" s="33">
        <v>0.55644459906070631</v>
      </c>
      <c r="M16" s="281"/>
    </row>
    <row r="17" spans="3:13" ht="24.75" customHeight="1" thickBot="1" x14ac:dyDescent="0.25">
      <c r="C17" s="249"/>
      <c r="D17" s="250"/>
      <c r="E17" s="51" t="s">
        <v>11</v>
      </c>
      <c r="F17" s="52">
        <v>685</v>
      </c>
      <c r="G17" s="46">
        <v>0.36182902584493037</v>
      </c>
      <c r="H17" s="41"/>
      <c r="I17" s="249"/>
      <c r="J17" s="51" t="s">
        <v>11</v>
      </c>
      <c r="K17" s="52">
        <v>6449</v>
      </c>
      <c r="L17" s="37">
        <v>0.18135189595163959</v>
      </c>
      <c r="M17" s="281"/>
    </row>
    <row r="18" spans="3:13" ht="24.75" customHeight="1" x14ac:dyDescent="0.2">
      <c r="C18" s="251" t="s">
        <v>14</v>
      </c>
      <c r="D18" s="252"/>
      <c r="E18" s="38" t="s">
        <v>8</v>
      </c>
      <c r="F18" s="39">
        <v>95552</v>
      </c>
      <c r="G18" s="40">
        <v>-2.7213031305675761E-2</v>
      </c>
      <c r="H18" s="41"/>
      <c r="I18" s="251" t="s">
        <v>14</v>
      </c>
      <c r="J18" s="38" t="s">
        <v>8</v>
      </c>
      <c r="K18" s="39">
        <v>521196</v>
      </c>
      <c r="L18" s="28">
        <v>9.6764632381571847E-3</v>
      </c>
      <c r="M18" s="281"/>
    </row>
    <row r="19" spans="3:13" ht="24.75" customHeight="1" x14ac:dyDescent="0.2">
      <c r="C19" s="253"/>
      <c r="D19" s="254"/>
      <c r="E19" s="42" t="s">
        <v>10</v>
      </c>
      <c r="F19" s="43">
        <v>68047</v>
      </c>
      <c r="G19" s="31">
        <v>-2.9189790706632635E-2</v>
      </c>
      <c r="H19" s="41"/>
      <c r="I19" s="253"/>
      <c r="J19" s="42" t="s">
        <v>10</v>
      </c>
      <c r="K19" s="43">
        <v>382351</v>
      </c>
      <c r="L19" s="33">
        <v>-1.7727070986607307E-3</v>
      </c>
      <c r="M19" s="281"/>
    </row>
    <row r="20" spans="3:13" ht="24.75" customHeight="1" thickBot="1" x14ac:dyDescent="0.25">
      <c r="C20" s="255"/>
      <c r="D20" s="256"/>
      <c r="E20" s="44" t="s">
        <v>11</v>
      </c>
      <c r="F20" s="45">
        <v>27505</v>
      </c>
      <c r="G20" s="46">
        <v>-2.2287786151002464E-2</v>
      </c>
      <c r="H20" s="41"/>
      <c r="I20" s="255"/>
      <c r="J20" s="44" t="s">
        <v>11</v>
      </c>
      <c r="K20" s="45">
        <v>138845</v>
      </c>
      <c r="L20" s="37">
        <v>4.2606873868935358E-2</v>
      </c>
      <c r="M20" s="281"/>
    </row>
    <row r="21" spans="3:13" ht="24.75" customHeight="1" x14ac:dyDescent="0.2">
      <c r="C21" s="257" t="s">
        <v>15</v>
      </c>
      <c r="D21" s="258"/>
      <c r="E21" s="53" t="s">
        <v>8</v>
      </c>
      <c r="F21" s="54">
        <v>363611</v>
      </c>
      <c r="G21" s="40">
        <v>-1.5308830538584894E-2</v>
      </c>
      <c r="H21" s="41"/>
      <c r="I21" s="257" t="s">
        <v>15</v>
      </c>
      <c r="J21" s="53" t="s">
        <v>8</v>
      </c>
      <c r="K21" s="54">
        <v>2082141</v>
      </c>
      <c r="L21" s="28">
        <v>-1.6905994342634623E-2</v>
      </c>
      <c r="M21" s="281"/>
    </row>
    <row r="22" spans="3:13" ht="24.75" customHeight="1" x14ac:dyDescent="0.2">
      <c r="C22" s="259"/>
      <c r="D22" s="260"/>
      <c r="E22" s="55" t="s">
        <v>10</v>
      </c>
      <c r="F22" s="56">
        <v>230263</v>
      </c>
      <c r="G22" s="31">
        <v>-6.3006261786702211E-3</v>
      </c>
      <c r="H22" s="41"/>
      <c r="I22" s="259"/>
      <c r="J22" s="55" t="s">
        <v>10</v>
      </c>
      <c r="K22" s="56">
        <v>1332870</v>
      </c>
      <c r="L22" s="33">
        <v>-2.3325954438438212E-2</v>
      </c>
      <c r="M22" s="281"/>
    </row>
    <row r="23" spans="3:13" ht="24.75" customHeight="1" thickBot="1" x14ac:dyDescent="0.25">
      <c r="C23" s="261"/>
      <c r="D23" s="262"/>
      <c r="E23" s="57" t="s">
        <v>11</v>
      </c>
      <c r="F23" s="58">
        <v>133348</v>
      </c>
      <c r="G23" s="46">
        <v>-3.0485455246072046E-2</v>
      </c>
      <c r="H23" s="41"/>
      <c r="I23" s="261"/>
      <c r="J23" s="57" t="s">
        <v>11</v>
      </c>
      <c r="K23" s="58">
        <v>749271</v>
      </c>
      <c r="L23" s="37">
        <v>-5.2745192792773565E-3</v>
      </c>
      <c r="M23" s="281"/>
    </row>
    <row r="24" spans="3:13" ht="5.25" customHeight="1" thickBot="1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3:13" ht="20.100000000000001" customHeight="1" thickBot="1" x14ac:dyDescent="0.25">
      <c r="C25" s="270" t="s">
        <v>16</v>
      </c>
      <c r="D25" s="271"/>
      <c r="E25" s="271"/>
      <c r="F25" s="271"/>
      <c r="G25" s="271"/>
      <c r="H25" s="271"/>
      <c r="I25" s="271"/>
      <c r="J25" s="271"/>
      <c r="K25" s="271"/>
      <c r="L25" s="271"/>
      <c r="M25" s="272"/>
    </row>
    <row r="26" spans="3:13" ht="5.25" customHeight="1" thickBo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60"/>
    </row>
    <row r="27" spans="3:13" ht="24.95" customHeight="1" x14ac:dyDescent="0.2">
      <c r="C27" s="279" t="s">
        <v>7</v>
      </c>
      <c r="D27" s="282"/>
      <c r="E27" s="26" t="s">
        <v>8</v>
      </c>
      <c r="F27" s="23">
        <v>3289454</v>
      </c>
      <c r="G27" s="24">
        <v>-2.5652114285985128E-2</v>
      </c>
      <c r="H27" s="25"/>
      <c r="I27" s="279" t="s">
        <v>7</v>
      </c>
      <c r="J27" s="26" t="s">
        <v>8</v>
      </c>
      <c r="K27" s="27">
        <v>19948634</v>
      </c>
      <c r="L27" s="28">
        <v>-2.1620719990304793E-2</v>
      </c>
      <c r="M27" s="281" t="s">
        <v>9</v>
      </c>
    </row>
    <row r="28" spans="3:13" ht="24.95" customHeight="1" x14ac:dyDescent="0.2">
      <c r="C28" s="275"/>
      <c r="D28" s="276"/>
      <c r="E28" s="29" t="s">
        <v>10</v>
      </c>
      <c r="F28" s="30">
        <v>2104772</v>
      </c>
      <c r="G28" s="31">
        <v>-3.4017732857923755E-2</v>
      </c>
      <c r="H28" s="32"/>
      <c r="I28" s="275"/>
      <c r="J28" s="29" t="s">
        <v>10</v>
      </c>
      <c r="K28" s="30">
        <v>12681963</v>
      </c>
      <c r="L28" s="33">
        <v>-3.5304225786023546E-2</v>
      </c>
      <c r="M28" s="281"/>
    </row>
    <row r="29" spans="3:13" ht="24.95" customHeight="1" thickBot="1" x14ac:dyDescent="0.25">
      <c r="C29" s="280"/>
      <c r="D29" s="283"/>
      <c r="E29" s="35" t="s">
        <v>11</v>
      </c>
      <c r="F29" s="23">
        <v>1184682</v>
      </c>
      <c r="G29" s="24">
        <v>-1.0426307506740895E-2</v>
      </c>
      <c r="H29" s="32"/>
      <c r="I29" s="280"/>
      <c r="J29" s="35" t="s">
        <v>11</v>
      </c>
      <c r="K29" s="36">
        <v>7266671</v>
      </c>
      <c r="L29" s="37">
        <v>3.2135487866600254E-3</v>
      </c>
      <c r="M29" s="281"/>
    </row>
    <row r="30" spans="3:13" ht="24.95" hidden="1" customHeight="1" x14ac:dyDescent="0.2">
      <c r="C30" s="251" t="s">
        <v>12</v>
      </c>
      <c r="D30" s="252"/>
      <c r="E30" s="38" t="s">
        <v>8</v>
      </c>
      <c r="F30" s="39">
        <v>35964</v>
      </c>
      <c r="G30" s="40">
        <v>-1.012881206649785E-2</v>
      </c>
      <c r="H30" s="41"/>
      <c r="I30" s="251" t="s">
        <v>12</v>
      </c>
      <c r="J30" s="38" t="s">
        <v>8</v>
      </c>
      <c r="K30" s="39">
        <v>262911</v>
      </c>
      <c r="L30" s="28">
        <v>-6.8434759500398568E-2</v>
      </c>
      <c r="M30" s="281"/>
    </row>
    <row r="31" spans="3:13" ht="48" customHeight="1" thickBot="1" x14ac:dyDescent="0.25">
      <c r="C31" s="253"/>
      <c r="D31" s="254"/>
      <c r="E31" s="42" t="s">
        <v>10</v>
      </c>
      <c r="F31" s="43">
        <v>35964</v>
      </c>
      <c r="G31" s="31">
        <v>-1.012881206649785E-2</v>
      </c>
      <c r="H31" s="41"/>
      <c r="I31" s="253"/>
      <c r="J31" s="42" t="s">
        <v>10</v>
      </c>
      <c r="K31" s="43">
        <v>262911</v>
      </c>
      <c r="L31" s="33">
        <v>-6.8434759500398568E-2</v>
      </c>
      <c r="M31" s="281"/>
    </row>
    <row r="32" spans="3:13" ht="24.95" hidden="1" customHeight="1" x14ac:dyDescent="0.2">
      <c r="C32" s="255"/>
      <c r="D32" s="256"/>
      <c r="E32" s="44" t="s">
        <v>11</v>
      </c>
      <c r="F32" s="45">
        <v>0</v>
      </c>
      <c r="G32" s="46" t="s">
        <v>38</v>
      </c>
      <c r="H32" s="41"/>
      <c r="I32" s="255"/>
      <c r="J32" s="44" t="s">
        <v>11</v>
      </c>
      <c r="K32" s="45">
        <v>0</v>
      </c>
      <c r="L32" s="37" t="s">
        <v>38</v>
      </c>
      <c r="M32" s="281"/>
    </row>
    <row r="33" spans="3:13" ht="24.95" customHeight="1" x14ac:dyDescent="0.2">
      <c r="C33" s="245" t="s">
        <v>13</v>
      </c>
      <c r="D33" s="246"/>
      <c r="E33" s="47" t="s">
        <v>8</v>
      </c>
      <c r="F33" s="48">
        <v>13352</v>
      </c>
      <c r="G33" s="40">
        <v>0.35306039724361571</v>
      </c>
      <c r="H33" s="41"/>
      <c r="I33" s="245" t="s">
        <v>13</v>
      </c>
      <c r="J33" s="47" t="s">
        <v>8</v>
      </c>
      <c r="K33" s="48">
        <v>115877</v>
      </c>
      <c r="L33" s="28">
        <v>0.26863367637398738</v>
      </c>
      <c r="M33" s="281"/>
    </row>
    <row r="34" spans="3:13" ht="24.95" customHeight="1" x14ac:dyDescent="0.2">
      <c r="C34" s="247"/>
      <c r="D34" s="248"/>
      <c r="E34" s="49" t="s">
        <v>10</v>
      </c>
      <c r="F34" s="50">
        <v>9800</v>
      </c>
      <c r="G34" s="31">
        <v>0.26926563916591117</v>
      </c>
      <c r="H34" s="41"/>
      <c r="I34" s="247"/>
      <c r="J34" s="49" t="s">
        <v>10</v>
      </c>
      <c r="K34" s="50">
        <v>73124</v>
      </c>
      <c r="L34" s="33">
        <v>0.27431469250474882</v>
      </c>
      <c r="M34" s="281"/>
    </row>
    <row r="35" spans="3:13" ht="24.95" customHeight="1" thickBot="1" x14ac:dyDescent="0.25">
      <c r="C35" s="249"/>
      <c r="D35" s="250"/>
      <c r="E35" s="51" t="s">
        <v>11</v>
      </c>
      <c r="F35" s="52">
        <v>3552</v>
      </c>
      <c r="G35" s="46">
        <v>0.65440149045179319</v>
      </c>
      <c r="H35" s="41"/>
      <c r="I35" s="249"/>
      <c r="J35" s="51" t="s">
        <v>11</v>
      </c>
      <c r="K35" s="52">
        <v>42753</v>
      </c>
      <c r="L35" s="37">
        <v>0.25903348352327948</v>
      </c>
      <c r="M35" s="281"/>
    </row>
    <row r="36" spans="3:13" ht="24.95" customHeight="1" x14ac:dyDescent="0.2">
      <c r="C36" s="251" t="s">
        <v>14</v>
      </c>
      <c r="D36" s="252"/>
      <c r="E36" s="38" t="s">
        <v>8</v>
      </c>
      <c r="F36" s="39">
        <v>638808</v>
      </c>
      <c r="G36" s="40">
        <v>6.4530965664806983E-2</v>
      </c>
      <c r="H36" s="41"/>
      <c r="I36" s="251" t="s">
        <v>14</v>
      </c>
      <c r="J36" s="38" t="s">
        <v>8</v>
      </c>
      <c r="K36" s="39">
        <v>3756103</v>
      </c>
      <c r="L36" s="28">
        <v>4.7167817701892156E-2</v>
      </c>
      <c r="M36" s="281"/>
    </row>
    <row r="37" spans="3:13" ht="24.95" customHeight="1" x14ac:dyDescent="0.2">
      <c r="C37" s="253"/>
      <c r="D37" s="254"/>
      <c r="E37" s="42" t="s">
        <v>10</v>
      </c>
      <c r="F37" s="43">
        <v>452757</v>
      </c>
      <c r="G37" s="31">
        <v>4.5507447177000282E-2</v>
      </c>
      <c r="H37" s="41"/>
      <c r="I37" s="253"/>
      <c r="J37" s="42" t="s">
        <v>10</v>
      </c>
      <c r="K37" s="43">
        <v>2623662</v>
      </c>
      <c r="L37" s="33">
        <v>1.0620976399499327E-2</v>
      </c>
      <c r="M37" s="281"/>
    </row>
    <row r="38" spans="3:13" ht="24.95" customHeight="1" thickBot="1" x14ac:dyDescent="0.25">
      <c r="C38" s="255"/>
      <c r="D38" s="256"/>
      <c r="E38" s="44" t="s">
        <v>11</v>
      </c>
      <c r="F38" s="45">
        <v>186051</v>
      </c>
      <c r="G38" s="46">
        <v>0.11385107223679003</v>
      </c>
      <c r="H38" s="41"/>
      <c r="I38" s="255"/>
      <c r="J38" s="44" t="s">
        <v>11</v>
      </c>
      <c r="K38" s="45">
        <v>1132441</v>
      </c>
      <c r="L38" s="37">
        <v>0.14292505149738544</v>
      </c>
      <c r="M38" s="281"/>
    </row>
    <row r="39" spans="3:13" ht="24.95" customHeight="1" x14ac:dyDescent="0.2">
      <c r="C39" s="257" t="s">
        <v>15</v>
      </c>
      <c r="D39" s="258"/>
      <c r="E39" s="53" t="s">
        <v>8</v>
      </c>
      <c r="F39" s="54">
        <v>2601330</v>
      </c>
      <c r="G39" s="40">
        <v>-4.7052630383552008E-2</v>
      </c>
      <c r="H39" s="41"/>
      <c r="I39" s="257" t="s">
        <v>15</v>
      </c>
      <c r="J39" s="53" t="s">
        <v>8</v>
      </c>
      <c r="K39" s="54">
        <v>15813743</v>
      </c>
      <c r="L39" s="28">
        <v>-3.7448746082229811E-2</v>
      </c>
      <c r="M39" s="281"/>
    </row>
    <row r="40" spans="3:13" ht="24.95" customHeight="1" x14ac:dyDescent="0.2">
      <c r="C40" s="259"/>
      <c r="D40" s="260"/>
      <c r="E40" s="55" t="s">
        <v>10</v>
      </c>
      <c r="F40" s="56">
        <v>1606251</v>
      </c>
      <c r="G40" s="31">
        <v>-5.6140299331879917E-2</v>
      </c>
      <c r="H40" s="41"/>
      <c r="I40" s="259"/>
      <c r="J40" s="55" t="s">
        <v>10</v>
      </c>
      <c r="K40" s="56">
        <v>9722266</v>
      </c>
      <c r="L40" s="33">
        <v>-4.7805477916684325E-2</v>
      </c>
      <c r="M40" s="281"/>
    </row>
    <row r="41" spans="3:13" ht="24.95" customHeight="1" thickBot="1" x14ac:dyDescent="0.25">
      <c r="C41" s="261"/>
      <c r="D41" s="262"/>
      <c r="E41" s="57" t="s">
        <v>11</v>
      </c>
      <c r="F41" s="58">
        <v>995079</v>
      </c>
      <c r="G41" s="46">
        <v>-3.2008311421492408E-2</v>
      </c>
      <c r="H41" s="41"/>
      <c r="I41" s="261"/>
      <c r="J41" s="57" t="s">
        <v>11</v>
      </c>
      <c r="K41" s="58">
        <v>6091477</v>
      </c>
      <c r="L41" s="37">
        <v>-2.0443957733319862E-2</v>
      </c>
      <c r="M41" s="281"/>
    </row>
    <row r="42" spans="3:13" ht="5.25" customHeight="1" thickBot="1" x14ac:dyDescent="0.25">
      <c r="C42" s="59"/>
      <c r="D42" s="59"/>
      <c r="F42" s="59"/>
      <c r="G42" s="59"/>
      <c r="H42" s="59"/>
      <c r="I42" s="59"/>
      <c r="J42" s="59"/>
      <c r="K42" s="59"/>
      <c r="L42" s="59"/>
      <c r="M42" s="59"/>
    </row>
    <row r="43" spans="3:13" ht="20.100000000000001" customHeight="1" thickBot="1" x14ac:dyDescent="0.25">
      <c r="C43" s="270" t="s">
        <v>17</v>
      </c>
      <c r="D43" s="271"/>
      <c r="E43" s="271"/>
      <c r="F43" s="271"/>
      <c r="G43" s="271"/>
      <c r="H43" s="271"/>
      <c r="I43" s="271"/>
      <c r="J43" s="271"/>
      <c r="K43" s="271"/>
      <c r="L43" s="271"/>
      <c r="M43" s="272"/>
    </row>
    <row r="44" spans="3:13" ht="5.25" customHeight="1" thickBo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0"/>
    </row>
    <row r="45" spans="3:13" ht="24.75" customHeight="1" x14ac:dyDescent="0.2">
      <c r="C45" s="279" t="s">
        <v>7</v>
      </c>
      <c r="D45" s="282"/>
      <c r="E45" s="26" t="s">
        <v>8</v>
      </c>
      <c r="F45" s="61">
        <v>6.8309708233828266</v>
      </c>
      <c r="G45" s="62">
        <v>-8.8227989551922015E-2</v>
      </c>
      <c r="H45" s="25"/>
      <c r="I45" s="279" t="s">
        <v>7</v>
      </c>
      <c r="J45" s="26" t="s">
        <v>8</v>
      </c>
      <c r="K45" s="61">
        <v>7.242760555730233</v>
      </c>
      <c r="L45" s="63">
        <v>-9.7762165021306302E-2</v>
      </c>
      <c r="M45" s="281" t="s">
        <v>9</v>
      </c>
    </row>
    <row r="46" spans="3:13" ht="24.75" customHeight="1" x14ac:dyDescent="0.2">
      <c r="C46" s="275"/>
      <c r="D46" s="276"/>
      <c r="E46" s="29" t="s">
        <v>10</v>
      </c>
      <c r="F46" s="64">
        <v>6.5771658562803896</v>
      </c>
      <c r="G46" s="65">
        <v>-0.19484035972582614</v>
      </c>
      <c r="H46" s="32"/>
      <c r="I46" s="275"/>
      <c r="J46" s="29" t="s">
        <v>10</v>
      </c>
      <c r="K46" s="64">
        <v>6.8192825698048258</v>
      </c>
      <c r="L46" s="66">
        <v>-0.15185942146141063</v>
      </c>
      <c r="M46" s="281"/>
    </row>
    <row r="47" spans="3:13" ht="24.75" customHeight="1" thickBot="1" x14ac:dyDescent="0.25">
      <c r="C47" s="280"/>
      <c r="D47" s="283"/>
      <c r="E47" s="35" t="s">
        <v>11</v>
      </c>
      <c r="F47" s="67">
        <v>7.3337666679047651</v>
      </c>
      <c r="G47" s="68">
        <v>0.12957352328701077</v>
      </c>
      <c r="H47" s="32"/>
      <c r="I47" s="280"/>
      <c r="J47" s="35" t="s">
        <v>11</v>
      </c>
      <c r="K47" s="67">
        <v>8.1231335900689157</v>
      </c>
      <c r="L47" s="69">
        <v>1.5895154574803172E-3</v>
      </c>
      <c r="M47" s="281"/>
    </row>
    <row r="48" spans="3:13" ht="24.75" hidden="1" customHeight="1" x14ac:dyDescent="0.2">
      <c r="C48" s="251" t="s">
        <v>12</v>
      </c>
      <c r="D48" s="252"/>
      <c r="E48" s="38" t="s">
        <v>8</v>
      </c>
      <c r="F48" s="70">
        <v>2.0278545249506625</v>
      </c>
      <c r="G48" s="62">
        <v>-4.2580852300306393E-2</v>
      </c>
      <c r="H48" s="41"/>
      <c r="I48" s="251" t="s">
        <v>12</v>
      </c>
      <c r="J48" s="38" t="s">
        <v>8</v>
      </c>
      <c r="K48" s="70">
        <v>2.2345736724008973</v>
      </c>
      <c r="L48" s="63">
        <v>-0.10162929933040532</v>
      </c>
      <c r="M48" s="281"/>
    </row>
    <row r="49" spans="2:13" ht="50.25" customHeight="1" thickBot="1" x14ac:dyDescent="0.25">
      <c r="C49" s="253"/>
      <c r="D49" s="254"/>
      <c r="E49" s="42" t="s">
        <v>10</v>
      </c>
      <c r="F49" s="71">
        <v>2.0278545249506625</v>
      </c>
      <c r="G49" s="65">
        <v>-4.2580852300306393E-2</v>
      </c>
      <c r="H49" s="41"/>
      <c r="I49" s="253"/>
      <c r="J49" s="42" t="s">
        <v>10</v>
      </c>
      <c r="K49" s="71">
        <v>2.2345736724008973</v>
      </c>
      <c r="L49" s="66">
        <v>-0.10162929933040532</v>
      </c>
      <c r="M49" s="281"/>
    </row>
    <row r="50" spans="2:13" ht="24.75" hidden="1" customHeight="1" x14ac:dyDescent="0.2">
      <c r="C50" s="255"/>
      <c r="D50" s="256"/>
      <c r="E50" s="44" t="s">
        <v>11</v>
      </c>
      <c r="F50" s="72" t="s">
        <v>38</v>
      </c>
      <c r="G50" s="68" t="s">
        <v>38</v>
      </c>
      <c r="H50" s="41"/>
      <c r="I50" s="255"/>
      <c r="J50" s="44" t="s">
        <v>11</v>
      </c>
      <c r="K50" s="72" t="e">
        <v>#DIV/0!</v>
      </c>
      <c r="L50" s="69" t="s">
        <v>38</v>
      </c>
      <c r="M50" s="281"/>
    </row>
    <row r="51" spans="2:13" ht="24.75" customHeight="1" x14ac:dyDescent="0.2">
      <c r="C51" s="245" t="s">
        <v>13</v>
      </c>
      <c r="D51" s="246"/>
      <c r="E51" s="47" t="s">
        <v>8</v>
      </c>
      <c r="F51" s="73">
        <v>2.8701633705932932</v>
      </c>
      <c r="G51" s="62">
        <v>-0.54555140960746851</v>
      </c>
      <c r="H51" s="41"/>
      <c r="I51" s="245" t="s">
        <v>13</v>
      </c>
      <c r="J51" s="47" t="s">
        <v>8</v>
      </c>
      <c r="K51" s="73">
        <v>3.480521430931427</v>
      </c>
      <c r="L51" s="63">
        <v>-0.54220383992209165</v>
      </c>
      <c r="M51" s="281"/>
    </row>
    <row r="52" spans="2:13" ht="24.75" customHeight="1" x14ac:dyDescent="0.2">
      <c r="C52" s="247"/>
      <c r="D52" s="248"/>
      <c r="E52" s="49" t="s">
        <v>10</v>
      </c>
      <c r="F52" s="74">
        <v>2.4703806402823294</v>
      </c>
      <c r="G52" s="65">
        <v>-0.76557912501523973</v>
      </c>
      <c r="H52" s="41"/>
      <c r="I52" s="247"/>
      <c r="J52" s="49" t="s">
        <v>10</v>
      </c>
      <c r="K52" s="74">
        <v>2.7240351661451347</v>
      </c>
      <c r="L52" s="66">
        <v>-0.60309418968486472</v>
      </c>
      <c r="M52" s="281"/>
    </row>
    <row r="53" spans="2:13" ht="24.75" customHeight="1" thickBot="1" x14ac:dyDescent="0.25">
      <c r="C53" s="249"/>
      <c r="D53" s="250"/>
      <c r="E53" s="51" t="s">
        <v>11</v>
      </c>
      <c r="F53" s="75">
        <v>5.185401459854015</v>
      </c>
      <c r="G53" s="68">
        <v>0.91701179782618158</v>
      </c>
      <c r="H53" s="41"/>
      <c r="I53" s="249"/>
      <c r="J53" s="51" t="s">
        <v>11</v>
      </c>
      <c r="K53" s="75">
        <v>6.6293999069623197</v>
      </c>
      <c r="L53" s="69">
        <v>0.4090298758210853</v>
      </c>
      <c r="M53" s="281"/>
    </row>
    <row r="54" spans="2:13" ht="24.75" customHeight="1" x14ac:dyDescent="0.2">
      <c r="C54" s="251" t="s">
        <v>14</v>
      </c>
      <c r="D54" s="252"/>
      <c r="E54" s="38" t="s">
        <v>8</v>
      </c>
      <c r="F54" s="70">
        <v>6.6854487608841255</v>
      </c>
      <c r="G54" s="62">
        <v>0.57616904594393681</v>
      </c>
      <c r="H54" s="41"/>
      <c r="I54" s="251" t="s">
        <v>14</v>
      </c>
      <c r="J54" s="38" t="s">
        <v>8</v>
      </c>
      <c r="K54" s="70">
        <v>7.2066995909408362</v>
      </c>
      <c r="L54" s="63">
        <v>0.25801874762592636</v>
      </c>
      <c r="M54" s="281"/>
    </row>
    <row r="55" spans="2:13" ht="24.75" customHeight="1" x14ac:dyDescent="0.2">
      <c r="C55" s="253"/>
      <c r="D55" s="254"/>
      <c r="E55" s="42" t="s">
        <v>10</v>
      </c>
      <c r="F55" s="71">
        <v>6.6535923699795729</v>
      </c>
      <c r="G55" s="65">
        <v>0.47537200560652604</v>
      </c>
      <c r="H55" s="41"/>
      <c r="I55" s="253"/>
      <c r="J55" s="42" t="s">
        <v>10</v>
      </c>
      <c r="K55" s="71">
        <v>6.8619200682095771</v>
      </c>
      <c r="L55" s="66">
        <v>8.4150702885712469E-2</v>
      </c>
      <c r="M55" s="281"/>
    </row>
    <row r="56" spans="2:13" ht="24.75" customHeight="1" thickBot="1" x14ac:dyDescent="0.25">
      <c r="C56" s="255"/>
      <c r="D56" s="256"/>
      <c r="E56" s="44" t="s">
        <v>11</v>
      </c>
      <c r="F56" s="72">
        <v>6.7642610434466457</v>
      </c>
      <c r="G56" s="68">
        <v>0.82675215676955194</v>
      </c>
      <c r="H56" s="41"/>
      <c r="I56" s="255"/>
      <c r="J56" s="44" t="s">
        <v>11</v>
      </c>
      <c r="K56" s="72">
        <v>8.1561525442039677</v>
      </c>
      <c r="L56" s="69">
        <v>0.71589152641480958</v>
      </c>
      <c r="M56" s="281"/>
    </row>
    <row r="57" spans="2:13" ht="24.75" customHeight="1" x14ac:dyDescent="0.2">
      <c r="C57" s="257" t="s">
        <v>15</v>
      </c>
      <c r="D57" s="258"/>
      <c r="E57" s="53" t="s">
        <v>8</v>
      </c>
      <c r="F57" s="76">
        <v>7.1541565024160434</v>
      </c>
      <c r="G57" s="62">
        <v>-0.23831338362754639</v>
      </c>
      <c r="H57" s="41"/>
      <c r="I57" s="257" t="s">
        <v>15</v>
      </c>
      <c r="J57" s="53" t="s">
        <v>8</v>
      </c>
      <c r="K57" s="76">
        <v>7.5949433779940936</v>
      </c>
      <c r="L57" s="63">
        <v>-0.1620911464770094</v>
      </c>
      <c r="M57" s="281"/>
    </row>
    <row r="58" spans="2:13" ht="24.75" customHeight="1" x14ac:dyDescent="0.2">
      <c r="C58" s="259"/>
      <c r="D58" s="260"/>
      <c r="E58" s="55" t="s">
        <v>10</v>
      </c>
      <c r="F58" s="77">
        <v>6.9757234119246254</v>
      </c>
      <c r="G58" s="65">
        <v>-0.36834687889674278</v>
      </c>
      <c r="H58" s="41"/>
      <c r="I58" s="259"/>
      <c r="J58" s="55" t="s">
        <v>10</v>
      </c>
      <c r="K58" s="77">
        <v>7.2942342464006238</v>
      </c>
      <c r="L58" s="66">
        <v>-0.18752405558889329</v>
      </c>
      <c r="M58" s="281"/>
    </row>
    <row r="59" spans="2:13" ht="24.75" customHeight="1" thickBot="1" x14ac:dyDescent="0.25">
      <c r="C59" s="284"/>
      <c r="D59" s="285"/>
      <c r="E59" s="78" t="s">
        <v>11</v>
      </c>
      <c r="F59" s="79">
        <v>7.4622716501184874</v>
      </c>
      <c r="G59" s="80">
        <v>-1.1739735577414478E-2</v>
      </c>
      <c r="H59" s="81"/>
      <c r="I59" s="284"/>
      <c r="J59" s="78" t="s">
        <v>11</v>
      </c>
      <c r="K59" s="79">
        <v>8.1298715684979133</v>
      </c>
      <c r="L59" s="82">
        <v>-0.12589946983760569</v>
      </c>
      <c r="M59" s="290"/>
    </row>
    <row r="60" spans="2:13" ht="13.5" thickBot="1" x14ac:dyDescent="0.25">
      <c r="C60" s="286" t="s">
        <v>94</v>
      </c>
      <c r="D60" s="287"/>
      <c r="E60" s="287"/>
      <c r="F60" s="287"/>
      <c r="G60" s="287"/>
      <c r="H60" s="287"/>
      <c r="I60" s="287"/>
      <c r="J60" s="287"/>
      <c r="K60" s="287"/>
      <c r="L60" s="287"/>
      <c r="M60" s="288"/>
    </row>
    <row r="61" spans="2:13" ht="50.25" customHeight="1" thickBot="1" x14ac:dyDescent="0.25">
      <c r="C61" s="83"/>
      <c r="D61" s="83"/>
      <c r="E61" s="289" t="s">
        <v>92</v>
      </c>
      <c r="F61" s="289"/>
      <c r="G61" s="289"/>
      <c r="H61" s="289"/>
      <c r="I61" s="289"/>
      <c r="J61" s="289"/>
      <c r="K61" s="289"/>
      <c r="L61" s="83"/>
      <c r="M61" s="83"/>
    </row>
    <row r="62" spans="2:13" ht="15" customHeight="1" x14ac:dyDescent="0.2">
      <c r="B62" s="4"/>
      <c r="C62" s="264" t="s">
        <v>93</v>
      </c>
      <c r="D62" s="264"/>
      <c r="E62" s="264"/>
      <c r="F62" s="264"/>
      <c r="G62" s="264"/>
      <c r="H62" s="5"/>
      <c r="I62" s="266" t="str">
        <f>I2</f>
        <v>I semestre 2018</v>
      </c>
      <c r="J62" s="266"/>
      <c r="K62" s="266"/>
      <c r="L62" s="266"/>
      <c r="M62" s="266"/>
    </row>
    <row r="63" spans="2:13" ht="16.5" customHeight="1" thickBot="1" x14ac:dyDescent="0.25">
      <c r="B63" s="4"/>
      <c r="C63" s="265"/>
      <c r="D63" s="265"/>
      <c r="E63" s="265"/>
      <c r="F63" s="265"/>
      <c r="G63" s="265"/>
      <c r="H63" s="6"/>
      <c r="I63" s="267"/>
      <c r="J63" s="267"/>
      <c r="K63" s="267"/>
      <c r="L63" s="267"/>
      <c r="M63" s="267"/>
    </row>
    <row r="64" spans="2:13" ht="81.75" customHeight="1" x14ac:dyDescent="0.2">
      <c r="C64" s="268" t="str">
        <f t="shared" ref="C64:G64" si="0">C5</f>
        <v>Ámbito</v>
      </c>
      <c r="D64" s="269">
        <f t="shared" si="0"/>
        <v>0</v>
      </c>
      <c r="E64" s="15" t="str">
        <f t="shared" si="0"/>
        <v>Variable</v>
      </c>
      <c r="F64" s="15" t="str">
        <f t="shared" si="0"/>
        <v>Valor absoluto
mensual</v>
      </c>
      <c r="G64" s="15" t="str">
        <f t="shared" si="0"/>
        <v>Variación respecto al período anterior</v>
      </c>
      <c r="H64" s="17"/>
      <c r="I64" s="15" t="str">
        <f>I5</f>
        <v>Ámbito</v>
      </c>
      <c r="J64" s="15" t="str">
        <f t="shared" ref="J64:M64" si="1">J5</f>
        <v>Variable</v>
      </c>
      <c r="K64" s="15" t="str">
        <f t="shared" si="1"/>
        <v>Valor absoluto
acumulado</v>
      </c>
      <c r="L64" s="15" t="str">
        <f t="shared" si="1"/>
        <v>Variación respecto al período anterior</v>
      </c>
      <c r="M64" s="16" t="str">
        <f t="shared" si="1"/>
        <v>Fuente</v>
      </c>
    </row>
    <row r="65" spans="3:13" ht="5.25" customHeight="1" thickBot="1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3:13" ht="20.100000000000001" customHeight="1" thickBot="1" x14ac:dyDescent="0.25">
      <c r="C66" s="270" t="s">
        <v>18</v>
      </c>
      <c r="D66" s="271"/>
      <c r="E66" s="271"/>
      <c r="F66" s="271"/>
      <c r="G66" s="271"/>
      <c r="H66" s="271"/>
      <c r="I66" s="271"/>
      <c r="J66" s="271"/>
      <c r="K66" s="271"/>
      <c r="L66" s="271"/>
      <c r="M66" s="272"/>
    </row>
    <row r="67" spans="3:13" ht="5.25" customHeight="1" thickBo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60"/>
    </row>
    <row r="68" spans="3:13" ht="24.75" customHeight="1" x14ac:dyDescent="0.2">
      <c r="C68" s="279" t="s">
        <v>7</v>
      </c>
      <c r="D68" s="282"/>
      <c r="E68" s="26" t="s">
        <v>8</v>
      </c>
      <c r="F68" s="84">
        <v>0.66709944067913474</v>
      </c>
      <c r="G68" s="40">
        <v>-5.7046358854456969E-2</v>
      </c>
      <c r="H68" s="25"/>
      <c r="I68" s="279" t="s">
        <v>7</v>
      </c>
      <c r="J68" s="26" t="s">
        <v>8</v>
      </c>
      <c r="K68" s="84">
        <v>0.67053677472112327</v>
      </c>
      <c r="L68" s="28">
        <v>-5.3144859209677042E-2</v>
      </c>
      <c r="M68" s="281" t="s">
        <v>9</v>
      </c>
    </row>
    <row r="69" spans="3:13" ht="24.75" customHeight="1" x14ac:dyDescent="0.2">
      <c r="C69" s="275"/>
      <c r="D69" s="276"/>
      <c r="E69" s="29" t="s">
        <v>10</v>
      </c>
      <c r="F69" s="85">
        <v>0.74214126540859215</v>
      </c>
      <c r="G69" s="31">
        <v>-5.19812264015026E-2</v>
      </c>
      <c r="H69" s="32"/>
      <c r="I69" s="275"/>
      <c r="J69" s="29" t="s">
        <v>10</v>
      </c>
      <c r="K69" s="85">
        <v>0.74115780150050703</v>
      </c>
      <c r="L69" s="33">
        <v>-5.3243795590840581E-2</v>
      </c>
      <c r="M69" s="281"/>
    </row>
    <row r="70" spans="3:13" ht="24.75" customHeight="1" thickBot="1" x14ac:dyDescent="0.25">
      <c r="C70" s="280"/>
      <c r="D70" s="283"/>
      <c r="E70" s="35" t="s">
        <v>11</v>
      </c>
      <c r="F70" s="86">
        <v>0.56550766146355436</v>
      </c>
      <c r="G70" s="46">
        <v>-6.0563952129985221E-2</v>
      </c>
      <c r="H70" s="32"/>
      <c r="I70" s="280"/>
      <c r="J70" s="35" t="s">
        <v>11</v>
      </c>
      <c r="K70" s="86">
        <v>0.57492988101332121</v>
      </c>
      <c r="L70" s="37">
        <v>-4.761517147121197E-2</v>
      </c>
      <c r="M70" s="281"/>
    </row>
    <row r="71" spans="3:13" ht="24.75" hidden="1" customHeight="1" x14ac:dyDescent="0.2">
      <c r="C71" s="251" t="s">
        <v>12</v>
      </c>
      <c r="D71" s="252"/>
      <c r="E71" s="38" t="s">
        <v>8</v>
      </c>
      <c r="F71" s="87">
        <v>0.37137546468401489</v>
      </c>
      <c r="G71" s="40">
        <v>-0.11715020134431453</v>
      </c>
      <c r="H71" s="41"/>
      <c r="I71" s="251" t="s">
        <v>12</v>
      </c>
      <c r="J71" s="38" t="s">
        <v>8</v>
      </c>
      <c r="K71" s="87">
        <v>0.44998356918400462</v>
      </c>
      <c r="L71" s="28">
        <v>-0.16915231493235683</v>
      </c>
      <c r="M71" s="281"/>
    </row>
    <row r="72" spans="3:13" ht="43.5" customHeight="1" thickBot="1" x14ac:dyDescent="0.25">
      <c r="C72" s="253"/>
      <c r="D72" s="254"/>
      <c r="E72" s="42" t="s">
        <v>10</v>
      </c>
      <c r="F72" s="88">
        <v>0.47252660622782816</v>
      </c>
      <c r="G72" s="31">
        <v>-1.012881206649785E-2</v>
      </c>
      <c r="H72" s="41"/>
      <c r="I72" s="253"/>
      <c r="J72" s="42" t="s">
        <v>10</v>
      </c>
      <c r="K72" s="88">
        <v>0.57254511680172127</v>
      </c>
      <c r="L72" s="33">
        <v>-6.8434759500398679E-2</v>
      </c>
      <c r="M72" s="281"/>
    </row>
    <row r="73" spans="3:13" ht="24.75" hidden="1" customHeight="1" x14ac:dyDescent="0.2">
      <c r="C73" s="255"/>
      <c r="D73" s="256"/>
      <c r="E73" s="44" t="s">
        <v>11</v>
      </c>
      <c r="F73" s="89">
        <v>0</v>
      </c>
      <c r="G73" s="46" t="s">
        <v>38</v>
      </c>
      <c r="H73" s="41"/>
      <c r="I73" s="255"/>
      <c r="J73" s="44" t="s">
        <v>11</v>
      </c>
      <c r="K73" s="89">
        <v>0</v>
      </c>
      <c r="L73" s="37" t="s">
        <v>38</v>
      </c>
      <c r="M73" s="281"/>
    </row>
    <row r="74" spans="3:13" ht="24.75" customHeight="1" x14ac:dyDescent="0.2">
      <c r="C74" s="245" t="s">
        <v>13</v>
      </c>
      <c r="D74" s="246"/>
      <c r="E74" s="47" t="s">
        <v>8</v>
      </c>
      <c r="F74" s="90">
        <v>0.28330150647146191</v>
      </c>
      <c r="G74" s="40">
        <v>-6.8102259823302203E-2</v>
      </c>
      <c r="H74" s="41"/>
      <c r="I74" s="245" t="s">
        <v>13</v>
      </c>
      <c r="J74" s="47" t="s">
        <v>8</v>
      </c>
      <c r="K74" s="90">
        <v>0.4075139528259088</v>
      </c>
      <c r="L74" s="28">
        <v>-0.12624975312752762</v>
      </c>
      <c r="M74" s="281"/>
    </row>
    <row r="75" spans="3:13" ht="24.75" customHeight="1" x14ac:dyDescent="0.2">
      <c r="C75" s="247"/>
      <c r="D75" s="248"/>
      <c r="E75" s="49" t="s">
        <v>10</v>
      </c>
      <c r="F75" s="91">
        <v>0.3964401294498382</v>
      </c>
      <c r="G75" s="31">
        <v>-0.10966560747828069</v>
      </c>
      <c r="H75" s="41"/>
      <c r="I75" s="247"/>
      <c r="J75" s="49" t="s">
        <v>10</v>
      </c>
      <c r="K75" s="91">
        <v>0.49029126213592233</v>
      </c>
      <c r="L75" s="33">
        <v>-0.10612391715079517</v>
      </c>
      <c r="M75" s="281"/>
    </row>
    <row r="76" spans="3:13" ht="24.75" customHeight="1" thickBot="1" x14ac:dyDescent="0.25">
      <c r="C76" s="249"/>
      <c r="D76" s="250"/>
      <c r="E76" s="51" t="s">
        <v>11</v>
      </c>
      <c r="F76" s="92">
        <v>0.15850066934404283</v>
      </c>
      <c r="G76" s="46">
        <v>0.11622269235301697</v>
      </c>
      <c r="H76" s="41"/>
      <c r="I76" s="249"/>
      <c r="J76" s="51" t="s">
        <v>11</v>
      </c>
      <c r="K76" s="92">
        <v>0.31620404269009739</v>
      </c>
      <c r="L76" s="37">
        <v>-0.15053162557465494</v>
      </c>
      <c r="M76" s="281"/>
    </row>
    <row r="77" spans="3:13" ht="24.75" customHeight="1" x14ac:dyDescent="0.2">
      <c r="C77" s="251" t="s">
        <v>14</v>
      </c>
      <c r="D77" s="252"/>
      <c r="E77" s="38" t="s">
        <v>8</v>
      </c>
      <c r="F77" s="87">
        <v>0.72159680097597345</v>
      </c>
      <c r="G77" s="40">
        <v>8.5428922393508966E-3</v>
      </c>
      <c r="H77" s="41"/>
      <c r="I77" s="251" t="s">
        <v>14</v>
      </c>
      <c r="J77" s="38" t="s">
        <v>8</v>
      </c>
      <c r="K77" s="87">
        <v>0.70324139334586377</v>
      </c>
      <c r="L77" s="28">
        <v>-7.907056169582205E-3</v>
      </c>
      <c r="M77" s="281"/>
    </row>
    <row r="78" spans="3:13" ht="24.75" customHeight="1" x14ac:dyDescent="0.2">
      <c r="C78" s="253"/>
      <c r="D78" s="254"/>
      <c r="E78" s="42" t="s">
        <v>10</v>
      </c>
      <c r="F78" s="88">
        <v>0.76542577471217732</v>
      </c>
      <c r="G78" s="31">
        <v>1.8199218983250942E-2</v>
      </c>
      <c r="H78" s="41"/>
      <c r="I78" s="253"/>
      <c r="J78" s="42" t="s">
        <v>10</v>
      </c>
      <c r="K78" s="88">
        <v>0.73517118049124397</v>
      </c>
      <c r="L78" s="33">
        <v>-1.5776031403195834E-2</v>
      </c>
      <c r="M78" s="281"/>
    </row>
    <row r="79" spans="3:13" ht="24.75" customHeight="1" thickBot="1" x14ac:dyDescent="0.25">
      <c r="C79" s="255"/>
      <c r="D79" s="256"/>
      <c r="E79" s="44" t="s">
        <v>11</v>
      </c>
      <c r="F79" s="89">
        <v>0.63334354575163399</v>
      </c>
      <c r="G79" s="46">
        <v>-4.1088503438422297E-3</v>
      </c>
      <c r="H79" s="41"/>
      <c r="I79" s="255"/>
      <c r="J79" s="44" t="s">
        <v>11</v>
      </c>
      <c r="K79" s="89">
        <v>0.63894813219947277</v>
      </c>
      <c r="L79" s="37">
        <v>2.1886113752002556E-2</v>
      </c>
      <c r="M79" s="281"/>
    </row>
    <row r="80" spans="3:13" ht="24.75" customHeight="1" x14ac:dyDescent="0.2">
      <c r="C80" s="257" t="s">
        <v>15</v>
      </c>
      <c r="D80" s="258"/>
      <c r="E80" s="53" t="s">
        <v>8</v>
      </c>
      <c r="F80" s="93">
        <v>0.66671023697119747</v>
      </c>
      <c r="G80" s="40">
        <v>-6.8345169528436611E-2</v>
      </c>
      <c r="H80" s="41"/>
      <c r="I80" s="257" t="s">
        <v>15</v>
      </c>
      <c r="J80" s="53" t="s">
        <v>8</v>
      </c>
      <c r="K80" s="93">
        <v>0.67176756413564398</v>
      </c>
      <c r="L80" s="28">
        <v>-5.8955873239998291E-2</v>
      </c>
      <c r="M80" s="281"/>
    </row>
    <row r="81" spans="3:13" ht="24.75" customHeight="1" x14ac:dyDescent="0.2">
      <c r="C81" s="259"/>
      <c r="D81" s="260"/>
      <c r="E81" s="55" t="s">
        <v>10</v>
      </c>
      <c r="F81" s="94">
        <v>0.74927509865935238</v>
      </c>
      <c r="G81" s="31">
        <v>-6.9309267418953602E-2</v>
      </c>
      <c r="H81" s="41"/>
      <c r="I81" s="259"/>
      <c r="J81" s="55" t="s">
        <v>10</v>
      </c>
      <c r="K81" s="94">
        <v>0.75168877936102485</v>
      </c>
      <c r="L81" s="33">
        <v>-6.1090735529786722E-2</v>
      </c>
      <c r="M81" s="281"/>
    </row>
    <row r="82" spans="3:13" ht="24.75" customHeight="1" thickBot="1" x14ac:dyDescent="0.25">
      <c r="C82" s="261"/>
      <c r="D82" s="262"/>
      <c r="E82" s="57" t="s">
        <v>11</v>
      </c>
      <c r="F82" s="95">
        <v>0.56602901023890784</v>
      </c>
      <c r="G82" s="46">
        <v>-6.3542375133034512E-2</v>
      </c>
      <c r="H82" s="41"/>
      <c r="I82" s="261"/>
      <c r="J82" s="57" t="s">
        <v>11</v>
      </c>
      <c r="K82" s="95">
        <v>0.57431005223162934</v>
      </c>
      <c r="L82" s="37">
        <v>-5.235475098736575E-2</v>
      </c>
      <c r="M82" s="281"/>
    </row>
    <row r="83" spans="3:13" ht="5.25" customHeight="1" thickBo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3:13" ht="20.100000000000001" customHeight="1" thickBot="1" x14ac:dyDescent="0.25">
      <c r="C84" s="270" t="s">
        <v>19</v>
      </c>
      <c r="D84" s="271"/>
      <c r="E84" s="271"/>
      <c r="F84" s="271"/>
      <c r="G84" s="271"/>
      <c r="H84" s="271"/>
      <c r="I84" s="271"/>
      <c r="J84" s="271"/>
      <c r="K84" s="271"/>
      <c r="L84" s="271"/>
      <c r="M84" s="272"/>
    </row>
    <row r="85" spans="3:13" ht="5.25" customHeight="1" thickBot="1" x14ac:dyDescent="0.25">
      <c r="C85" s="96"/>
      <c r="D85" s="20"/>
      <c r="E85" s="20"/>
      <c r="F85" s="20"/>
      <c r="G85" s="20"/>
      <c r="H85" s="20"/>
      <c r="I85" s="20"/>
      <c r="J85" s="20"/>
      <c r="K85" s="20"/>
      <c r="L85" s="20"/>
      <c r="M85" s="60"/>
    </row>
    <row r="86" spans="3:13" ht="33.75" customHeight="1" x14ac:dyDescent="0.2">
      <c r="C86" s="251" t="s">
        <v>7</v>
      </c>
      <c r="D86" s="252"/>
      <c r="E86" s="38" t="s">
        <v>20</v>
      </c>
      <c r="F86" s="39">
        <v>49967</v>
      </c>
      <c r="G86" s="40">
        <v>4.8317388385364257E-2</v>
      </c>
      <c r="H86" s="97"/>
      <c r="I86" s="251" t="s">
        <v>7</v>
      </c>
      <c r="J86" s="38" t="s">
        <v>20</v>
      </c>
      <c r="K86" s="39">
        <v>309202</v>
      </c>
      <c r="L86" s="28">
        <v>2.0222850600350339E-2</v>
      </c>
      <c r="M86" s="281" t="s">
        <v>9</v>
      </c>
    </row>
    <row r="87" spans="3:13" ht="33.75" customHeight="1" x14ac:dyDescent="0.2">
      <c r="C87" s="253"/>
      <c r="D87" s="254"/>
      <c r="E87" s="55" t="s">
        <v>21</v>
      </c>
      <c r="F87" s="56">
        <v>194690</v>
      </c>
      <c r="G87" s="31">
        <v>-5.7299859048475232E-3</v>
      </c>
      <c r="H87" s="41"/>
      <c r="I87" s="253"/>
      <c r="J87" s="55" t="s">
        <v>21</v>
      </c>
      <c r="K87" s="56">
        <v>1106351</v>
      </c>
      <c r="L87" s="33">
        <v>-3.5961179996546466E-4</v>
      </c>
      <c r="M87" s="281"/>
    </row>
    <row r="88" spans="3:13" ht="33.75" customHeight="1" x14ac:dyDescent="0.2">
      <c r="C88" s="253"/>
      <c r="D88" s="254"/>
      <c r="E88" s="42" t="s">
        <v>22</v>
      </c>
      <c r="F88" s="43">
        <v>57592</v>
      </c>
      <c r="G88" s="31">
        <v>-5.1718176279782035E-2</v>
      </c>
      <c r="H88" s="41"/>
      <c r="I88" s="253"/>
      <c r="J88" s="42" t="s">
        <v>22</v>
      </c>
      <c r="K88" s="43">
        <v>331662</v>
      </c>
      <c r="L88" s="33">
        <v>-5.6518647057150151E-2</v>
      </c>
      <c r="M88" s="281"/>
    </row>
    <row r="89" spans="3:13" ht="33.75" customHeight="1" x14ac:dyDescent="0.2">
      <c r="C89" s="253"/>
      <c r="D89" s="254"/>
      <c r="E89" s="55" t="s">
        <v>23</v>
      </c>
      <c r="F89" s="56">
        <v>13536</v>
      </c>
      <c r="G89" s="31">
        <v>1.1834319526626835E-3</v>
      </c>
      <c r="H89" s="41"/>
      <c r="I89" s="253"/>
      <c r="J89" s="55" t="s">
        <v>23</v>
      </c>
      <c r="K89" s="56">
        <v>84515</v>
      </c>
      <c r="L89" s="33">
        <v>-0.12226861083416418</v>
      </c>
      <c r="M89" s="281"/>
    </row>
    <row r="90" spans="3:13" ht="33.75" customHeight="1" thickBot="1" x14ac:dyDescent="0.25">
      <c r="C90" s="255"/>
      <c r="D90" s="256"/>
      <c r="E90" s="44" t="s">
        <v>24</v>
      </c>
      <c r="F90" s="45">
        <v>4227</v>
      </c>
      <c r="G90" s="46">
        <v>5.123103705545895E-2</v>
      </c>
      <c r="H90" s="98"/>
      <c r="I90" s="255"/>
      <c r="J90" s="44" t="s">
        <v>24</v>
      </c>
      <c r="K90" s="45">
        <v>27991</v>
      </c>
      <c r="L90" s="37">
        <v>-5.4716645940664499E-3</v>
      </c>
      <c r="M90" s="281"/>
    </row>
    <row r="91" spans="3:13" ht="5.25" customHeight="1" thickBot="1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3:13" ht="20.100000000000001" customHeight="1" thickBot="1" x14ac:dyDescent="0.25">
      <c r="C92" s="270" t="s">
        <v>25</v>
      </c>
      <c r="D92" s="271"/>
      <c r="E92" s="271"/>
      <c r="F92" s="271"/>
      <c r="G92" s="271"/>
      <c r="H92" s="271"/>
      <c r="I92" s="271"/>
      <c r="J92" s="271"/>
      <c r="K92" s="271"/>
      <c r="L92" s="271"/>
      <c r="M92" s="272"/>
    </row>
    <row r="93" spans="3:13" ht="5.25" customHeight="1" thickBot="1" x14ac:dyDescent="0.25">
      <c r="C93" s="96"/>
      <c r="D93" s="20"/>
      <c r="E93" s="20"/>
      <c r="F93" s="20"/>
      <c r="G93" s="20"/>
      <c r="H93" s="20"/>
      <c r="I93" s="20"/>
      <c r="J93" s="20"/>
      <c r="K93" s="20"/>
      <c r="L93" s="20"/>
      <c r="M93" s="60"/>
    </row>
    <row r="94" spans="3:13" s="99" customFormat="1" ht="33.75" customHeight="1" x14ac:dyDescent="0.2">
      <c r="C94" s="251" t="s">
        <v>7</v>
      </c>
      <c r="D94" s="252"/>
      <c r="E94" s="38" t="s">
        <v>20</v>
      </c>
      <c r="F94" s="39">
        <v>297840</v>
      </c>
      <c r="G94" s="40">
        <v>-3.5048500281865347E-2</v>
      </c>
      <c r="H94" s="97"/>
      <c r="I94" s="251" t="s">
        <v>7</v>
      </c>
      <c r="J94" s="38" t="s">
        <v>20</v>
      </c>
      <c r="K94" s="39">
        <v>2001356</v>
      </c>
      <c r="L94" s="28">
        <v>-2.9854891914229409E-2</v>
      </c>
      <c r="M94" s="281" t="s">
        <v>9</v>
      </c>
    </row>
    <row r="95" spans="3:13" s="99" customFormat="1" ht="33.75" customHeight="1" x14ac:dyDescent="0.2">
      <c r="C95" s="253"/>
      <c r="D95" s="254"/>
      <c r="E95" s="55" t="s">
        <v>21</v>
      </c>
      <c r="F95" s="56">
        <v>1375913</v>
      </c>
      <c r="G95" s="31">
        <v>-3.8239391480191398E-2</v>
      </c>
      <c r="H95" s="41"/>
      <c r="I95" s="253"/>
      <c r="J95" s="55" t="s">
        <v>21</v>
      </c>
      <c r="K95" s="56">
        <v>8050378</v>
      </c>
      <c r="L95" s="33">
        <v>-3.3618996549881652E-2</v>
      </c>
      <c r="M95" s="281" t="s">
        <v>26</v>
      </c>
    </row>
    <row r="96" spans="3:13" s="99" customFormat="1" ht="33.75" customHeight="1" x14ac:dyDescent="0.2">
      <c r="C96" s="253"/>
      <c r="D96" s="254"/>
      <c r="E96" s="42" t="s">
        <v>22</v>
      </c>
      <c r="F96" s="43">
        <v>366508</v>
      </c>
      <c r="G96" s="31">
        <v>-3.9335281705830671E-2</v>
      </c>
      <c r="H96" s="41"/>
      <c r="I96" s="253"/>
      <c r="J96" s="42" t="s">
        <v>22</v>
      </c>
      <c r="K96" s="43">
        <v>2204123</v>
      </c>
      <c r="L96" s="33">
        <v>-4.565159220941839E-2</v>
      </c>
      <c r="M96" s="281" t="s">
        <v>26</v>
      </c>
    </row>
    <row r="97" spans="3:15" s="99" customFormat="1" ht="33.75" customHeight="1" x14ac:dyDescent="0.2">
      <c r="C97" s="253"/>
      <c r="D97" s="254"/>
      <c r="E97" s="55" t="s">
        <v>23</v>
      </c>
      <c r="F97" s="56">
        <v>46991</v>
      </c>
      <c r="G97" s="31">
        <v>0.14208287762790128</v>
      </c>
      <c r="H97" s="41"/>
      <c r="I97" s="253"/>
      <c r="J97" s="55" t="s">
        <v>23</v>
      </c>
      <c r="K97" s="56">
        <v>311869</v>
      </c>
      <c r="L97" s="33">
        <v>-4.207428885605724E-2</v>
      </c>
      <c r="M97" s="281" t="s">
        <v>26</v>
      </c>
    </row>
    <row r="98" spans="3:15" s="99" customFormat="1" ht="33.75" customHeight="1" thickBot="1" x14ac:dyDescent="0.25">
      <c r="C98" s="255"/>
      <c r="D98" s="256"/>
      <c r="E98" s="44" t="s">
        <v>24</v>
      </c>
      <c r="F98" s="45">
        <v>17520</v>
      </c>
      <c r="G98" s="46">
        <v>3.3262561924982226E-2</v>
      </c>
      <c r="H98" s="98"/>
      <c r="I98" s="255"/>
      <c r="J98" s="44" t="s">
        <v>24</v>
      </c>
      <c r="K98" s="45">
        <v>114237</v>
      </c>
      <c r="L98" s="37">
        <v>-2.8316009730704472E-2</v>
      </c>
      <c r="M98" s="281" t="s">
        <v>26</v>
      </c>
    </row>
    <row r="99" spans="3:15" ht="5.25" customHeight="1" thickBot="1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3:15" ht="20.100000000000001" customHeight="1" thickBot="1" x14ac:dyDescent="0.25">
      <c r="C100" s="270" t="s">
        <v>27</v>
      </c>
      <c r="D100" s="271"/>
      <c r="E100" s="271"/>
      <c r="F100" s="271"/>
      <c r="G100" s="271"/>
      <c r="H100" s="271"/>
      <c r="I100" s="271"/>
      <c r="J100" s="271"/>
      <c r="K100" s="271"/>
      <c r="L100" s="271"/>
      <c r="M100" s="272"/>
    </row>
    <row r="101" spans="3:15" ht="5.25" customHeight="1" thickBot="1" x14ac:dyDescent="0.25">
      <c r="C101" s="96"/>
      <c r="D101" s="20"/>
      <c r="E101" s="20"/>
      <c r="F101" s="20"/>
      <c r="G101" s="20"/>
      <c r="H101" s="20"/>
      <c r="I101" s="20"/>
      <c r="J101" s="20"/>
      <c r="K101" s="20"/>
      <c r="L101" s="20"/>
      <c r="M101" s="60"/>
    </row>
    <row r="102" spans="3:15" ht="33.75" customHeight="1" x14ac:dyDescent="0.2">
      <c r="C102" s="251" t="s">
        <v>7</v>
      </c>
      <c r="D102" s="252"/>
      <c r="E102" s="38" t="s">
        <v>20</v>
      </c>
      <c r="F102" s="100">
        <v>5.9607340844957672</v>
      </c>
      <c r="G102" s="62">
        <v>-0.5149708500460255</v>
      </c>
      <c r="H102" s="97"/>
      <c r="I102" s="251" t="s">
        <v>7</v>
      </c>
      <c r="J102" s="38" t="s">
        <v>20</v>
      </c>
      <c r="K102" s="100">
        <v>6.4726489479369471</v>
      </c>
      <c r="L102" s="63">
        <v>-0.33411047965970475</v>
      </c>
      <c r="M102" s="281" t="s">
        <v>9</v>
      </c>
    </row>
    <row r="103" spans="3:15" ht="33.75" customHeight="1" x14ac:dyDescent="0.2">
      <c r="C103" s="253"/>
      <c r="D103" s="254"/>
      <c r="E103" s="49" t="s">
        <v>21</v>
      </c>
      <c r="F103" s="101">
        <v>7.067199137089732</v>
      </c>
      <c r="G103" s="65">
        <v>-0.23888527040316898</v>
      </c>
      <c r="H103" s="41"/>
      <c r="I103" s="253"/>
      <c r="J103" s="49" t="s">
        <v>21</v>
      </c>
      <c r="K103" s="101">
        <v>7.2765135115347661</v>
      </c>
      <c r="L103" s="66">
        <v>-0.25043162236641692</v>
      </c>
      <c r="M103" s="281" t="s">
        <v>26</v>
      </c>
    </row>
    <row r="104" spans="3:15" ht="33.75" customHeight="1" x14ac:dyDescent="0.2">
      <c r="C104" s="253"/>
      <c r="D104" s="254"/>
      <c r="E104" s="42" t="s">
        <v>22</v>
      </c>
      <c r="F104" s="102">
        <v>6.363869981941936</v>
      </c>
      <c r="G104" s="65">
        <v>8.2029796210949968E-2</v>
      </c>
      <c r="H104" s="41"/>
      <c r="I104" s="253"/>
      <c r="J104" s="42" t="s">
        <v>22</v>
      </c>
      <c r="K104" s="102">
        <v>6.6456904921275273</v>
      </c>
      <c r="L104" s="66">
        <v>7.5673708353738434E-2</v>
      </c>
      <c r="M104" s="281" t="s">
        <v>26</v>
      </c>
      <c r="O104" s="103"/>
    </row>
    <row r="105" spans="3:15" ht="33.75" customHeight="1" x14ac:dyDescent="0.2">
      <c r="C105" s="253"/>
      <c r="D105" s="254"/>
      <c r="E105" s="49" t="s">
        <v>23</v>
      </c>
      <c r="F105" s="101">
        <v>3.4715573286052011</v>
      </c>
      <c r="G105" s="65">
        <v>0.42828809783597022</v>
      </c>
      <c r="H105" s="41"/>
      <c r="I105" s="253"/>
      <c r="J105" s="49" t="s">
        <v>23</v>
      </c>
      <c r="K105" s="101">
        <v>3.6901023486954978</v>
      </c>
      <c r="L105" s="66">
        <v>0.30892297016442427</v>
      </c>
      <c r="M105" s="281" t="s">
        <v>26</v>
      </c>
    </row>
    <row r="106" spans="3:15" ht="33.75" customHeight="1" thickBot="1" x14ac:dyDescent="0.25">
      <c r="C106" s="255"/>
      <c r="D106" s="256"/>
      <c r="E106" s="44" t="s">
        <v>24</v>
      </c>
      <c r="F106" s="104">
        <v>4.1447835344215758</v>
      </c>
      <c r="G106" s="68">
        <v>-7.2077942822891039E-2</v>
      </c>
      <c r="H106" s="98"/>
      <c r="I106" s="255"/>
      <c r="J106" s="44" t="s">
        <v>24</v>
      </c>
      <c r="K106" s="104">
        <v>4.0812046729305846</v>
      </c>
      <c r="L106" s="69">
        <v>-9.5949350874709793E-2</v>
      </c>
      <c r="M106" s="281" t="s">
        <v>26</v>
      </c>
    </row>
    <row r="107" spans="3:15" ht="5.25" customHeight="1" thickBot="1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3:15" ht="20.100000000000001" customHeight="1" thickBot="1" x14ac:dyDescent="0.25">
      <c r="C108" s="270" t="s">
        <v>28</v>
      </c>
      <c r="D108" s="271"/>
      <c r="E108" s="271"/>
      <c r="F108" s="271"/>
      <c r="G108" s="271"/>
      <c r="H108" s="271"/>
      <c r="I108" s="271"/>
      <c r="J108" s="271"/>
      <c r="K108" s="271"/>
      <c r="L108" s="271"/>
      <c r="M108" s="272"/>
    </row>
    <row r="109" spans="3:15" ht="5.25" customHeight="1" thickBot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05"/>
    </row>
    <row r="110" spans="3:15" ht="33.75" customHeight="1" x14ac:dyDescent="0.2">
      <c r="C110" s="251" t="s">
        <v>7</v>
      </c>
      <c r="D110" s="252"/>
      <c r="E110" s="38" t="s">
        <v>20</v>
      </c>
      <c r="F110" s="87">
        <v>0.63710453699544378</v>
      </c>
      <c r="G110" s="40">
        <v>-7.2574047918982032E-2</v>
      </c>
      <c r="H110" s="97"/>
      <c r="I110" s="251" t="s">
        <v>7</v>
      </c>
      <c r="J110" s="38" t="s">
        <v>20</v>
      </c>
      <c r="K110" s="87">
        <v>0.70956911182784188</v>
      </c>
      <c r="L110" s="28">
        <v>-6.7582411358494077E-2</v>
      </c>
      <c r="M110" s="281" t="s">
        <v>9</v>
      </c>
    </row>
    <row r="111" spans="3:15" ht="33.75" customHeight="1" x14ac:dyDescent="0.2">
      <c r="C111" s="253"/>
      <c r="D111" s="254"/>
      <c r="E111" s="49" t="s">
        <v>21</v>
      </c>
      <c r="F111" s="91">
        <v>0.80137978834314738</v>
      </c>
      <c r="G111" s="31">
        <v>-5.7598623732202037E-2</v>
      </c>
      <c r="H111" s="41"/>
      <c r="I111" s="253"/>
      <c r="J111" s="49" t="s">
        <v>21</v>
      </c>
      <c r="K111" s="91">
        <v>0.77715270603933218</v>
      </c>
      <c r="L111" s="33">
        <v>-5.3071232505474519E-2</v>
      </c>
      <c r="M111" s="281" t="s">
        <v>26</v>
      </c>
    </row>
    <row r="112" spans="3:15" ht="33.75" customHeight="1" x14ac:dyDescent="0.2">
      <c r="C112" s="253"/>
      <c r="D112" s="254"/>
      <c r="E112" s="42" t="s">
        <v>22</v>
      </c>
      <c r="F112" s="88">
        <v>0.69966974018288375</v>
      </c>
      <c r="G112" s="31">
        <v>-3.9335281705830671E-2</v>
      </c>
      <c r="H112" s="41"/>
      <c r="I112" s="253"/>
      <c r="J112" s="42" t="s">
        <v>22</v>
      </c>
      <c r="K112" s="88">
        <v>0.69740995006709505</v>
      </c>
      <c r="L112" s="33">
        <v>-4.5651592209418501E-2</v>
      </c>
      <c r="M112" s="281" t="s">
        <v>26</v>
      </c>
    </row>
    <row r="113" spans="3:19" ht="33.75" customHeight="1" x14ac:dyDescent="0.2">
      <c r="C113" s="253"/>
      <c r="D113" s="254"/>
      <c r="E113" s="49" t="s">
        <v>23</v>
      </c>
      <c r="F113" s="91">
        <v>0.49773329096494018</v>
      </c>
      <c r="G113" s="31">
        <v>0.14208287762790128</v>
      </c>
      <c r="H113" s="41"/>
      <c r="I113" s="253"/>
      <c r="J113" s="49" t="s">
        <v>23</v>
      </c>
      <c r="K113" s="91">
        <v>0.54751609443001925</v>
      </c>
      <c r="L113" s="33">
        <v>-4.2074288856057351E-2</v>
      </c>
      <c r="M113" s="281" t="s">
        <v>26</v>
      </c>
    </row>
    <row r="114" spans="3:19" ht="33.75" customHeight="1" thickBot="1" x14ac:dyDescent="0.25">
      <c r="C114" s="255"/>
      <c r="D114" s="256"/>
      <c r="E114" s="44" t="s">
        <v>24</v>
      </c>
      <c r="F114" s="89">
        <v>0.52423698384201078</v>
      </c>
      <c r="G114" s="46">
        <v>3.3262561924982226E-2</v>
      </c>
      <c r="H114" s="98"/>
      <c r="I114" s="255"/>
      <c r="J114" s="44" t="s">
        <v>24</v>
      </c>
      <c r="K114" s="89">
        <v>0.56655623555551149</v>
      </c>
      <c r="L114" s="37">
        <v>-2.8316009730704361E-2</v>
      </c>
      <c r="M114" s="281" t="s">
        <v>26</v>
      </c>
    </row>
    <row r="115" spans="3:19" ht="5.25" customHeight="1" thickBot="1" x14ac:dyDescent="0.25">
      <c r="C115" s="106"/>
      <c r="D115" s="106"/>
      <c r="E115" s="107"/>
      <c r="F115" s="59"/>
      <c r="G115" s="108"/>
      <c r="H115" s="109"/>
      <c r="I115" s="59"/>
      <c r="J115" s="108"/>
      <c r="K115" s="107"/>
      <c r="L115" s="106"/>
      <c r="M115" s="110"/>
    </row>
    <row r="116" spans="3:19" ht="17.25" customHeight="1" thickBot="1" x14ac:dyDescent="0.25">
      <c r="C116" s="298"/>
      <c r="D116" s="299"/>
      <c r="E116" s="299"/>
      <c r="F116" s="299"/>
      <c r="G116" s="299"/>
      <c r="H116" s="299"/>
      <c r="I116" s="299"/>
      <c r="J116" s="299"/>
      <c r="K116" s="299"/>
      <c r="L116" s="299"/>
      <c r="M116" s="300"/>
    </row>
    <row r="117" spans="3:19" ht="50.25" customHeight="1" thickBot="1" x14ac:dyDescent="0.25">
      <c r="C117" s="2"/>
      <c r="D117" s="2"/>
      <c r="E117" s="263" t="str">
        <f>$E$1</f>
        <v>INDICADORES TURÍSTICOS DE TENERIFE definitivo</v>
      </c>
      <c r="F117" s="263"/>
      <c r="G117" s="263"/>
      <c r="H117" s="263"/>
      <c r="I117" s="263"/>
      <c r="J117" s="263"/>
      <c r="K117" s="263"/>
      <c r="L117" s="2"/>
      <c r="M117" s="2"/>
    </row>
    <row r="118" spans="3:19" s="1" customFormat="1" ht="9" customHeight="1" thickBot="1" x14ac:dyDescent="0.25">
      <c r="C118" s="111"/>
      <c r="D118" s="112"/>
      <c r="E118" s="113"/>
      <c r="F118" s="113"/>
      <c r="G118" s="113"/>
      <c r="H118" s="113"/>
      <c r="I118" s="113"/>
      <c r="J118" s="113"/>
      <c r="K118" s="113"/>
      <c r="L118" s="112"/>
      <c r="M118" s="114"/>
      <c r="O118" s="3"/>
      <c r="P118" s="3"/>
      <c r="Q118" s="3"/>
      <c r="R118" s="3"/>
      <c r="S118" s="3"/>
    </row>
    <row r="119" spans="3:19" ht="33" customHeight="1" thickBot="1" x14ac:dyDescent="0.25">
      <c r="C119" s="291" t="s">
        <v>29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3"/>
    </row>
    <row r="120" spans="3:19" ht="20.100000000000001" customHeight="1" x14ac:dyDescent="0.2">
      <c r="C120" s="115"/>
      <c r="D120" s="116"/>
      <c r="E120" s="116"/>
      <c r="F120" s="116"/>
      <c r="G120" s="294" t="str">
        <f>C2</f>
        <v>junio 2018</v>
      </c>
      <c r="H120" s="295"/>
      <c r="I120" s="295"/>
      <c r="J120" s="116"/>
      <c r="K120" s="116"/>
      <c r="L120" s="116"/>
      <c r="M120" s="117"/>
    </row>
    <row r="121" spans="3:19" ht="5.25" customHeight="1" thickBot="1" x14ac:dyDescent="0.25">
      <c r="C121" s="118"/>
      <c r="D121" s="116"/>
      <c r="E121" s="116"/>
      <c r="F121" s="116"/>
      <c r="G121" s="119"/>
      <c r="H121" s="119"/>
      <c r="I121" s="119"/>
      <c r="J121" s="116"/>
      <c r="K121" s="116"/>
      <c r="L121" s="116"/>
      <c r="M121" s="120"/>
    </row>
    <row r="122" spans="3:19" ht="33" customHeight="1" thickTop="1" thickBot="1" x14ac:dyDescent="0.25">
      <c r="C122" s="121"/>
      <c r="D122" s="296" t="s">
        <v>7</v>
      </c>
      <c r="E122" s="297"/>
      <c r="F122" s="296" t="s">
        <v>30</v>
      </c>
      <c r="G122" s="297"/>
      <c r="H122" s="296" t="s">
        <v>31</v>
      </c>
      <c r="I122" s="297"/>
      <c r="J122" s="296" t="s">
        <v>32</v>
      </c>
      <c r="K122" s="297"/>
      <c r="L122" s="296" t="s">
        <v>33</v>
      </c>
      <c r="M122" s="297"/>
    </row>
    <row r="123" spans="3:19" ht="31.5" customHeight="1" thickBot="1" x14ac:dyDescent="0.25">
      <c r="C123" s="122"/>
      <c r="D123" s="123" t="s">
        <v>34</v>
      </c>
      <c r="E123" s="124" t="s">
        <v>35</v>
      </c>
      <c r="F123" s="123" t="s">
        <v>34</v>
      </c>
      <c r="G123" s="124" t="s">
        <v>35</v>
      </c>
      <c r="H123" s="123" t="s">
        <v>34</v>
      </c>
      <c r="I123" s="124" t="s">
        <v>35</v>
      </c>
      <c r="J123" s="123" t="s">
        <v>34</v>
      </c>
      <c r="K123" s="124" t="s">
        <v>35</v>
      </c>
      <c r="L123" s="123" t="s">
        <v>34</v>
      </c>
      <c r="M123" s="124" t="s">
        <v>35</v>
      </c>
    </row>
    <row r="124" spans="3:19" ht="24" customHeight="1" thickBot="1" x14ac:dyDescent="0.25">
      <c r="C124" s="125" t="s">
        <v>36</v>
      </c>
      <c r="D124" s="126">
        <v>136854</v>
      </c>
      <c r="E124" s="127">
        <v>1.5275047294039057E-2</v>
      </c>
      <c r="F124" s="126">
        <v>14365</v>
      </c>
      <c r="G124" s="127">
        <v>3.1375646180356043E-2</v>
      </c>
      <c r="H124" s="126">
        <v>3194</v>
      </c>
      <c r="I124" s="127">
        <v>0.81168462847419165</v>
      </c>
      <c r="J124" s="126">
        <v>55514</v>
      </c>
      <c r="K124" s="127">
        <v>-4.6740847585685863E-2</v>
      </c>
      <c r="L124" s="126">
        <v>63781</v>
      </c>
      <c r="M124" s="127">
        <v>4.7857659196950841E-2</v>
      </c>
    </row>
    <row r="125" spans="3:19" ht="27" customHeight="1" thickBot="1" x14ac:dyDescent="0.25">
      <c r="C125" s="128" t="s">
        <v>37</v>
      </c>
      <c r="D125" s="129">
        <v>38499.431213790631</v>
      </c>
      <c r="E125" s="130">
        <v>0.13821414692145506</v>
      </c>
      <c r="F125" s="129" t="s">
        <v>38</v>
      </c>
      <c r="G125" s="130" t="s">
        <v>38</v>
      </c>
      <c r="H125" s="129" t="s">
        <v>38</v>
      </c>
      <c r="I125" s="130" t="s">
        <v>38</v>
      </c>
      <c r="J125" s="129" t="s">
        <v>38</v>
      </c>
      <c r="K125" s="130" t="s">
        <v>38</v>
      </c>
      <c r="L125" s="129" t="s">
        <v>38</v>
      </c>
      <c r="M125" s="130" t="s">
        <v>38</v>
      </c>
    </row>
    <row r="126" spans="3:19" ht="28.5" customHeight="1" thickBot="1" x14ac:dyDescent="0.25">
      <c r="C126" s="131" t="s">
        <v>39</v>
      </c>
      <c r="D126" s="132">
        <v>16995.340519186822</v>
      </c>
      <c r="E126" s="133">
        <v>0.12267024731721943</v>
      </c>
      <c r="F126" s="132" t="s">
        <v>38</v>
      </c>
      <c r="G126" s="133" t="s">
        <v>38</v>
      </c>
      <c r="H126" s="132" t="s">
        <v>38</v>
      </c>
      <c r="I126" s="133" t="s">
        <v>38</v>
      </c>
      <c r="J126" s="132" t="s">
        <v>38</v>
      </c>
      <c r="K126" s="133" t="s">
        <v>38</v>
      </c>
      <c r="L126" s="132" t="s">
        <v>38</v>
      </c>
      <c r="M126" s="133" t="s">
        <v>38</v>
      </c>
    </row>
    <row r="127" spans="3:19" ht="27.75" customHeight="1" thickBot="1" x14ac:dyDescent="0.25">
      <c r="C127" s="131" t="s">
        <v>40</v>
      </c>
      <c r="D127" s="132">
        <v>81359.2282671594</v>
      </c>
      <c r="E127" s="133">
        <v>-5.211367275325518E-2</v>
      </c>
      <c r="F127" s="132" t="s">
        <v>38</v>
      </c>
      <c r="G127" s="133" t="s">
        <v>38</v>
      </c>
      <c r="H127" s="132" t="s">
        <v>38</v>
      </c>
      <c r="I127" s="133" t="s">
        <v>38</v>
      </c>
      <c r="J127" s="132" t="s">
        <v>38</v>
      </c>
      <c r="K127" s="133" t="s">
        <v>38</v>
      </c>
      <c r="L127" s="132" t="s">
        <v>38</v>
      </c>
      <c r="M127" s="133" t="s">
        <v>38</v>
      </c>
    </row>
    <row r="128" spans="3:19" ht="24" customHeight="1" thickBot="1" x14ac:dyDescent="0.25">
      <c r="C128" s="134" t="s">
        <v>41</v>
      </c>
      <c r="D128" s="135">
        <v>11709</v>
      </c>
      <c r="E128" s="133">
        <v>7.8574060427413439E-2</v>
      </c>
      <c r="F128" s="135">
        <v>64</v>
      </c>
      <c r="G128" s="133">
        <v>-0.45299145299145294</v>
      </c>
      <c r="H128" s="135">
        <v>44</v>
      </c>
      <c r="I128" s="133">
        <v>-6.3829787234042534E-2</v>
      </c>
      <c r="J128" s="135">
        <v>1099</v>
      </c>
      <c r="K128" s="133">
        <v>0.36352357320099249</v>
      </c>
      <c r="L128" s="135">
        <v>10502</v>
      </c>
      <c r="M128" s="133">
        <v>6.231033785150708E-2</v>
      </c>
    </row>
    <row r="129" spans="3:13" ht="24" customHeight="1" thickBot="1" x14ac:dyDescent="0.25">
      <c r="C129" s="136" t="s">
        <v>42</v>
      </c>
      <c r="D129" s="132">
        <v>10442</v>
      </c>
      <c r="E129" s="133">
        <v>-4.0257352941176494E-2</v>
      </c>
      <c r="F129" s="132">
        <v>80</v>
      </c>
      <c r="G129" s="133">
        <v>-0.19999999999999996</v>
      </c>
      <c r="H129" s="132">
        <v>34</v>
      </c>
      <c r="I129" s="133">
        <v>0.54545454545454541</v>
      </c>
      <c r="J129" s="132">
        <v>635</v>
      </c>
      <c r="K129" s="133">
        <v>-0.34536082474226804</v>
      </c>
      <c r="L129" s="132">
        <v>9693</v>
      </c>
      <c r="M129" s="133">
        <v>-9.7057621577442132E-3</v>
      </c>
    </row>
    <row r="130" spans="3:13" ht="24" customHeight="1" thickBot="1" x14ac:dyDescent="0.25">
      <c r="C130" s="134" t="s">
        <v>43</v>
      </c>
      <c r="D130" s="135">
        <v>48919</v>
      </c>
      <c r="E130" s="133">
        <v>-2.8729698606202558E-2</v>
      </c>
      <c r="F130" s="135">
        <v>474</v>
      </c>
      <c r="G130" s="133">
        <v>0.39823008849557517</v>
      </c>
      <c r="H130" s="135">
        <v>411</v>
      </c>
      <c r="I130" s="133">
        <v>-4.861111111111116E-2</v>
      </c>
      <c r="J130" s="135">
        <v>17876</v>
      </c>
      <c r="K130" s="133">
        <v>5.2396090898386927E-2</v>
      </c>
      <c r="L130" s="135">
        <v>30158</v>
      </c>
      <c r="M130" s="133">
        <v>-7.516329847588088E-2</v>
      </c>
    </row>
    <row r="131" spans="3:13" ht="24" customHeight="1" thickBot="1" x14ac:dyDescent="0.25">
      <c r="C131" s="136" t="s">
        <v>44</v>
      </c>
      <c r="D131" s="132">
        <v>12872</v>
      </c>
      <c r="E131" s="133">
        <v>0.17972688112913571</v>
      </c>
      <c r="F131" s="132">
        <v>233</v>
      </c>
      <c r="G131" s="133">
        <v>-0.13382899628252787</v>
      </c>
      <c r="H131" s="132">
        <v>315</v>
      </c>
      <c r="I131" s="133">
        <v>1.1140939597315436</v>
      </c>
      <c r="J131" s="132">
        <v>2848</v>
      </c>
      <c r="K131" s="133">
        <v>0.31002759889604414</v>
      </c>
      <c r="L131" s="132">
        <v>9476</v>
      </c>
      <c r="M131" s="133">
        <v>0.13907921625195341</v>
      </c>
    </row>
    <row r="132" spans="3:13" ht="24" customHeight="1" thickBot="1" x14ac:dyDescent="0.25">
      <c r="C132" s="134" t="s">
        <v>45</v>
      </c>
      <c r="D132" s="135">
        <v>180385</v>
      </c>
      <c r="E132" s="133">
        <v>-5.8494091611340782E-2</v>
      </c>
      <c r="F132" s="135">
        <v>888</v>
      </c>
      <c r="G132" s="133">
        <v>0.62935779816513771</v>
      </c>
      <c r="H132" s="135">
        <v>97</v>
      </c>
      <c r="I132" s="133">
        <v>0.14117647058823524</v>
      </c>
      <c r="J132" s="135">
        <v>5702</v>
      </c>
      <c r="K132" s="133">
        <v>-0.2365778551345562</v>
      </c>
      <c r="L132" s="135">
        <v>173698</v>
      </c>
      <c r="M132" s="133">
        <v>-5.3380782918149516E-2</v>
      </c>
    </row>
    <row r="133" spans="3:13" ht="24" customHeight="1" thickBot="1" x14ac:dyDescent="0.25">
      <c r="C133" s="136" t="s">
        <v>46</v>
      </c>
      <c r="D133" s="132">
        <v>12364</v>
      </c>
      <c r="E133" s="133">
        <v>5.6390977443609103E-2</v>
      </c>
      <c r="F133" s="132">
        <v>27</v>
      </c>
      <c r="G133" s="133">
        <v>-0.59090909090909083</v>
      </c>
      <c r="H133" s="132">
        <v>22</v>
      </c>
      <c r="I133" s="133">
        <v>2.1428571428571428</v>
      </c>
      <c r="J133" s="132">
        <v>661</v>
      </c>
      <c r="K133" s="133">
        <v>-4.4797687861271696E-2</v>
      </c>
      <c r="L133" s="132">
        <v>11654</v>
      </c>
      <c r="M133" s="133">
        <v>6.5362464576286694E-2</v>
      </c>
    </row>
    <row r="134" spans="3:13" ht="24" customHeight="1" thickBot="1" x14ac:dyDescent="0.25">
      <c r="C134" s="134" t="s">
        <v>47</v>
      </c>
      <c r="D134" s="135">
        <v>10276</v>
      </c>
      <c r="E134" s="133">
        <v>-4.3559195830230824E-2</v>
      </c>
      <c r="F134" s="135">
        <v>308</v>
      </c>
      <c r="G134" s="133">
        <v>-0.19582245430809397</v>
      </c>
      <c r="H134" s="135">
        <v>96</v>
      </c>
      <c r="I134" s="133">
        <v>0.11627906976744184</v>
      </c>
      <c r="J134" s="135">
        <v>1318</v>
      </c>
      <c r="K134" s="133">
        <v>-6.1253561253561295E-2</v>
      </c>
      <c r="L134" s="135">
        <v>8554</v>
      </c>
      <c r="M134" s="133">
        <v>-3.5734415511216366E-2</v>
      </c>
    </row>
    <row r="135" spans="3:13" ht="24" customHeight="1" thickBot="1" x14ac:dyDescent="0.25">
      <c r="C135" s="136" t="s">
        <v>48</v>
      </c>
      <c r="D135" s="132">
        <v>5347</v>
      </c>
      <c r="E135" s="133">
        <v>4.9460255152109944E-2</v>
      </c>
      <c r="F135" s="132">
        <v>97</v>
      </c>
      <c r="G135" s="133">
        <v>-0.24806201550387597</v>
      </c>
      <c r="H135" s="132">
        <v>20</v>
      </c>
      <c r="I135" s="133">
        <v>2.3333333333333335</v>
      </c>
      <c r="J135" s="132">
        <v>698</v>
      </c>
      <c r="K135" s="133">
        <v>9.7484276729559838E-2</v>
      </c>
      <c r="L135" s="132">
        <v>4532</v>
      </c>
      <c r="M135" s="133">
        <v>4.8103607770582757E-2</v>
      </c>
    </row>
    <row r="136" spans="3:13" ht="24" customHeight="1" thickBot="1" x14ac:dyDescent="0.25">
      <c r="C136" s="137" t="s">
        <v>49</v>
      </c>
      <c r="D136" s="135">
        <v>1635</v>
      </c>
      <c r="E136" s="133">
        <v>5.0771208226221054E-2</v>
      </c>
      <c r="F136" s="135">
        <v>43</v>
      </c>
      <c r="G136" s="133">
        <v>-0.24561403508771928</v>
      </c>
      <c r="H136" s="135">
        <v>3</v>
      </c>
      <c r="I136" s="133">
        <v>2</v>
      </c>
      <c r="J136" s="135">
        <v>228</v>
      </c>
      <c r="K136" s="133">
        <v>0.48051948051948057</v>
      </c>
      <c r="L136" s="135">
        <v>1361</v>
      </c>
      <c r="M136" s="133">
        <v>1.2648809523809534E-2</v>
      </c>
    </row>
    <row r="137" spans="3:13" ht="24" customHeight="1" thickBot="1" x14ac:dyDescent="0.25">
      <c r="C137" s="131" t="s">
        <v>50</v>
      </c>
      <c r="D137" s="132">
        <v>1490</v>
      </c>
      <c r="E137" s="133">
        <v>0.17230527143981123</v>
      </c>
      <c r="F137" s="132">
        <v>32</v>
      </c>
      <c r="G137" s="133">
        <v>-0.31914893617021278</v>
      </c>
      <c r="H137" s="132">
        <v>11</v>
      </c>
      <c r="I137" s="133">
        <v>4.5</v>
      </c>
      <c r="J137" s="132">
        <v>198</v>
      </c>
      <c r="K137" s="133">
        <v>5.8823529411764719E-2</v>
      </c>
      <c r="L137" s="132">
        <v>1249</v>
      </c>
      <c r="M137" s="133">
        <v>0.20676328502415453</v>
      </c>
    </row>
    <row r="138" spans="3:13" ht="24" customHeight="1" thickBot="1" x14ac:dyDescent="0.25">
      <c r="C138" s="137" t="s">
        <v>51</v>
      </c>
      <c r="D138" s="135">
        <v>1548</v>
      </c>
      <c r="E138" s="133">
        <v>-0.12739571589627963</v>
      </c>
      <c r="F138" s="135">
        <v>10</v>
      </c>
      <c r="G138" s="133">
        <v>-0.16666666666666663</v>
      </c>
      <c r="H138" s="135">
        <v>5</v>
      </c>
      <c r="I138" s="133">
        <v>0.66666666666666674</v>
      </c>
      <c r="J138" s="135">
        <v>154</v>
      </c>
      <c r="K138" s="133">
        <v>-0.33043478260869563</v>
      </c>
      <c r="L138" s="135">
        <v>1379</v>
      </c>
      <c r="M138" s="133">
        <v>-9.8103335513407441E-2</v>
      </c>
    </row>
    <row r="139" spans="3:13" ht="24" customHeight="1" thickBot="1" x14ac:dyDescent="0.25">
      <c r="C139" s="131" t="s">
        <v>52</v>
      </c>
      <c r="D139" s="132">
        <v>674</v>
      </c>
      <c r="E139" s="133">
        <v>0.36437246963562764</v>
      </c>
      <c r="F139" s="132">
        <v>12</v>
      </c>
      <c r="G139" s="133">
        <v>-7.6923076923076872E-2</v>
      </c>
      <c r="H139" s="132">
        <v>1</v>
      </c>
      <c r="I139" s="133" t="s">
        <v>38</v>
      </c>
      <c r="J139" s="132">
        <v>118</v>
      </c>
      <c r="K139" s="133">
        <v>0.81538461538461537</v>
      </c>
      <c r="L139" s="132">
        <v>543</v>
      </c>
      <c r="M139" s="133">
        <v>0.30528846153846145</v>
      </c>
    </row>
    <row r="140" spans="3:13" ht="24" customHeight="1" thickBot="1" x14ac:dyDescent="0.25">
      <c r="C140" s="134" t="s">
        <v>53</v>
      </c>
      <c r="D140" s="135">
        <v>3475</v>
      </c>
      <c r="E140" s="133">
        <v>5.719501064800725E-2</v>
      </c>
      <c r="F140" s="135">
        <v>36</v>
      </c>
      <c r="G140" s="133">
        <v>-0.3571428571428571</v>
      </c>
      <c r="H140" s="135">
        <v>40</v>
      </c>
      <c r="I140" s="133">
        <v>-0.53488372093023262</v>
      </c>
      <c r="J140" s="135">
        <v>629</v>
      </c>
      <c r="K140" s="133">
        <v>0.11921708185053381</v>
      </c>
      <c r="L140" s="135">
        <v>2770</v>
      </c>
      <c r="M140" s="133">
        <v>7.2396438250096784E-2</v>
      </c>
    </row>
    <row r="141" spans="3:13" ht="24" customHeight="1" thickBot="1" x14ac:dyDescent="0.25">
      <c r="C141" s="136" t="s">
        <v>54</v>
      </c>
      <c r="D141" s="132">
        <v>2811</v>
      </c>
      <c r="E141" s="133">
        <v>0.37457212713936427</v>
      </c>
      <c r="F141" s="132">
        <v>28</v>
      </c>
      <c r="G141" s="133">
        <v>0.64705882352941169</v>
      </c>
      <c r="H141" s="132">
        <v>24</v>
      </c>
      <c r="I141" s="133">
        <v>-0.17241379310344829</v>
      </c>
      <c r="J141" s="132">
        <v>1165</v>
      </c>
      <c r="K141" s="133">
        <v>1.3440643863179074</v>
      </c>
      <c r="L141" s="132">
        <v>1594</v>
      </c>
      <c r="M141" s="133">
        <v>6.1251664447403487E-2</v>
      </c>
    </row>
    <row r="142" spans="3:13" ht="24" customHeight="1" thickBot="1" x14ac:dyDescent="0.25">
      <c r="C142" s="134" t="s">
        <v>55</v>
      </c>
      <c r="D142" s="135">
        <v>7331</v>
      </c>
      <c r="E142" s="133">
        <v>-0.17276009930038361</v>
      </c>
      <c r="F142" s="135">
        <v>78</v>
      </c>
      <c r="G142" s="133">
        <v>-0.17894736842105263</v>
      </c>
      <c r="H142" s="135">
        <v>7</v>
      </c>
      <c r="I142" s="133">
        <v>1.3333333333333335</v>
      </c>
      <c r="J142" s="135">
        <v>754</v>
      </c>
      <c r="K142" s="133">
        <v>6.6755674232310547E-3</v>
      </c>
      <c r="L142" s="135">
        <v>6492</v>
      </c>
      <c r="M142" s="133">
        <v>-0.19001871490954458</v>
      </c>
    </row>
    <row r="143" spans="3:13" ht="24" customHeight="1" thickBot="1" x14ac:dyDescent="0.25">
      <c r="C143" s="136" t="s">
        <v>56</v>
      </c>
      <c r="D143" s="132">
        <v>15450</v>
      </c>
      <c r="E143" s="133">
        <v>7.1800208116545194E-2</v>
      </c>
      <c r="F143" s="132">
        <v>130</v>
      </c>
      <c r="G143" s="133">
        <v>-0.12751677852348997</v>
      </c>
      <c r="H143" s="132">
        <v>42</v>
      </c>
      <c r="I143" s="133">
        <v>1</v>
      </c>
      <c r="J143" s="132">
        <v>2007</v>
      </c>
      <c r="K143" s="133">
        <v>-0.16095317725752512</v>
      </c>
      <c r="L143" s="132">
        <v>13271</v>
      </c>
      <c r="M143" s="133">
        <v>0.1196321606344386</v>
      </c>
    </row>
    <row r="144" spans="3:13" ht="24" customHeight="1" thickBot="1" x14ac:dyDescent="0.25">
      <c r="C144" s="134" t="s">
        <v>57</v>
      </c>
      <c r="D144" s="135">
        <v>13228</v>
      </c>
      <c r="E144" s="133">
        <v>-6.661021732994632E-2</v>
      </c>
      <c r="F144" s="135">
        <v>226</v>
      </c>
      <c r="G144" s="133">
        <v>-0.44607843137254899</v>
      </c>
      <c r="H144" s="135">
        <v>82</v>
      </c>
      <c r="I144" s="133">
        <v>2.2799999999999998</v>
      </c>
      <c r="J144" s="135">
        <v>2913</v>
      </c>
      <c r="K144" s="133">
        <v>-5.4220779220779169E-2</v>
      </c>
      <c r="L144" s="135">
        <v>10007</v>
      </c>
      <c r="M144" s="133">
        <v>-6.1168965193733049E-2</v>
      </c>
    </row>
    <row r="145" spans="3:13" ht="24" customHeight="1" thickBot="1" x14ac:dyDescent="0.25">
      <c r="C145" s="136" t="s">
        <v>58</v>
      </c>
      <c r="D145" s="132">
        <v>2329</v>
      </c>
      <c r="E145" s="133">
        <v>0.24678800856531047</v>
      </c>
      <c r="F145" s="132">
        <v>195</v>
      </c>
      <c r="G145" s="133">
        <v>-3.9408866995073843E-2</v>
      </c>
      <c r="H145" s="132">
        <v>54</v>
      </c>
      <c r="I145" s="133">
        <v>-3.5714285714285698E-2</v>
      </c>
      <c r="J145" s="132">
        <v>190</v>
      </c>
      <c r="K145" s="133">
        <v>-0.17391304347826086</v>
      </c>
      <c r="L145" s="132">
        <v>1890</v>
      </c>
      <c r="M145" s="133">
        <v>0.37055837563451766</v>
      </c>
    </row>
    <row r="146" spans="3:13" ht="24" customHeight="1" thickBot="1" x14ac:dyDescent="0.25">
      <c r="C146" s="134" t="s">
        <v>59</v>
      </c>
      <c r="D146" s="135">
        <v>1920</v>
      </c>
      <c r="E146" s="133">
        <v>0.22762148337595911</v>
      </c>
      <c r="F146" s="135">
        <v>277</v>
      </c>
      <c r="G146" s="133">
        <v>-0.14241486068111453</v>
      </c>
      <c r="H146" s="135">
        <v>88</v>
      </c>
      <c r="I146" s="133">
        <v>2.3846153846153846</v>
      </c>
      <c r="J146" s="135">
        <v>427</v>
      </c>
      <c r="K146" s="133">
        <v>0.17630853994490359</v>
      </c>
      <c r="L146" s="135">
        <v>1128</v>
      </c>
      <c r="M146" s="133">
        <v>0.323943661971831</v>
      </c>
    </row>
    <row r="147" spans="3:13" ht="24" customHeight="1" thickBot="1" x14ac:dyDescent="0.25">
      <c r="C147" s="136" t="s">
        <v>60</v>
      </c>
      <c r="D147" s="138">
        <v>5838</v>
      </c>
      <c r="E147" s="139">
        <v>0.22389937106918234</v>
      </c>
      <c r="F147" s="138">
        <v>229</v>
      </c>
      <c r="G147" s="139">
        <v>-0.4560570071258907</v>
      </c>
      <c r="H147" s="138">
        <v>82</v>
      </c>
      <c r="I147" s="139">
        <v>0.78260869565217384</v>
      </c>
      <c r="J147" s="138">
        <v>1116</v>
      </c>
      <c r="K147" s="139">
        <v>0.13993871297242078</v>
      </c>
      <c r="L147" s="138">
        <v>4411</v>
      </c>
      <c r="M147" s="139">
        <v>0.32701564380264747</v>
      </c>
    </row>
    <row r="148" spans="3:13" ht="30.75" customHeight="1" thickTop="1" thickBot="1" x14ac:dyDescent="0.25">
      <c r="C148" s="140" t="s">
        <v>61</v>
      </c>
      <c r="D148" s="141">
        <v>344696</v>
      </c>
      <c r="E148" s="142">
        <v>-2.3886319807663425E-2</v>
      </c>
      <c r="F148" s="141">
        <v>3370</v>
      </c>
      <c r="G148" s="142">
        <v>-6.9060773480662974E-2</v>
      </c>
      <c r="H148" s="141">
        <v>1458</v>
      </c>
      <c r="I148" s="142">
        <v>0.29484902309058625</v>
      </c>
      <c r="J148" s="141">
        <v>40038</v>
      </c>
      <c r="K148" s="142">
        <v>1.2253369676660242E-3</v>
      </c>
      <c r="L148" s="141">
        <v>299830</v>
      </c>
      <c r="M148" s="142">
        <v>-2.7775976342105602E-2</v>
      </c>
    </row>
    <row r="149" spans="3:13" ht="24" customHeight="1" thickBot="1" x14ac:dyDescent="0.25">
      <c r="C149" s="143" t="s">
        <v>8</v>
      </c>
      <c r="D149" s="144">
        <v>481550</v>
      </c>
      <c r="E149" s="145">
        <v>-1.3067555326012559E-2</v>
      </c>
      <c r="F149" s="144">
        <v>17735</v>
      </c>
      <c r="G149" s="145">
        <v>1.0656485069523658E-2</v>
      </c>
      <c r="H149" s="144">
        <v>4652</v>
      </c>
      <c r="I149" s="145">
        <v>0.61024575977847006</v>
      </c>
      <c r="J149" s="144">
        <v>95552</v>
      </c>
      <c r="K149" s="145">
        <v>-2.7213031305675761E-2</v>
      </c>
      <c r="L149" s="144">
        <v>363611</v>
      </c>
      <c r="M149" s="145">
        <v>-1.5308830538584894E-2</v>
      </c>
    </row>
    <row r="150" spans="3:13" ht="13.5" thickBot="1" x14ac:dyDescent="0.25"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146"/>
    </row>
    <row r="151" spans="3:13" ht="35.25" customHeight="1" thickBot="1" x14ac:dyDescent="0.25">
      <c r="C151" s="291" t="s">
        <v>29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3"/>
    </row>
    <row r="152" spans="3:13" ht="20.100000000000001" customHeight="1" x14ac:dyDescent="0.2">
      <c r="C152" s="115"/>
      <c r="D152" s="116"/>
      <c r="E152" s="116"/>
      <c r="F152" s="116"/>
      <c r="G152" s="294" t="str">
        <f>I2</f>
        <v>I semestre 2018</v>
      </c>
      <c r="H152" s="295"/>
      <c r="I152" s="295"/>
      <c r="J152" s="116"/>
      <c r="K152" s="116"/>
      <c r="L152" s="116"/>
      <c r="M152" s="117"/>
    </row>
    <row r="153" spans="3:13" ht="5.25" customHeight="1" thickBot="1" x14ac:dyDescent="0.25">
      <c r="C153" s="118"/>
      <c r="D153" s="116"/>
      <c r="E153" s="116"/>
      <c r="F153" s="116"/>
      <c r="G153" s="119"/>
      <c r="H153" s="119"/>
      <c r="I153" s="119"/>
      <c r="J153" s="116"/>
      <c r="K153" s="116"/>
      <c r="L153" s="116"/>
      <c r="M153" s="120"/>
    </row>
    <row r="154" spans="3:13" ht="32.25" customHeight="1" thickTop="1" thickBot="1" x14ac:dyDescent="0.25">
      <c r="C154" s="121"/>
      <c r="D154" s="296" t="s">
        <v>7</v>
      </c>
      <c r="E154" s="297"/>
      <c r="F154" s="296" t="s">
        <v>30</v>
      </c>
      <c r="G154" s="297"/>
      <c r="H154" s="296" t="s">
        <v>31</v>
      </c>
      <c r="I154" s="297"/>
      <c r="J154" s="296" t="s">
        <v>32</v>
      </c>
      <c r="K154" s="297"/>
      <c r="L154" s="296" t="s">
        <v>33</v>
      </c>
      <c r="M154" s="297"/>
    </row>
    <row r="155" spans="3:13" ht="31.5" customHeight="1" thickBot="1" x14ac:dyDescent="0.25">
      <c r="C155" s="122"/>
      <c r="D155" s="123" t="s">
        <v>62</v>
      </c>
      <c r="E155" s="124" t="s">
        <v>35</v>
      </c>
      <c r="F155" s="123" t="s">
        <v>62</v>
      </c>
      <c r="G155" s="124" t="s">
        <v>35</v>
      </c>
      <c r="H155" s="123" t="s">
        <v>62</v>
      </c>
      <c r="I155" s="124" t="s">
        <v>35</v>
      </c>
      <c r="J155" s="123" t="s">
        <v>62</v>
      </c>
      <c r="K155" s="124" t="s">
        <v>35</v>
      </c>
      <c r="L155" s="123" t="s">
        <v>62</v>
      </c>
      <c r="M155" s="124" t="s">
        <v>35</v>
      </c>
    </row>
    <row r="156" spans="3:13" ht="24" customHeight="1" thickBot="1" x14ac:dyDescent="0.25">
      <c r="C156" s="125" t="s">
        <v>36</v>
      </c>
      <c r="D156" s="126">
        <v>571859</v>
      </c>
      <c r="E156" s="127">
        <v>2.8277408461645059E-2</v>
      </c>
      <c r="F156" s="126">
        <v>82128</v>
      </c>
      <c r="G156" s="127">
        <v>-1.7443112482951717E-2</v>
      </c>
      <c r="H156" s="126">
        <v>17037</v>
      </c>
      <c r="I156" s="127">
        <v>0.68616389548693579</v>
      </c>
      <c r="J156" s="126">
        <v>235422</v>
      </c>
      <c r="K156" s="127">
        <v>3.1417167942309199E-2</v>
      </c>
      <c r="L156" s="126">
        <v>237272</v>
      </c>
      <c r="M156" s="127">
        <v>1.3151602104256366E-2</v>
      </c>
    </row>
    <row r="157" spans="3:13" ht="24" customHeight="1" thickBot="1" x14ac:dyDescent="0.25">
      <c r="C157" s="128" t="s">
        <v>37</v>
      </c>
      <c r="D157" s="129">
        <v>142370.63101056451</v>
      </c>
      <c r="E157" s="130">
        <v>7.6353292786706106E-3</v>
      </c>
      <c r="F157" s="129" t="s">
        <v>38</v>
      </c>
      <c r="G157" s="130" t="s">
        <v>38</v>
      </c>
      <c r="H157" s="129" t="s">
        <v>38</v>
      </c>
      <c r="I157" s="130" t="s">
        <v>38</v>
      </c>
      <c r="J157" s="129" t="s">
        <v>38</v>
      </c>
      <c r="K157" s="130" t="s">
        <v>38</v>
      </c>
      <c r="L157" s="129" t="s">
        <v>38</v>
      </c>
      <c r="M157" s="130" t="s">
        <v>38</v>
      </c>
    </row>
    <row r="158" spans="3:13" ht="24" customHeight="1" thickBot="1" x14ac:dyDescent="0.25">
      <c r="C158" s="131" t="s">
        <v>39</v>
      </c>
      <c r="D158" s="132">
        <v>75975.073409487188</v>
      </c>
      <c r="E158" s="133">
        <v>0.17770391726818469</v>
      </c>
      <c r="F158" s="132" t="s">
        <v>38</v>
      </c>
      <c r="G158" s="133" t="s">
        <v>38</v>
      </c>
      <c r="H158" s="132" t="s">
        <v>38</v>
      </c>
      <c r="I158" s="133" t="s">
        <v>38</v>
      </c>
      <c r="J158" s="132" t="s">
        <v>38</v>
      </c>
      <c r="K158" s="133" t="s">
        <v>38</v>
      </c>
      <c r="L158" s="132" t="s">
        <v>38</v>
      </c>
      <c r="M158" s="133" t="s">
        <v>38</v>
      </c>
    </row>
    <row r="159" spans="3:13" ht="24" customHeight="1" thickBot="1" x14ac:dyDescent="0.25">
      <c r="C159" s="131" t="s">
        <v>40</v>
      </c>
      <c r="D159" s="132">
        <v>353513.2955800232</v>
      </c>
      <c r="E159" s="133">
        <v>9.0865768376739986E-3</v>
      </c>
      <c r="F159" s="132" t="s">
        <v>38</v>
      </c>
      <c r="G159" s="133" t="s">
        <v>38</v>
      </c>
      <c r="H159" s="132" t="s">
        <v>38</v>
      </c>
      <c r="I159" s="133" t="s">
        <v>38</v>
      </c>
      <c r="J159" s="132" t="s">
        <v>38</v>
      </c>
      <c r="K159" s="133" t="s">
        <v>38</v>
      </c>
      <c r="L159" s="132" t="s">
        <v>38</v>
      </c>
      <c r="M159" s="133" t="s">
        <v>38</v>
      </c>
    </row>
    <row r="160" spans="3:13" ht="24" customHeight="1" thickBot="1" x14ac:dyDescent="0.25">
      <c r="C160" s="134" t="s">
        <v>41</v>
      </c>
      <c r="D160" s="135">
        <v>82655</v>
      </c>
      <c r="E160" s="133">
        <v>4.4731786237929061E-2</v>
      </c>
      <c r="F160" s="135">
        <v>725</v>
      </c>
      <c r="G160" s="133">
        <v>-0.22872340425531912</v>
      </c>
      <c r="H160" s="135">
        <v>651</v>
      </c>
      <c r="I160" s="133">
        <v>0.16666666666666674</v>
      </c>
      <c r="J160" s="135">
        <v>6605</v>
      </c>
      <c r="K160" s="133">
        <v>0.130412459353072</v>
      </c>
      <c r="L160" s="135">
        <v>74674</v>
      </c>
      <c r="M160" s="133">
        <v>4.0390107976314926E-2</v>
      </c>
    </row>
    <row r="161" spans="3:13" ht="24" customHeight="1" thickBot="1" x14ac:dyDescent="0.25">
      <c r="C161" s="136" t="s">
        <v>42</v>
      </c>
      <c r="D161" s="132">
        <v>77890</v>
      </c>
      <c r="E161" s="133">
        <v>1.4826975192828939E-2</v>
      </c>
      <c r="F161" s="132">
        <v>828</v>
      </c>
      <c r="G161" s="133">
        <v>-1.8957345971563955E-2</v>
      </c>
      <c r="H161" s="132">
        <v>397</v>
      </c>
      <c r="I161" s="133">
        <v>0.17455621301775137</v>
      </c>
      <c r="J161" s="132">
        <v>4066</v>
      </c>
      <c r="K161" s="133">
        <v>-0.18139722166297567</v>
      </c>
      <c r="L161" s="132">
        <v>72599</v>
      </c>
      <c r="M161" s="133">
        <v>2.8270753367420687E-2</v>
      </c>
    </row>
    <row r="162" spans="3:13" ht="24" customHeight="1" thickBot="1" x14ac:dyDescent="0.25">
      <c r="C162" s="134" t="s">
        <v>43</v>
      </c>
      <c r="D162" s="135">
        <v>309724</v>
      </c>
      <c r="E162" s="133">
        <v>2.8947964899783685E-3</v>
      </c>
      <c r="F162" s="135">
        <v>5441</v>
      </c>
      <c r="G162" s="133">
        <v>0.27782996712071406</v>
      </c>
      <c r="H162" s="135">
        <v>5501</v>
      </c>
      <c r="I162" s="133">
        <v>8.5009861932938913E-2</v>
      </c>
      <c r="J162" s="135">
        <v>118052</v>
      </c>
      <c r="K162" s="133">
        <v>2.6824855611996323E-2</v>
      </c>
      <c r="L162" s="135">
        <v>180730</v>
      </c>
      <c r="M162" s="133">
        <v>-2.0614087376851997E-2</v>
      </c>
    </row>
    <row r="163" spans="3:13" ht="24" customHeight="1" thickBot="1" x14ac:dyDescent="0.25">
      <c r="C163" s="136" t="s">
        <v>44</v>
      </c>
      <c r="D163" s="132">
        <v>98648</v>
      </c>
      <c r="E163" s="133">
        <v>4.2537226678503126E-2</v>
      </c>
      <c r="F163" s="132">
        <v>2921</v>
      </c>
      <c r="G163" s="133">
        <v>-8.6902156924038798E-2</v>
      </c>
      <c r="H163" s="132">
        <v>2880</v>
      </c>
      <c r="I163" s="133">
        <v>0.49068322981366452</v>
      </c>
      <c r="J163" s="132">
        <v>19902</v>
      </c>
      <c r="K163" s="133">
        <v>0.14920891557916627</v>
      </c>
      <c r="L163" s="132">
        <v>72945</v>
      </c>
      <c r="M163" s="133">
        <v>1.0682517249979151E-2</v>
      </c>
    </row>
    <row r="164" spans="3:13" ht="24" customHeight="1" thickBot="1" x14ac:dyDescent="0.25">
      <c r="C164" s="134" t="s">
        <v>45</v>
      </c>
      <c r="D164" s="135">
        <v>964670</v>
      </c>
      <c r="E164" s="133">
        <v>-5.1155772864394766E-2</v>
      </c>
      <c r="F164" s="135">
        <v>5508</v>
      </c>
      <c r="G164" s="133">
        <v>-4.3749999999999956E-2</v>
      </c>
      <c r="H164" s="135">
        <v>1548</v>
      </c>
      <c r="I164" s="133">
        <v>0.19352351580570537</v>
      </c>
      <c r="J164" s="135">
        <v>42075</v>
      </c>
      <c r="K164" s="133">
        <v>-0.18181818181818177</v>
      </c>
      <c r="L164" s="135">
        <v>915539</v>
      </c>
      <c r="M164" s="133">
        <v>-4.4519028967947127E-2</v>
      </c>
    </row>
    <row r="165" spans="3:13" ht="24" customHeight="1" thickBot="1" x14ac:dyDescent="0.25">
      <c r="C165" s="136" t="s">
        <v>46</v>
      </c>
      <c r="D165" s="132">
        <v>57238</v>
      </c>
      <c r="E165" s="133">
        <v>0.15282980866062434</v>
      </c>
      <c r="F165" s="132">
        <v>454</v>
      </c>
      <c r="G165" s="133">
        <v>-0.25573770491803283</v>
      </c>
      <c r="H165" s="132">
        <v>163</v>
      </c>
      <c r="I165" s="133">
        <v>0.53773584905660377</v>
      </c>
      <c r="J165" s="132">
        <v>3699</v>
      </c>
      <c r="K165" s="133">
        <v>0.29652996845425861</v>
      </c>
      <c r="L165" s="132">
        <v>52922</v>
      </c>
      <c r="M165" s="133">
        <v>0.14845597968794078</v>
      </c>
    </row>
    <row r="166" spans="3:13" ht="24" customHeight="1" thickBot="1" x14ac:dyDescent="0.25">
      <c r="C166" s="134" t="s">
        <v>47</v>
      </c>
      <c r="D166" s="135">
        <v>71012</v>
      </c>
      <c r="E166" s="133">
        <v>-6.0961095977361102E-2</v>
      </c>
      <c r="F166" s="135">
        <v>3092</v>
      </c>
      <c r="G166" s="133">
        <v>-0.18179412543000795</v>
      </c>
      <c r="H166" s="135">
        <v>959</v>
      </c>
      <c r="I166" s="133">
        <v>0.45966514459665153</v>
      </c>
      <c r="J166" s="135">
        <v>7692</v>
      </c>
      <c r="K166" s="133">
        <v>-1.4856557377049162E-2</v>
      </c>
      <c r="L166" s="135">
        <v>59269</v>
      </c>
      <c r="M166" s="133">
        <v>-6.4833222884912778E-2</v>
      </c>
    </row>
    <row r="167" spans="3:13" ht="24" customHeight="1" thickBot="1" x14ac:dyDescent="0.25">
      <c r="C167" s="136" t="s">
        <v>48</v>
      </c>
      <c r="D167" s="132">
        <v>229136</v>
      </c>
      <c r="E167" s="133">
        <v>-3.5411790459191406E-2</v>
      </c>
      <c r="F167" s="132">
        <v>4450</v>
      </c>
      <c r="G167" s="133">
        <v>-0.12194159431728491</v>
      </c>
      <c r="H167" s="132">
        <v>570</v>
      </c>
      <c r="I167" s="133">
        <v>0.83870967741935476</v>
      </c>
      <c r="J167" s="132">
        <v>32845</v>
      </c>
      <c r="K167" s="133">
        <v>-5.1736582267517428E-2</v>
      </c>
      <c r="L167" s="132">
        <v>191271</v>
      </c>
      <c r="M167" s="133">
        <v>-3.1701032232589021E-2</v>
      </c>
    </row>
    <row r="168" spans="3:13" ht="24" customHeight="1" thickBot="1" x14ac:dyDescent="0.25">
      <c r="C168" s="137" t="s">
        <v>49</v>
      </c>
      <c r="D168" s="135">
        <v>81464</v>
      </c>
      <c r="E168" s="133">
        <v>-5.6703836222368853E-2</v>
      </c>
      <c r="F168" s="135">
        <v>1660</v>
      </c>
      <c r="G168" s="133">
        <v>-0.12215758857747228</v>
      </c>
      <c r="H168" s="135">
        <v>258</v>
      </c>
      <c r="I168" s="133">
        <v>1.5048543689320391</v>
      </c>
      <c r="J168" s="135">
        <v>8665</v>
      </c>
      <c r="K168" s="133">
        <v>-0.12110761740541642</v>
      </c>
      <c r="L168" s="135">
        <v>70881</v>
      </c>
      <c r="M168" s="133">
        <v>-4.867933644709288E-2</v>
      </c>
    </row>
    <row r="169" spans="3:13" ht="24" customHeight="1" thickBot="1" x14ac:dyDescent="0.25">
      <c r="C169" s="131" t="s">
        <v>50</v>
      </c>
      <c r="D169" s="132">
        <v>38164</v>
      </c>
      <c r="E169" s="133">
        <v>-8.4488797198100096E-2</v>
      </c>
      <c r="F169" s="132">
        <v>1089</v>
      </c>
      <c r="G169" s="133">
        <v>-9.8509933774834413E-2</v>
      </c>
      <c r="H169" s="132">
        <v>93</v>
      </c>
      <c r="I169" s="133">
        <v>1.3250000000000002</v>
      </c>
      <c r="J169" s="132">
        <v>3183</v>
      </c>
      <c r="K169" s="133">
        <v>-0.21620290568825418</v>
      </c>
      <c r="L169" s="132">
        <v>33799</v>
      </c>
      <c r="M169" s="133">
        <v>-7.0868955658795363E-2</v>
      </c>
    </row>
    <row r="170" spans="3:13" ht="24" customHeight="1" thickBot="1" x14ac:dyDescent="0.25">
      <c r="C170" s="137" t="s">
        <v>51</v>
      </c>
      <c r="D170" s="135">
        <v>49726</v>
      </c>
      <c r="E170" s="133">
        <v>-0.11858338060124785</v>
      </c>
      <c r="F170" s="135">
        <v>834</v>
      </c>
      <c r="G170" s="133">
        <v>-1.9976498237367801E-2</v>
      </c>
      <c r="H170" s="135">
        <v>136</v>
      </c>
      <c r="I170" s="133">
        <v>0.10569105691056913</v>
      </c>
      <c r="J170" s="135">
        <v>5431</v>
      </c>
      <c r="K170" s="133">
        <v>-0.12530198099532941</v>
      </c>
      <c r="L170" s="135">
        <v>43325</v>
      </c>
      <c r="M170" s="133">
        <v>-0.12000081246318528</v>
      </c>
    </row>
    <row r="171" spans="3:13" ht="24" customHeight="1" thickBot="1" x14ac:dyDescent="0.25">
      <c r="C171" s="131" t="s">
        <v>52</v>
      </c>
      <c r="D171" s="132">
        <v>59782</v>
      </c>
      <c r="E171" s="133">
        <v>0.1261561646416125</v>
      </c>
      <c r="F171" s="132">
        <v>867</v>
      </c>
      <c r="G171" s="133">
        <v>-0.22450805008944541</v>
      </c>
      <c r="H171" s="132">
        <v>83</v>
      </c>
      <c r="I171" s="133">
        <v>0.88636363636363646</v>
      </c>
      <c r="J171" s="132">
        <v>15566</v>
      </c>
      <c r="K171" s="133">
        <v>7.2925282602702035E-2</v>
      </c>
      <c r="L171" s="132">
        <v>43266</v>
      </c>
      <c r="M171" s="133">
        <v>0.15638113056260861</v>
      </c>
    </row>
    <row r="172" spans="3:13" ht="24" customHeight="1" thickBot="1" x14ac:dyDescent="0.25">
      <c r="C172" s="134" t="s">
        <v>53</v>
      </c>
      <c r="D172" s="135">
        <v>24911</v>
      </c>
      <c r="E172" s="133">
        <v>-3.5914702581369196E-2</v>
      </c>
      <c r="F172" s="135">
        <v>666</v>
      </c>
      <c r="G172" s="133">
        <v>-7.3713490959666172E-2</v>
      </c>
      <c r="H172" s="135">
        <v>458</v>
      </c>
      <c r="I172" s="133">
        <v>-4.1841004184100417E-2</v>
      </c>
      <c r="J172" s="135">
        <v>4435</v>
      </c>
      <c r="K172" s="133">
        <v>-6.0779330792037234E-2</v>
      </c>
      <c r="L172" s="135">
        <v>19352</v>
      </c>
      <c r="M172" s="133">
        <v>-2.8514056224899553E-2</v>
      </c>
    </row>
    <row r="173" spans="3:13" ht="24" customHeight="1" thickBot="1" x14ac:dyDescent="0.25">
      <c r="C173" s="136" t="s">
        <v>54</v>
      </c>
      <c r="D173" s="132">
        <v>17389</v>
      </c>
      <c r="E173" s="133">
        <v>1.0283523123402194E-2</v>
      </c>
      <c r="F173" s="132">
        <v>332</v>
      </c>
      <c r="G173" s="133">
        <v>-7.0028011204481766E-2</v>
      </c>
      <c r="H173" s="132">
        <v>332</v>
      </c>
      <c r="I173" s="133">
        <v>0.19424460431654667</v>
      </c>
      <c r="J173" s="132">
        <v>6308</v>
      </c>
      <c r="K173" s="133">
        <v>0.5941369724538792</v>
      </c>
      <c r="L173" s="132">
        <v>10417</v>
      </c>
      <c r="M173" s="133">
        <v>-0.17456418383518224</v>
      </c>
    </row>
    <row r="174" spans="3:13" ht="24" customHeight="1" thickBot="1" x14ac:dyDescent="0.25">
      <c r="C174" s="134" t="s">
        <v>55</v>
      </c>
      <c r="D174" s="135">
        <v>37195</v>
      </c>
      <c r="E174" s="133">
        <v>-0.1074128290657772</v>
      </c>
      <c r="F174" s="135">
        <v>1142</v>
      </c>
      <c r="G174" s="133">
        <v>0.27883538633818583</v>
      </c>
      <c r="H174" s="135">
        <v>243</v>
      </c>
      <c r="I174" s="133">
        <v>0.84090909090909083</v>
      </c>
      <c r="J174" s="135">
        <v>4110</v>
      </c>
      <c r="K174" s="133">
        <v>2.0610876583064375E-2</v>
      </c>
      <c r="L174" s="135">
        <v>31700</v>
      </c>
      <c r="M174" s="133">
        <v>-0.13432917337993933</v>
      </c>
    </row>
    <row r="175" spans="3:13" ht="24" customHeight="1" thickBot="1" x14ac:dyDescent="0.25">
      <c r="C175" s="136" t="s">
        <v>56</v>
      </c>
      <c r="D175" s="132">
        <v>81328</v>
      </c>
      <c r="E175" s="133">
        <v>0.13136259303053488</v>
      </c>
      <c r="F175" s="132">
        <v>1155</v>
      </c>
      <c r="G175" s="133">
        <v>-0.15384615384615385</v>
      </c>
      <c r="H175" s="132">
        <v>357</v>
      </c>
      <c r="I175" s="133">
        <v>0.95081967213114749</v>
      </c>
      <c r="J175" s="132">
        <v>8695</v>
      </c>
      <c r="K175" s="133">
        <v>-7.0252352437981225E-2</v>
      </c>
      <c r="L175" s="132">
        <v>71121</v>
      </c>
      <c r="M175" s="133">
        <v>0.16620480446011321</v>
      </c>
    </row>
    <row r="176" spans="3:13" ht="24" customHeight="1" thickBot="1" x14ac:dyDescent="0.25">
      <c r="C176" s="134" t="s">
        <v>57</v>
      </c>
      <c r="D176" s="135">
        <v>71074</v>
      </c>
      <c r="E176" s="133">
        <v>-6.8700289581613561E-2</v>
      </c>
      <c r="F176" s="135">
        <v>2516</v>
      </c>
      <c r="G176" s="133">
        <v>-0.26260257913247365</v>
      </c>
      <c r="H176" s="135">
        <v>494</v>
      </c>
      <c r="I176" s="133">
        <v>0.58333333333333326</v>
      </c>
      <c r="J176" s="135">
        <v>15802</v>
      </c>
      <c r="K176" s="133">
        <v>-6.5523358959195699E-2</v>
      </c>
      <c r="L176" s="135">
        <v>52262</v>
      </c>
      <c r="M176" s="133">
        <v>-6.1437063376614032E-2</v>
      </c>
    </row>
    <row r="177" spans="3:18" ht="24" customHeight="1" thickBot="1" x14ac:dyDescent="0.25">
      <c r="C177" s="136" t="s">
        <v>58</v>
      </c>
      <c r="D177" s="132">
        <v>11399</v>
      </c>
      <c r="E177" s="133">
        <v>6.5725504861630535E-2</v>
      </c>
      <c r="F177" s="132">
        <v>1173</v>
      </c>
      <c r="G177" s="133">
        <v>-0.12462686567164183</v>
      </c>
      <c r="H177" s="132">
        <v>473</v>
      </c>
      <c r="I177" s="133">
        <v>0.36705202312138718</v>
      </c>
      <c r="J177" s="132">
        <v>1631</v>
      </c>
      <c r="K177" s="133">
        <v>-5.3395240858966964E-2</v>
      </c>
      <c r="L177" s="132">
        <v>8122</v>
      </c>
      <c r="M177" s="133">
        <v>0.11458762179223281</v>
      </c>
    </row>
    <row r="178" spans="3:18" ht="24" customHeight="1" thickBot="1" x14ac:dyDescent="0.25">
      <c r="C178" s="134" t="s">
        <v>59</v>
      </c>
      <c r="D178" s="135">
        <v>10629</v>
      </c>
      <c r="E178" s="133">
        <v>0.16673984632272232</v>
      </c>
      <c r="F178" s="135">
        <v>2389</v>
      </c>
      <c r="G178" s="133">
        <v>0.26670201484623535</v>
      </c>
      <c r="H178" s="135">
        <v>525</v>
      </c>
      <c r="I178" s="133">
        <v>1.5609756097560976</v>
      </c>
      <c r="J178" s="135">
        <v>2412</v>
      </c>
      <c r="K178" s="133">
        <v>0.21572580645161299</v>
      </c>
      <c r="L178" s="135">
        <v>5303</v>
      </c>
      <c r="M178" s="133">
        <v>5.3227408142999089E-2</v>
      </c>
    </row>
    <row r="179" spans="3:18" ht="24" customHeight="1" thickBot="1" x14ac:dyDescent="0.25">
      <c r="C179" s="136" t="s">
        <v>60</v>
      </c>
      <c r="D179" s="138">
        <v>37529</v>
      </c>
      <c r="E179" s="139">
        <v>0.25196824125967443</v>
      </c>
      <c r="F179" s="138">
        <v>2736</v>
      </c>
      <c r="G179" s="139">
        <v>-1.900322696306922E-2</v>
      </c>
      <c r="H179" s="138">
        <v>705</v>
      </c>
      <c r="I179" s="139">
        <v>0.76249999999999996</v>
      </c>
      <c r="J179" s="138">
        <v>7445</v>
      </c>
      <c r="K179" s="139">
        <v>0.36455278592375362</v>
      </c>
      <c r="L179" s="138">
        <v>26643</v>
      </c>
      <c r="M179" s="139">
        <v>0.24902723735408561</v>
      </c>
    </row>
    <row r="180" spans="3:18" ht="30.75" customHeight="1" thickTop="1" thickBot="1" x14ac:dyDescent="0.25">
      <c r="C180" s="140" t="s">
        <v>61</v>
      </c>
      <c r="D180" s="141">
        <v>2182427</v>
      </c>
      <c r="E180" s="142">
        <v>-1.7600064100082524E-2</v>
      </c>
      <c r="F180" s="141">
        <v>35528</v>
      </c>
      <c r="G180" s="142">
        <v>-4.5433783820091889E-2</v>
      </c>
      <c r="H180" s="141">
        <v>16256</v>
      </c>
      <c r="I180" s="142">
        <v>0.28995397555943492</v>
      </c>
      <c r="J180" s="141">
        <v>285774</v>
      </c>
      <c r="K180" s="142">
        <v>-7.5568675117207995E-3</v>
      </c>
      <c r="L180" s="141">
        <v>1844869</v>
      </c>
      <c r="M180" s="142">
        <v>-2.0642811830625551E-2</v>
      </c>
    </row>
    <row r="181" spans="3:18" ht="24" customHeight="1" thickBot="1" x14ac:dyDescent="0.25">
      <c r="C181" s="143" t="s">
        <v>8</v>
      </c>
      <c r="D181" s="144">
        <v>2754286</v>
      </c>
      <c r="E181" s="145">
        <v>-8.4146398099982367E-3</v>
      </c>
      <c r="F181" s="144">
        <v>117656</v>
      </c>
      <c r="G181" s="145">
        <v>-2.6066801870783474E-2</v>
      </c>
      <c r="H181" s="144">
        <v>33293</v>
      </c>
      <c r="I181" s="145">
        <v>0.46626442350039632</v>
      </c>
      <c r="J181" s="144">
        <v>521196</v>
      </c>
      <c r="K181" s="145">
        <v>9.6764632381571847E-3</v>
      </c>
      <c r="L181" s="144">
        <v>2082141</v>
      </c>
      <c r="M181" s="145">
        <v>-1.6905994342634623E-2</v>
      </c>
    </row>
    <row r="182" spans="3:18" ht="18" customHeight="1" x14ac:dyDescent="0.2">
      <c r="C182" s="3"/>
    </row>
    <row r="183" spans="3:18" ht="17.25" hidden="1" customHeight="1" x14ac:dyDescent="0.2">
      <c r="C183" s="298"/>
      <c r="D183" s="299"/>
      <c r="E183" s="299"/>
      <c r="F183" s="299"/>
      <c r="G183" s="299"/>
      <c r="H183" s="299"/>
      <c r="I183" s="299"/>
      <c r="J183" s="299"/>
      <c r="K183" s="299"/>
      <c r="L183" s="299"/>
      <c r="M183" s="300"/>
    </row>
    <row r="184" spans="3:18" ht="21.75" hidden="1" customHeight="1" x14ac:dyDescent="0.2">
      <c r="C184" s="111"/>
      <c r="D184" s="112"/>
      <c r="E184" s="301" t="str">
        <f>$E$1</f>
        <v>INDICADORES TURÍSTICOS DE TENERIFE definitivo</v>
      </c>
      <c r="F184" s="302"/>
      <c r="G184" s="302"/>
      <c r="H184" s="302"/>
      <c r="I184" s="302"/>
      <c r="J184" s="302"/>
      <c r="K184" s="303"/>
      <c r="L184" s="112"/>
      <c r="M184" s="114"/>
    </row>
    <row r="185" spans="3:18" s="1" customFormat="1" ht="21.75" hidden="1" customHeight="1" x14ac:dyDescent="0.2">
      <c r="C185" s="111"/>
      <c r="D185" s="112"/>
      <c r="E185" s="113"/>
      <c r="F185" s="113"/>
      <c r="G185" s="113"/>
      <c r="H185" s="113"/>
      <c r="I185" s="113"/>
      <c r="J185" s="113"/>
      <c r="K185" s="113"/>
      <c r="L185" s="112"/>
      <c r="M185" s="114"/>
    </row>
    <row r="186" spans="3:18" ht="33" hidden="1" customHeight="1" x14ac:dyDescent="0.2">
      <c r="C186" s="304" t="s">
        <v>29</v>
      </c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147"/>
    </row>
    <row r="187" spans="3:18" ht="20.100000000000001" hidden="1" customHeight="1" x14ac:dyDescent="0.2">
      <c r="C187" s="306">
        <f>E3</f>
        <v>0</v>
      </c>
      <c r="D187" s="307"/>
      <c r="E187" s="307"/>
      <c r="F187" s="307"/>
      <c r="G187" s="307"/>
      <c r="H187" s="307"/>
      <c r="I187" s="307"/>
      <c r="J187" s="307"/>
      <c r="K187" s="307"/>
      <c r="L187" s="307"/>
      <c r="M187" s="307"/>
      <c r="N187" s="307"/>
      <c r="O187" s="307"/>
      <c r="P187" s="307"/>
      <c r="Q187" s="307"/>
      <c r="R187" s="1"/>
    </row>
    <row r="188" spans="3:18" ht="17.25" hidden="1" customHeight="1" x14ac:dyDescent="0.2">
      <c r="C188" s="148"/>
      <c r="D188" s="308" t="s">
        <v>24</v>
      </c>
      <c r="E188" s="309"/>
      <c r="F188" s="308" t="s">
        <v>23</v>
      </c>
      <c r="G188" s="309"/>
      <c r="H188" s="308" t="s">
        <v>22</v>
      </c>
      <c r="I188" s="309"/>
      <c r="J188" s="308" t="s">
        <v>21</v>
      </c>
      <c r="K188" s="309"/>
      <c r="L188" s="308" t="s">
        <v>20</v>
      </c>
      <c r="M188" s="309"/>
      <c r="N188" s="308" t="s">
        <v>63</v>
      </c>
      <c r="O188" s="309"/>
      <c r="P188" s="308" t="s">
        <v>64</v>
      </c>
      <c r="Q188" s="309"/>
    </row>
    <row r="189" spans="3:18" ht="28.5" hidden="1" customHeight="1" x14ac:dyDescent="0.2">
      <c r="C189" s="148"/>
      <c r="D189" s="149" t="s">
        <v>35</v>
      </c>
      <c r="E189" s="149" t="s">
        <v>34</v>
      </c>
      <c r="F189" s="149" t="s">
        <v>35</v>
      </c>
      <c r="G189" s="149" t="s">
        <v>34</v>
      </c>
      <c r="H189" s="149" t="s">
        <v>35</v>
      </c>
      <c r="I189" s="149" t="s">
        <v>34</v>
      </c>
      <c r="J189" s="149" t="s">
        <v>35</v>
      </c>
      <c r="K189" s="149" t="s">
        <v>34</v>
      </c>
      <c r="L189" s="149" t="s">
        <v>35</v>
      </c>
      <c r="M189" s="149" t="s">
        <v>34</v>
      </c>
      <c r="N189" s="149" t="s">
        <v>35</v>
      </c>
      <c r="O189" s="149" t="s">
        <v>34</v>
      </c>
      <c r="P189" s="149" t="s">
        <v>35</v>
      </c>
      <c r="Q189" s="149" t="s">
        <v>34</v>
      </c>
    </row>
    <row r="190" spans="3:18" ht="24" hidden="1" customHeight="1" x14ac:dyDescent="0.2">
      <c r="C190" s="150" t="s">
        <v>36</v>
      </c>
      <c r="D190" s="151" t="e">
        <f>VLOOKUP("españa",#REF!,6,FALSE)/VLOOKUP("españa",#REF!,6,FALSE)-1</f>
        <v>#REF!</v>
      </c>
      <c r="E190" s="152" t="e">
        <f>VLOOKUP("españa",#REF!,6,FALSE)</f>
        <v>#REF!</v>
      </c>
      <c r="F190" s="151" t="e">
        <f>VLOOKUP("españa",#REF!,5,FALSE)/VLOOKUP("españa",#REF!,5,FALSE)-1</f>
        <v>#REF!</v>
      </c>
      <c r="G190" s="152" t="e">
        <f>VLOOKUP("españa",#REF!,5,FALSE)</f>
        <v>#REF!</v>
      </c>
      <c r="H190" s="151" t="e">
        <f>VLOOKUP("españa",#REF!,4,FALSE)/VLOOKUP("españa",#REF!,4,FALSE)-1</f>
        <v>#REF!</v>
      </c>
      <c r="I190" s="152" t="e">
        <f>VLOOKUP("españa",#REF!,4,FALSE)</f>
        <v>#REF!</v>
      </c>
      <c r="J190" s="151" t="e">
        <f>VLOOKUP("españa",#REF!,3,FALSE)/VLOOKUP("españa",#REF!,3,FALSE)-1</f>
        <v>#REF!</v>
      </c>
      <c r="K190" s="152" t="e">
        <f>VLOOKUP("españa",#REF!,3,FALSE)</f>
        <v>#REF!</v>
      </c>
      <c r="L190" s="151" t="e">
        <f>VLOOKUP("españa",#REF!,2,FALSE)/VLOOKUP("españa",#REF!,2,FALSE)-1</f>
        <v>#REF!</v>
      </c>
      <c r="M190" s="152" t="e">
        <f>VLOOKUP("españa",#REF!,2,FALSE)</f>
        <v>#REF!</v>
      </c>
      <c r="N190" s="151" t="e">
        <f>VLOOKUP("españa",#REF!,7,FALSE)/VLOOKUP("españa",#REF!,7,FALSE)-1</f>
        <v>#REF!</v>
      </c>
      <c r="O190" s="152" t="e">
        <f>VLOOKUP("españa",#REF!,7,FALSE)</f>
        <v>#REF!</v>
      </c>
      <c r="P190" s="151" t="e">
        <f>VLOOKUP("españa",#REF!,8,FALSE)/VLOOKUP("españa",#REF!,8,FALSE)-1</f>
        <v>#REF!</v>
      </c>
      <c r="Q190" s="152" t="e">
        <f>VLOOKUP("españa",#REF!,8,FALSE)</f>
        <v>#REF!</v>
      </c>
    </row>
    <row r="191" spans="3:18" ht="24" hidden="1" customHeight="1" x14ac:dyDescent="0.2">
      <c r="C191" s="150" t="s">
        <v>41</v>
      </c>
      <c r="D191" s="151" t="e">
        <f>VLOOKUP("holanda",#REF!,6,FALSE)/VLOOKUP("holanda",#REF!,6,FALSE)-1</f>
        <v>#REF!</v>
      </c>
      <c r="E191" s="152" t="e">
        <f>VLOOKUP("holanda",#REF!,6,FALSE)</f>
        <v>#REF!</v>
      </c>
      <c r="F191" s="151" t="e">
        <f>VLOOKUP("holanda",#REF!,5,FALSE)/VLOOKUP("holanda",#REF!,5,FALSE)-1</f>
        <v>#REF!</v>
      </c>
      <c r="G191" s="152" t="e">
        <f>VLOOKUP("holanda",#REF!,5,FALSE)</f>
        <v>#REF!</v>
      </c>
      <c r="H191" s="151" t="e">
        <f>VLOOKUP("holanda",#REF!,4,FALSE)/VLOOKUP("holanda",#REF!,4,FALSE)-1</f>
        <v>#REF!</v>
      </c>
      <c r="I191" s="152" t="e">
        <f>VLOOKUP("holanda",#REF!,4,FALSE)</f>
        <v>#REF!</v>
      </c>
      <c r="J191" s="151" t="e">
        <f>VLOOKUP("holanda",#REF!,3,FALSE)/VLOOKUP("holanda",#REF!,3,FALSE)-1</f>
        <v>#REF!</v>
      </c>
      <c r="K191" s="152" t="e">
        <f>VLOOKUP("holanda",#REF!,3,FALSE)</f>
        <v>#REF!</v>
      </c>
      <c r="L191" s="151" t="e">
        <f>VLOOKUP("holanda",#REF!,2,FALSE)/VLOOKUP("holanda",#REF!,2,FALSE)-1</f>
        <v>#REF!</v>
      </c>
      <c r="M191" s="152" t="e">
        <f>VLOOKUP("holanda",#REF!,2,FALSE)</f>
        <v>#REF!</v>
      </c>
      <c r="N191" s="151" t="e">
        <f>VLOOKUP("holanda",#REF!,7,FALSE)/VLOOKUP("holanda",#REF!,7,FALSE)-1</f>
        <v>#REF!</v>
      </c>
      <c r="O191" s="152" t="e">
        <f>VLOOKUP("holanda",#REF!,7,FALSE)</f>
        <v>#REF!</v>
      </c>
      <c r="P191" s="151" t="e">
        <f>VLOOKUP("holanda",#REF!,8,FALSE)/VLOOKUP("holanda",#REF!,8,FALSE)-1</f>
        <v>#REF!</v>
      </c>
      <c r="Q191" s="152" t="e">
        <f>VLOOKUP("holanda",#REF!,8,FALSE)</f>
        <v>#REF!</v>
      </c>
    </row>
    <row r="192" spans="3:18" ht="24" hidden="1" customHeight="1" x14ac:dyDescent="0.2">
      <c r="C192" s="150" t="s">
        <v>42</v>
      </c>
      <c r="D192" s="151" t="e">
        <f>VLOOKUP("belgica",#REF!,6,FALSE)/VLOOKUP("belgica",#REF!,6,FALSE)-1</f>
        <v>#REF!</v>
      </c>
      <c r="E192" s="152" t="e">
        <f>VLOOKUP("belgica",#REF!,6,FALSE)</f>
        <v>#REF!</v>
      </c>
      <c r="F192" s="151" t="e">
        <f>VLOOKUP("belgica",#REF!,5,FALSE)/VLOOKUP("belgica",#REF!,5,FALSE)-1</f>
        <v>#REF!</v>
      </c>
      <c r="G192" s="152" t="e">
        <f>VLOOKUP("belgica",#REF!,5,FALSE)</f>
        <v>#REF!</v>
      </c>
      <c r="H192" s="151" t="e">
        <f>VLOOKUP("belgica",#REF!,4,FALSE)/VLOOKUP("belgica",#REF!,4,FALSE)-1</f>
        <v>#REF!</v>
      </c>
      <c r="I192" s="152" t="e">
        <f>VLOOKUP("belgica",#REF!,4,FALSE)</f>
        <v>#REF!</v>
      </c>
      <c r="J192" s="151" t="e">
        <f>VLOOKUP("belgica",#REF!,3,FALSE)/VLOOKUP("belgica",#REF!,3,FALSE)-1</f>
        <v>#REF!</v>
      </c>
      <c r="K192" s="152" t="e">
        <f>VLOOKUP("belgica",#REF!,3,FALSE)</f>
        <v>#REF!</v>
      </c>
      <c r="L192" s="151" t="e">
        <f>VLOOKUP("belgica",#REF!,2,FALSE)/VLOOKUP("belgica",#REF!,2,FALSE)-1</f>
        <v>#REF!</v>
      </c>
      <c r="M192" s="152" t="e">
        <f>VLOOKUP("belgica",#REF!,2,FALSE)</f>
        <v>#REF!</v>
      </c>
      <c r="N192" s="151" t="e">
        <f>VLOOKUP("belgica",#REF!,7,FALSE)/VLOOKUP("belgica",#REF!,7,FALSE)-1</f>
        <v>#REF!</v>
      </c>
      <c r="O192" s="152" t="e">
        <f>VLOOKUP("belgica",#REF!,7,FALSE)</f>
        <v>#REF!</v>
      </c>
      <c r="P192" s="151" t="e">
        <f>VLOOKUP("belgica",#REF!,8,FALSE)/VLOOKUP("belgica",#REF!,8,FALSE)-1</f>
        <v>#REF!</v>
      </c>
      <c r="Q192" s="152" t="e">
        <f>VLOOKUP("belgica",#REF!,8,FALSE)</f>
        <v>#REF!</v>
      </c>
    </row>
    <row r="193" spans="3:17" ht="24" hidden="1" customHeight="1" x14ac:dyDescent="0.2">
      <c r="C193" s="150" t="s">
        <v>43</v>
      </c>
      <c r="D193" s="151" t="e">
        <f>VLOOKUP("alemania",#REF!,6,FALSE)/VLOOKUP("alemania",#REF!,6,FALSE)-1</f>
        <v>#REF!</v>
      </c>
      <c r="E193" s="152" t="e">
        <f>VLOOKUP("alemania",#REF!,6,FALSE)</f>
        <v>#REF!</v>
      </c>
      <c r="F193" s="151" t="e">
        <f>VLOOKUP("alemania",#REF!,5,FALSE)/VLOOKUP("alemania",#REF!,5,FALSE)-1</f>
        <v>#REF!</v>
      </c>
      <c r="G193" s="152" t="e">
        <f>VLOOKUP("alemania",#REF!,5,FALSE)</f>
        <v>#REF!</v>
      </c>
      <c r="H193" s="151" t="e">
        <f>VLOOKUP("alemania",#REF!,4,FALSE)/VLOOKUP("alemania",#REF!,4,FALSE)-1</f>
        <v>#REF!</v>
      </c>
      <c r="I193" s="152" t="e">
        <f>VLOOKUP("alemania",#REF!,4,FALSE)</f>
        <v>#REF!</v>
      </c>
      <c r="J193" s="151" t="e">
        <f>VLOOKUP("alemania",#REF!,3,FALSE)/VLOOKUP("alemania",#REF!,3,FALSE)-1</f>
        <v>#REF!</v>
      </c>
      <c r="K193" s="152" t="e">
        <f>VLOOKUP("alemania",#REF!,3,FALSE)</f>
        <v>#REF!</v>
      </c>
      <c r="L193" s="151" t="e">
        <f>VLOOKUP("alemania",#REF!,2,FALSE)/VLOOKUP("alemania",#REF!,2,FALSE)-1</f>
        <v>#REF!</v>
      </c>
      <c r="M193" s="152" t="e">
        <f>VLOOKUP("alemania",#REF!,2,FALSE)</f>
        <v>#REF!</v>
      </c>
      <c r="N193" s="151" t="e">
        <f>VLOOKUP("alemania",#REF!,7,FALSE)/VLOOKUP("alemania",#REF!,7,FALSE)-1</f>
        <v>#REF!</v>
      </c>
      <c r="O193" s="152" t="e">
        <f>VLOOKUP("alemania",#REF!,7,FALSE)</f>
        <v>#REF!</v>
      </c>
      <c r="P193" s="151" t="e">
        <f>VLOOKUP("alemania",#REF!,8,FALSE)/VLOOKUP("alemania",#REF!,8,FALSE)-1</f>
        <v>#REF!</v>
      </c>
      <c r="Q193" s="152" t="e">
        <f>VLOOKUP("alemania",#REF!,8,FALSE)</f>
        <v>#REF!</v>
      </c>
    </row>
    <row r="194" spans="3:17" ht="24" hidden="1" customHeight="1" x14ac:dyDescent="0.2">
      <c r="C194" s="150" t="s">
        <v>44</v>
      </c>
      <c r="D194" s="151" t="e">
        <f>VLOOKUP("francia",#REF!,6,FALSE)/VLOOKUP("francia",#REF!,6,FALSE)-1</f>
        <v>#REF!</v>
      </c>
      <c r="E194" s="152" t="e">
        <f>VLOOKUP("francia",#REF!,6,FALSE)</f>
        <v>#REF!</v>
      </c>
      <c r="F194" s="151" t="e">
        <f>VLOOKUP("francia",#REF!,5,FALSE)/VLOOKUP("francia",#REF!,5,FALSE)-1</f>
        <v>#REF!</v>
      </c>
      <c r="G194" s="152" t="e">
        <f>VLOOKUP("francia",#REF!,5,FALSE)</f>
        <v>#REF!</v>
      </c>
      <c r="H194" s="151" t="e">
        <f>VLOOKUP("francia",#REF!,4,FALSE)/VLOOKUP("francia",#REF!,4,FALSE)-1</f>
        <v>#REF!</v>
      </c>
      <c r="I194" s="152" t="e">
        <f>VLOOKUP("francia",#REF!,4,FALSE)</f>
        <v>#REF!</v>
      </c>
      <c r="J194" s="151" t="e">
        <f>VLOOKUP("francia",#REF!,3,FALSE)/VLOOKUP("francia",#REF!,3,FALSE)-1</f>
        <v>#REF!</v>
      </c>
      <c r="K194" s="152" t="e">
        <f>VLOOKUP("francia",#REF!,3,FALSE)</f>
        <v>#REF!</v>
      </c>
      <c r="L194" s="151" t="e">
        <f>VLOOKUP("francia",#REF!,2,FALSE)/VLOOKUP("francia",#REF!,2,FALSE)-1</f>
        <v>#REF!</v>
      </c>
      <c r="M194" s="152" t="e">
        <f>VLOOKUP("francia",#REF!,2,FALSE)</f>
        <v>#REF!</v>
      </c>
      <c r="N194" s="151" t="e">
        <f>VLOOKUP("francia",#REF!,7,FALSE)/VLOOKUP("francia",#REF!,7,FALSE)-1</f>
        <v>#REF!</v>
      </c>
      <c r="O194" s="152" t="e">
        <f>VLOOKUP("francia",#REF!,7,FALSE)</f>
        <v>#REF!</v>
      </c>
      <c r="P194" s="151" t="e">
        <f>VLOOKUP("francia",#REF!,8,FALSE)/VLOOKUP("francia",#REF!,8,FALSE)-1</f>
        <v>#REF!</v>
      </c>
      <c r="Q194" s="152" t="e">
        <f>VLOOKUP("francia",#REF!,8,FALSE)</f>
        <v>#REF!</v>
      </c>
    </row>
    <row r="195" spans="3:17" ht="24" hidden="1" customHeight="1" x14ac:dyDescent="0.2">
      <c r="C195" s="150" t="s">
        <v>45</v>
      </c>
      <c r="D195" s="151" t="e">
        <f>VLOOKUP("reino unido",#REF!,6,FALSE)/VLOOKUP("reino unido",#REF!,6,FALSE)-1</f>
        <v>#REF!</v>
      </c>
      <c r="E195" s="152" t="e">
        <f>VLOOKUP("reino unido",#REF!,6,FALSE)</f>
        <v>#REF!</v>
      </c>
      <c r="F195" s="151" t="e">
        <f>VLOOKUP("reino unido",#REF!,5,FALSE)/VLOOKUP("reino unido",#REF!,5,FALSE)-1</f>
        <v>#REF!</v>
      </c>
      <c r="G195" s="152" t="e">
        <f>VLOOKUP("reino unido",#REF!,5,FALSE)</f>
        <v>#REF!</v>
      </c>
      <c r="H195" s="151" t="e">
        <f>VLOOKUP("reino unido",#REF!,4,FALSE)/VLOOKUP("reino unido",#REF!,4,FALSE)-1</f>
        <v>#REF!</v>
      </c>
      <c r="I195" s="152" t="e">
        <f>VLOOKUP("reino unido",#REF!,4,FALSE)</f>
        <v>#REF!</v>
      </c>
      <c r="J195" s="151" t="e">
        <f>VLOOKUP("reino unido",#REF!,3,FALSE)/VLOOKUP("reino unido",#REF!,3,FALSE)-1</f>
        <v>#REF!</v>
      </c>
      <c r="K195" s="152" t="e">
        <f>VLOOKUP("reino unido",#REF!,3,FALSE)</f>
        <v>#REF!</v>
      </c>
      <c r="L195" s="151" t="e">
        <f>VLOOKUP("reino unido",#REF!,2,FALSE)/VLOOKUP("reino unido",#REF!,2,FALSE)-1</f>
        <v>#REF!</v>
      </c>
      <c r="M195" s="152" t="e">
        <f>VLOOKUP("reino unido",#REF!,2,FALSE)</f>
        <v>#REF!</v>
      </c>
      <c r="N195" s="151" t="e">
        <f>VLOOKUP("reino unido",#REF!,7,FALSE)/VLOOKUP("reino unido",#REF!,7,FALSE)-1</f>
        <v>#REF!</v>
      </c>
      <c r="O195" s="152" t="e">
        <f>VLOOKUP("reino unido",#REF!,7,FALSE)</f>
        <v>#REF!</v>
      </c>
      <c r="P195" s="151" t="e">
        <f>VLOOKUP("reino unido",#REF!,8,FALSE)/VLOOKUP("reino unido",#REF!,8,FALSE)-1</f>
        <v>#REF!</v>
      </c>
      <c r="Q195" s="152" t="e">
        <f>VLOOKUP("reino unido",#REF!,8,FALSE)</f>
        <v>#REF!</v>
      </c>
    </row>
    <row r="196" spans="3:17" ht="24" hidden="1" customHeight="1" x14ac:dyDescent="0.2">
      <c r="C196" s="150" t="s">
        <v>46</v>
      </c>
      <c r="D196" s="151" t="e">
        <f>VLOOKUP("irlanda",#REF!,6,FALSE)/VLOOKUP("irlanda",#REF!,6,FALSE)-1</f>
        <v>#REF!</v>
      </c>
      <c r="E196" s="152" t="e">
        <f>VLOOKUP("irlanda",#REF!,6,FALSE)</f>
        <v>#REF!</v>
      </c>
      <c r="F196" s="151" t="e">
        <f>VLOOKUP("irlanda",#REF!,5,FALSE)/VLOOKUP("irlanda",#REF!,5,FALSE)-1</f>
        <v>#REF!</v>
      </c>
      <c r="G196" s="152" t="e">
        <f>VLOOKUP("irlanda",#REF!,5,FALSE)</f>
        <v>#REF!</v>
      </c>
      <c r="H196" s="151" t="e">
        <f>VLOOKUP("irlanda",#REF!,4,FALSE)/VLOOKUP("irlanda",#REF!,4,FALSE)-1</f>
        <v>#REF!</v>
      </c>
      <c r="I196" s="152" t="e">
        <f>VLOOKUP("irlanda",#REF!,4,FALSE)</f>
        <v>#REF!</v>
      </c>
      <c r="J196" s="151" t="e">
        <f>VLOOKUP("irlanda",#REF!,3,FALSE)/VLOOKUP("irlanda",#REF!,3,FALSE)-1</f>
        <v>#REF!</v>
      </c>
      <c r="K196" s="152" t="e">
        <f>VLOOKUP("irlanda",#REF!,3,FALSE)</f>
        <v>#REF!</v>
      </c>
      <c r="L196" s="151" t="e">
        <f>VLOOKUP("irlanda",#REF!,2,FALSE)/VLOOKUP("irlanda",#REF!,2,FALSE)-1</f>
        <v>#REF!</v>
      </c>
      <c r="M196" s="152" t="e">
        <f>VLOOKUP("irlanda",#REF!,2,FALSE)</f>
        <v>#REF!</v>
      </c>
      <c r="N196" s="151" t="e">
        <f>VLOOKUP("irlanda",#REF!,7,FALSE)/VLOOKUP("irlanda",#REF!,7,FALSE)-1</f>
        <v>#REF!</v>
      </c>
      <c r="O196" s="152" t="e">
        <f>VLOOKUP("irlanda",#REF!,7,FALSE)</f>
        <v>#REF!</v>
      </c>
      <c r="P196" s="151" t="e">
        <f>VLOOKUP("irlanda",#REF!,8,FALSE)/VLOOKUP("irlanda",#REF!,8,FALSE)-1</f>
        <v>#REF!</v>
      </c>
      <c r="Q196" s="152" t="e">
        <f>VLOOKUP("irlanda",#REF!,8,FALSE)</f>
        <v>#REF!</v>
      </c>
    </row>
    <row r="197" spans="3:17" ht="24" hidden="1" customHeight="1" x14ac:dyDescent="0.2">
      <c r="C197" s="150" t="s">
        <v>47</v>
      </c>
      <c r="D197" s="151" t="e">
        <f>VLOOKUP("italia",#REF!,6,FALSE)/VLOOKUP("italia",#REF!,6,FALSE)-1</f>
        <v>#REF!</v>
      </c>
      <c r="E197" s="152" t="e">
        <f>VLOOKUP("italia",#REF!,6,FALSE)</f>
        <v>#REF!</v>
      </c>
      <c r="F197" s="151" t="e">
        <f>VLOOKUP("italia",#REF!,5,FALSE)/VLOOKUP("italia",#REF!,5,FALSE)-1</f>
        <v>#REF!</v>
      </c>
      <c r="G197" s="152" t="e">
        <f>VLOOKUP("italia",#REF!,5,FALSE)</f>
        <v>#REF!</v>
      </c>
      <c r="H197" s="151" t="e">
        <f>VLOOKUP("italia",#REF!,4,FALSE)/VLOOKUP("italia",#REF!,4,FALSE)-1</f>
        <v>#REF!</v>
      </c>
      <c r="I197" s="152" t="e">
        <f>VLOOKUP("italia",#REF!,4,FALSE)</f>
        <v>#REF!</v>
      </c>
      <c r="J197" s="151" t="e">
        <f>VLOOKUP("italia",#REF!,3,FALSE)/VLOOKUP("italia",#REF!,3,FALSE)-1</f>
        <v>#REF!</v>
      </c>
      <c r="K197" s="152" t="e">
        <f>VLOOKUP("italia",#REF!,3,FALSE)</f>
        <v>#REF!</v>
      </c>
      <c r="L197" s="151" t="e">
        <f>VLOOKUP("italia",#REF!,2,FALSE)/VLOOKUP("italia",#REF!,2,FALSE)-1</f>
        <v>#REF!</v>
      </c>
      <c r="M197" s="152" t="e">
        <f>VLOOKUP("italia",#REF!,2,FALSE)</f>
        <v>#REF!</v>
      </c>
      <c r="N197" s="151" t="e">
        <f>VLOOKUP("italia",#REF!,7,FALSE)/VLOOKUP("italia",#REF!,7,FALSE)-1</f>
        <v>#REF!</v>
      </c>
      <c r="O197" s="152" t="e">
        <f>VLOOKUP("italia",#REF!,7,FALSE)</f>
        <v>#REF!</v>
      </c>
      <c r="P197" s="151" t="e">
        <f>VLOOKUP("italia",#REF!,8,FALSE)/VLOOKUP("italia",#REF!,8,FALSE)-1</f>
        <v>#REF!</v>
      </c>
      <c r="Q197" s="152" t="e">
        <f>VLOOKUP("italia",#REF!,8,FALSE)</f>
        <v>#REF!</v>
      </c>
    </row>
    <row r="198" spans="3:17" ht="24" hidden="1" customHeight="1" x14ac:dyDescent="0.2">
      <c r="C198" s="150" t="s">
        <v>48</v>
      </c>
      <c r="D198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152" t="e">
        <f>(VLOOKUP("suecia",#REF!,6,FALSE)+VLOOKUP("noruega",#REF!,6,FALSE)+VLOOKUP("dinamarca",#REF!,6,FALSE)+VLOOKUP("finlandia",#REF!,6,FALSE))</f>
        <v>#REF!</v>
      </c>
      <c r="F198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152" t="e">
        <f>(VLOOKUP("suecia",#REF!,5,FALSE)+VLOOKUP("noruega",#REF!,5,FALSE)+VLOOKUP("dinamarca",#REF!,5,FALSE)+VLOOKUP("finlandia",#REF!,5,FALSE))</f>
        <v>#REF!</v>
      </c>
      <c r="H198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152" t="e">
        <f>(VLOOKUP("suecia",#REF!,4,FALSE)+VLOOKUP("noruega",#REF!,4,FALSE)+VLOOKUP("dinamarca",#REF!,4,FALSE)+VLOOKUP("finlandia",#REF!,4,FALSE))</f>
        <v>#REF!</v>
      </c>
      <c r="J198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152" t="e">
        <f>(VLOOKUP("suecia",#REF!,3,FALSE)+VLOOKUP("noruega",#REF!,3,FALSE)+VLOOKUP("dinamarca",#REF!,3,FALSE)+VLOOKUP("finlandia",#REF!,3,FALSE))</f>
        <v>#REF!</v>
      </c>
      <c r="L198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152" t="e">
        <f>(VLOOKUP("suecia",#REF!,2,FALSE)+VLOOKUP("noruega",#REF!,2,FALSE)+VLOOKUP("dinamarca",#REF!,2,FALSE)+VLOOKUP("finlandia",#REF!,2,FALSE))</f>
        <v>#REF!</v>
      </c>
      <c r="N198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152" t="e">
        <f>(VLOOKUP("suecia",#REF!,7,FALSE)+VLOOKUP("noruega",#REF!,7,FALSE)+VLOOKUP("dinamarca",#REF!,7,FALSE)+VLOOKUP("finlandia",#REF!,7,FALSE))</f>
        <v>#REF!</v>
      </c>
      <c r="P198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152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153" t="s">
        <v>49</v>
      </c>
      <c r="D199" s="151" t="e">
        <f>VLOOKUP("suecia",#REF!,6,FALSE)/VLOOKUP("suecia",#REF!,6,FALSE)-1</f>
        <v>#REF!</v>
      </c>
      <c r="E199" s="152" t="e">
        <f>VLOOKUP("suecia",#REF!,6,FALSE)</f>
        <v>#REF!</v>
      </c>
      <c r="F199" s="151" t="e">
        <f>VLOOKUP("suecia",#REF!,5,FALSE)/VLOOKUP("suecia",#REF!,5,FALSE)-1</f>
        <v>#REF!</v>
      </c>
      <c r="G199" s="152" t="e">
        <f>VLOOKUP("suecia",#REF!,5,FALSE)</f>
        <v>#REF!</v>
      </c>
      <c r="H199" s="151" t="e">
        <f>VLOOKUP("suecia",#REF!,4,FALSE)/VLOOKUP("suecia",#REF!,4,FALSE)-1</f>
        <v>#REF!</v>
      </c>
      <c r="I199" s="152" t="e">
        <f>VLOOKUP("suecia",#REF!,4,FALSE)</f>
        <v>#REF!</v>
      </c>
      <c r="J199" s="151" t="e">
        <f>VLOOKUP("suecia",#REF!,3,FALSE)/VLOOKUP("suecia",#REF!,3,FALSE)-1</f>
        <v>#REF!</v>
      </c>
      <c r="K199" s="152" t="e">
        <f>VLOOKUP("suecia",#REF!,3,FALSE)</f>
        <v>#REF!</v>
      </c>
      <c r="L199" s="151" t="e">
        <f>VLOOKUP("suecia",#REF!,2,FALSE)/VLOOKUP("suecia",#REF!,2,FALSE)-1</f>
        <v>#REF!</v>
      </c>
      <c r="M199" s="152" t="e">
        <f>VLOOKUP("suecia",#REF!,2,FALSE)</f>
        <v>#REF!</v>
      </c>
      <c r="N199" s="151" t="e">
        <f>VLOOKUP("suecia",#REF!,7,FALSE)/VLOOKUP("suecia",#REF!,7,FALSE)-1</f>
        <v>#REF!</v>
      </c>
      <c r="O199" s="152" t="e">
        <f>VLOOKUP("suecia",#REF!,7,FALSE)</f>
        <v>#REF!</v>
      </c>
      <c r="P199" s="151" t="e">
        <f>VLOOKUP("suecia",#REF!,8,FALSE)/VLOOKUP("suecia",#REF!,8,FALSE)-1</f>
        <v>#REF!</v>
      </c>
      <c r="Q199" s="152" t="e">
        <f>VLOOKUP("suecia",#REF!,8,FALSE)</f>
        <v>#REF!</v>
      </c>
    </row>
    <row r="200" spans="3:17" ht="24" hidden="1" customHeight="1" x14ac:dyDescent="0.2">
      <c r="C200" s="153" t="s">
        <v>50</v>
      </c>
      <c r="D200" s="151" t="e">
        <f>VLOOKUP("noruega",#REF!,6,FALSE)/VLOOKUP("noruega",#REF!,6,FALSE)-1</f>
        <v>#REF!</v>
      </c>
      <c r="E200" s="152" t="e">
        <f>VLOOKUP("noruega",#REF!,6,FALSE)</f>
        <v>#REF!</v>
      </c>
      <c r="F200" s="151" t="e">
        <f>VLOOKUP("noruega",#REF!,5,FALSE)/VLOOKUP("noruega",#REF!,5,FALSE)-1</f>
        <v>#REF!</v>
      </c>
      <c r="G200" s="152" t="e">
        <f>VLOOKUP("noruega",#REF!,5,FALSE)</f>
        <v>#REF!</v>
      </c>
      <c r="H200" s="151" t="e">
        <f>VLOOKUP("noruega",#REF!,4,FALSE)/VLOOKUP("noruega",#REF!,4,FALSE)-1</f>
        <v>#REF!</v>
      </c>
      <c r="I200" s="152" t="e">
        <f>VLOOKUP("noruega",#REF!,4,FALSE)</f>
        <v>#REF!</v>
      </c>
      <c r="J200" s="151" t="e">
        <f>VLOOKUP("noruega",#REF!,3,FALSE)/VLOOKUP("noruega",#REF!,3,FALSE)-1</f>
        <v>#REF!</v>
      </c>
      <c r="K200" s="152" t="e">
        <f>VLOOKUP("noruega",#REF!,3,FALSE)</f>
        <v>#REF!</v>
      </c>
      <c r="L200" s="151" t="e">
        <f>VLOOKUP("noruega",#REF!,2,FALSE)/VLOOKUP("noruega",#REF!,2,FALSE)-1</f>
        <v>#REF!</v>
      </c>
      <c r="M200" s="152" t="e">
        <f>VLOOKUP("noruega",#REF!,2,FALSE)</f>
        <v>#REF!</v>
      </c>
      <c r="N200" s="151" t="e">
        <f>VLOOKUP("noruega",#REF!,7,FALSE)/VLOOKUP("noruega",#REF!,7,FALSE)-1</f>
        <v>#REF!</v>
      </c>
      <c r="O200" s="152" t="e">
        <f>VLOOKUP("noruega",#REF!,7,FALSE)</f>
        <v>#REF!</v>
      </c>
      <c r="P200" s="151" t="e">
        <f>VLOOKUP("noruega",#REF!,8,FALSE)/VLOOKUP("noruega",#REF!,8,FALSE)-1</f>
        <v>#REF!</v>
      </c>
      <c r="Q200" s="152" t="e">
        <f>VLOOKUP("noruega",#REF!,8,FALSE)</f>
        <v>#REF!</v>
      </c>
    </row>
    <row r="201" spans="3:17" ht="24" hidden="1" customHeight="1" x14ac:dyDescent="0.2">
      <c r="C201" s="153" t="s">
        <v>51</v>
      </c>
      <c r="D201" s="151" t="e">
        <f>VLOOKUP("dinamarca",#REF!,6,FALSE)/VLOOKUP("dinamarca",#REF!,6,FALSE)-1</f>
        <v>#REF!</v>
      </c>
      <c r="E201" s="152" t="e">
        <f>VLOOKUP("dinamarca",#REF!,6,FALSE)</f>
        <v>#REF!</v>
      </c>
      <c r="F201" s="151" t="e">
        <f>VLOOKUP("dinamarca",#REF!,5,FALSE)/VLOOKUP("dinamarca",#REF!,5,FALSE)-1</f>
        <v>#REF!</v>
      </c>
      <c r="G201" s="152" t="e">
        <f>VLOOKUP("dinamarca",#REF!,5,FALSE)</f>
        <v>#REF!</v>
      </c>
      <c r="H201" s="151" t="e">
        <f>VLOOKUP("dinamarca",#REF!,4,FALSE)/VLOOKUP("dinamarca",#REF!,4,FALSE)-1</f>
        <v>#REF!</v>
      </c>
      <c r="I201" s="152" t="e">
        <f>VLOOKUP("dinamarca",#REF!,4,FALSE)</f>
        <v>#REF!</v>
      </c>
      <c r="J201" s="151" t="e">
        <f>VLOOKUP("dinamarca",#REF!,3,FALSE)/VLOOKUP("dinamarca",#REF!,3,FALSE)-1</f>
        <v>#REF!</v>
      </c>
      <c r="K201" s="152" t="e">
        <f>VLOOKUP("dinamarca",#REF!,3,FALSE)</f>
        <v>#REF!</v>
      </c>
      <c r="L201" s="151" t="e">
        <f>VLOOKUP("dinamarca",#REF!,2,FALSE)/VLOOKUP("dinamarca",#REF!,2,FALSE)-1</f>
        <v>#REF!</v>
      </c>
      <c r="M201" s="152" t="e">
        <f>VLOOKUP("dinamarca",#REF!,2,FALSE)</f>
        <v>#REF!</v>
      </c>
      <c r="N201" s="151" t="e">
        <f>VLOOKUP("dinamarca",#REF!,7,FALSE)/VLOOKUP("dinamarca",#REF!,7,FALSE)-1</f>
        <v>#REF!</v>
      </c>
      <c r="O201" s="152" t="e">
        <f>VLOOKUP("dinamarca",#REF!,7,FALSE)</f>
        <v>#REF!</v>
      </c>
      <c r="P201" s="151" t="e">
        <f>VLOOKUP("dinamarca",#REF!,8,FALSE)/VLOOKUP("dinamarca",#REF!,8,FALSE)-1</f>
        <v>#REF!</v>
      </c>
      <c r="Q201" s="152" t="e">
        <f>VLOOKUP("dinamarca",#REF!,8,FALSE)</f>
        <v>#REF!</v>
      </c>
    </row>
    <row r="202" spans="3:17" ht="24" hidden="1" customHeight="1" x14ac:dyDescent="0.2">
      <c r="C202" s="153" t="s">
        <v>52</v>
      </c>
      <c r="D202" s="151" t="s">
        <v>38</v>
      </c>
      <c r="E202" s="152" t="e">
        <f>VLOOKUP("finlandia",#REF!,6,FALSE)</f>
        <v>#REF!</v>
      </c>
      <c r="F202" s="151" t="e">
        <f>VLOOKUP("finlandia",#REF!,5,FALSE)/VLOOKUP("finlandia",#REF!,5,FALSE)-1</f>
        <v>#REF!</v>
      </c>
      <c r="G202" s="152" t="e">
        <f>VLOOKUP("finlandia",#REF!,5,FALSE)</f>
        <v>#REF!</v>
      </c>
      <c r="H202" s="151" t="e">
        <f>VLOOKUP("finlandia",#REF!,4,FALSE)/VLOOKUP("finlandia",#REF!,4,FALSE)-1</f>
        <v>#REF!</v>
      </c>
      <c r="I202" s="152" t="e">
        <f>VLOOKUP("finlandia",#REF!,4,FALSE)</f>
        <v>#REF!</v>
      </c>
      <c r="J202" s="151" t="e">
        <f>VLOOKUP("finlandia",#REF!,3,FALSE)/VLOOKUP("finlandia",#REF!,3,FALSE)-1</f>
        <v>#REF!</v>
      </c>
      <c r="K202" s="152" t="e">
        <f>VLOOKUP("finlandia",#REF!,3,FALSE)</f>
        <v>#REF!</v>
      </c>
      <c r="L202" s="151" t="s">
        <v>38</v>
      </c>
      <c r="M202" s="152" t="e">
        <f>VLOOKUP("finlandia",#REF!,2,FALSE)</f>
        <v>#REF!</v>
      </c>
      <c r="N202" s="151" t="e">
        <f>VLOOKUP("finlandia",#REF!,7,FALSE)/VLOOKUP("finlandia",#REF!,7,FALSE)-1</f>
        <v>#REF!</v>
      </c>
      <c r="O202" s="152" t="e">
        <f>VLOOKUP("finlandia",#REF!,7,FALSE)</f>
        <v>#REF!</v>
      </c>
      <c r="P202" s="151" t="e">
        <f>VLOOKUP("finlandia",#REF!,8,FALSE)/VLOOKUP("finlandia",#REF!,8,FALSE)-1</f>
        <v>#REF!</v>
      </c>
      <c r="Q202" s="152" t="e">
        <f>VLOOKUP("finlandia",#REF!,8,FALSE)</f>
        <v>#REF!</v>
      </c>
    </row>
    <row r="203" spans="3:17" ht="24" hidden="1" customHeight="1" x14ac:dyDescent="0.2">
      <c r="C203" s="150" t="s">
        <v>53</v>
      </c>
      <c r="D203" s="151" t="e">
        <f>VLOOKUP("suiza",#REF!,6,FALSE)/VLOOKUP("suiza",#REF!,6,FALSE)-1</f>
        <v>#REF!</v>
      </c>
      <c r="E203" s="152" t="e">
        <f>VLOOKUP("suiza",#REF!,6,FALSE)</f>
        <v>#REF!</v>
      </c>
      <c r="F203" s="151" t="e">
        <f>VLOOKUP("suiza",#REF!,5,FALSE)/VLOOKUP("suiza",#REF!,5,FALSE)-1</f>
        <v>#REF!</v>
      </c>
      <c r="G203" s="152" t="e">
        <f>VLOOKUP("suiza",#REF!,5,FALSE)</f>
        <v>#REF!</v>
      </c>
      <c r="H203" s="151" t="e">
        <f>VLOOKUP("suiza",#REF!,4,FALSE)/VLOOKUP("suiza",#REF!,4,FALSE)-1</f>
        <v>#REF!</v>
      </c>
      <c r="I203" s="152" t="e">
        <f>VLOOKUP("suiza",#REF!,4,FALSE)</f>
        <v>#REF!</v>
      </c>
      <c r="J203" s="151" t="e">
        <f>VLOOKUP("suiza",#REF!,3,FALSE)/VLOOKUP("suiza",#REF!,3,FALSE)-1</f>
        <v>#REF!</v>
      </c>
      <c r="K203" s="152" t="e">
        <f>VLOOKUP("suiza",#REF!,3,FALSE)</f>
        <v>#REF!</v>
      </c>
      <c r="L203" s="151" t="e">
        <f>VLOOKUP("suiza",#REF!,2,FALSE)/VLOOKUP("suiza",#REF!,2,FALSE)-1</f>
        <v>#REF!</v>
      </c>
      <c r="M203" s="152" t="e">
        <f>VLOOKUP("suiza",#REF!,2,FALSE)</f>
        <v>#REF!</v>
      </c>
      <c r="N203" s="151" t="e">
        <f>VLOOKUP("suiza",#REF!,7,FALSE)/VLOOKUP("suiza",#REF!,7,FALSE)-1</f>
        <v>#REF!</v>
      </c>
      <c r="O203" s="152" t="e">
        <f>VLOOKUP("suiza",#REF!,7,FALSE)</f>
        <v>#REF!</v>
      </c>
      <c r="P203" s="151" t="e">
        <f>VLOOKUP("suiza",#REF!,8,FALSE)/VLOOKUP("suiza",#REF!,8,FALSE)-1</f>
        <v>#REF!</v>
      </c>
      <c r="Q203" s="152" t="e">
        <f>VLOOKUP("suiza",#REF!,8,FALSE)</f>
        <v>#REF!</v>
      </c>
    </row>
    <row r="204" spans="3:17" ht="24" hidden="1" customHeight="1" x14ac:dyDescent="0.2">
      <c r="C204" s="150" t="s">
        <v>54</v>
      </c>
      <c r="D204" s="151" t="e">
        <f>VLOOKUP("austria",#REF!,6,FALSE)/VLOOKUP("austria",#REF!,6,FALSE)-1</f>
        <v>#REF!</v>
      </c>
      <c r="E204" s="152" t="e">
        <f>VLOOKUP("austria",#REF!,6,FALSE)</f>
        <v>#REF!</v>
      </c>
      <c r="F204" s="151" t="e">
        <f>VLOOKUP("austria",#REF!,5,FALSE)/VLOOKUP("austria",#REF!,5,FALSE)-1</f>
        <v>#REF!</v>
      </c>
      <c r="G204" s="152" t="e">
        <f>VLOOKUP("austria",#REF!,5,FALSE)</f>
        <v>#REF!</v>
      </c>
      <c r="H204" s="151" t="e">
        <f>VLOOKUP("austria",#REF!,4,FALSE)/VLOOKUP("austria",#REF!,4,FALSE)-1</f>
        <v>#REF!</v>
      </c>
      <c r="I204" s="152" t="e">
        <f>VLOOKUP("austria",#REF!,4,FALSE)</f>
        <v>#REF!</v>
      </c>
      <c r="J204" s="151" t="e">
        <f>VLOOKUP("austria",#REF!,3,FALSE)/VLOOKUP("austria",#REF!,3,FALSE)-1</f>
        <v>#REF!</v>
      </c>
      <c r="K204" s="152" t="e">
        <f>VLOOKUP("austria",#REF!,3,FALSE)</f>
        <v>#REF!</v>
      </c>
      <c r="L204" s="151" t="e">
        <f>VLOOKUP("austria",#REF!,2,FALSE)/VLOOKUP("austria",#REF!,2,FALSE)-1</f>
        <v>#REF!</v>
      </c>
      <c r="M204" s="152" t="e">
        <f>VLOOKUP("austria",#REF!,2,FALSE)</f>
        <v>#REF!</v>
      </c>
      <c r="N204" s="151" t="e">
        <f>VLOOKUP("austria",#REF!,7,FALSE)/VLOOKUP("austria",#REF!,7,FALSE)-1</f>
        <v>#REF!</v>
      </c>
      <c r="O204" s="152" t="e">
        <f>VLOOKUP("austria",#REF!,7,FALSE)</f>
        <v>#REF!</v>
      </c>
      <c r="P204" s="151" t="e">
        <f>VLOOKUP("austria",#REF!,8,FALSE)/VLOOKUP("austria",#REF!,8,FALSE)-1</f>
        <v>#REF!</v>
      </c>
      <c r="Q204" s="152" t="e">
        <f>VLOOKUP("austria",#REF!,8,FALSE)</f>
        <v>#REF!</v>
      </c>
    </row>
    <row r="205" spans="3:17" ht="24" hidden="1" customHeight="1" x14ac:dyDescent="0.2">
      <c r="C205" s="150" t="s">
        <v>55</v>
      </c>
      <c r="D205" s="151" t="e">
        <f>VLOOKUP("rusia",#REF!,6,FALSE)/VLOOKUP("rusia",#REF!,6,FALSE)-1</f>
        <v>#REF!</v>
      </c>
      <c r="E205" s="152" t="e">
        <f>VLOOKUP("rusia",#REF!,6,FALSE)</f>
        <v>#REF!</v>
      </c>
      <c r="F205" s="151" t="e">
        <f>VLOOKUP("rusia",#REF!,5,FALSE)/VLOOKUP("rusia",#REF!,5,FALSE)-1</f>
        <v>#REF!</v>
      </c>
      <c r="G205" s="152" t="e">
        <f>VLOOKUP("rusia",#REF!,5,FALSE)</f>
        <v>#REF!</v>
      </c>
      <c r="H205" s="151" t="e">
        <f>VLOOKUP("rusia",#REF!,4,FALSE)/VLOOKUP("rusia",#REF!,4,FALSE)-1</f>
        <v>#REF!</v>
      </c>
      <c r="I205" s="152" t="e">
        <f>VLOOKUP("rusia",#REF!,4,FALSE)</f>
        <v>#REF!</v>
      </c>
      <c r="J205" s="151" t="e">
        <f>VLOOKUP("rusia",#REF!,3,FALSE)/VLOOKUP("rusia",#REF!,3,FALSE)-1</f>
        <v>#REF!</v>
      </c>
      <c r="K205" s="152" t="e">
        <f>VLOOKUP("rusia",#REF!,3,FALSE)</f>
        <v>#REF!</v>
      </c>
      <c r="L205" s="151" t="e">
        <f>VLOOKUP("rusia",#REF!,2,FALSE)/VLOOKUP("rusia",#REF!,2,FALSE)-1</f>
        <v>#REF!</v>
      </c>
      <c r="M205" s="152" t="e">
        <f>VLOOKUP("rusia",#REF!,2,FALSE)</f>
        <v>#REF!</v>
      </c>
      <c r="N205" s="151" t="e">
        <f>VLOOKUP("rusia",#REF!,7,FALSE)/VLOOKUP("rusia",#REF!,7,FALSE)-1</f>
        <v>#REF!</v>
      </c>
      <c r="O205" s="152" t="e">
        <f>VLOOKUP("rusia",#REF!,7,FALSE)</f>
        <v>#REF!</v>
      </c>
      <c r="P205" s="151" t="e">
        <f>VLOOKUP("rusia",#REF!,8,FALSE)/VLOOKUP("rusia",#REF!,8,FALSE)-1</f>
        <v>#REF!</v>
      </c>
      <c r="Q205" s="152" t="e">
        <f>VLOOKUP("rusia",#REF!,8,FALSE)</f>
        <v>#REF!</v>
      </c>
    </row>
    <row r="206" spans="3:17" ht="24" hidden="1" customHeight="1" x14ac:dyDescent="0.2">
      <c r="C206" s="150" t="s">
        <v>56</v>
      </c>
      <c r="D206" s="151" t="e">
        <f>VLOOKUP("paises del este",#REF!,6,FALSE)/VLOOKUP("paises del este",#REF!,6,FALSE)-1</f>
        <v>#REF!</v>
      </c>
      <c r="E206" s="152" t="e">
        <f>VLOOKUP("paises del este",#REF!,6,FALSE)</f>
        <v>#REF!</v>
      </c>
      <c r="F206" s="151" t="e">
        <f>VLOOKUP("paises del este",#REF!,5,FALSE)/VLOOKUP("paises del este",#REF!,5,FALSE)-1</f>
        <v>#REF!</v>
      </c>
      <c r="G206" s="152" t="e">
        <f>VLOOKUP("paises del este",#REF!,5,FALSE)</f>
        <v>#REF!</v>
      </c>
      <c r="H206" s="151" t="e">
        <f>VLOOKUP("paises del este",#REF!,4,FALSE)/VLOOKUP("paises del este",#REF!,4,FALSE)-1</f>
        <v>#REF!</v>
      </c>
      <c r="I206" s="152" t="e">
        <f>VLOOKUP("paises del este",#REF!,4,FALSE)</f>
        <v>#REF!</v>
      </c>
      <c r="J206" s="151" t="e">
        <f>VLOOKUP("paises del este",#REF!,3,FALSE)/VLOOKUP("paises del este",#REF!,3,FALSE)-1</f>
        <v>#REF!</v>
      </c>
      <c r="K206" s="152" t="e">
        <f>VLOOKUP("paises del este",#REF!,3,FALSE)</f>
        <v>#REF!</v>
      </c>
      <c r="L206" s="151" t="e">
        <f>VLOOKUP("paises del este",#REF!,2,FALSE)/VLOOKUP("paises del este",#REF!,2,FALSE)-1</f>
        <v>#REF!</v>
      </c>
      <c r="M206" s="152" t="e">
        <f>VLOOKUP("paises del este",#REF!,2,FALSE)</f>
        <v>#REF!</v>
      </c>
      <c r="N206" s="151" t="e">
        <f>VLOOKUP("paises del este",#REF!,7,FALSE)/VLOOKUP("paises del este",#REF!,7,FALSE)-1</f>
        <v>#REF!</v>
      </c>
      <c r="O206" s="152" t="e">
        <f>VLOOKUP("paises del este",#REF!,7,FALSE)</f>
        <v>#REF!</v>
      </c>
      <c r="P206" s="151" t="e">
        <f>VLOOKUP("paises del este",#REF!,8,FALSE)/VLOOKUP("paises del este",#REF!,8,FALSE)-1</f>
        <v>#REF!</v>
      </c>
      <c r="Q206" s="152" t="e">
        <f>VLOOKUP("paises del este",#REF!,8,FALSE)</f>
        <v>#REF!</v>
      </c>
    </row>
    <row r="207" spans="3:17" ht="24" hidden="1" customHeight="1" x14ac:dyDescent="0.2">
      <c r="C207" s="150" t="s">
        <v>57</v>
      </c>
      <c r="D207" s="151" t="e">
        <f>VLOOKUP("resto de europa",#REF!,6,FALSE)/VLOOKUP("resto de europa",#REF!,6,FALSE)-1</f>
        <v>#REF!</v>
      </c>
      <c r="E207" s="152" t="e">
        <f>VLOOKUP("resto de europa",#REF!,6,FALSE)</f>
        <v>#REF!</v>
      </c>
      <c r="F207" s="151" t="e">
        <f>VLOOKUP("resto de europa",#REF!,5,FALSE)/VLOOKUP("resto de europa",#REF!,5,FALSE)-1</f>
        <v>#REF!</v>
      </c>
      <c r="G207" s="152" t="e">
        <f>VLOOKUP("resto de europa",#REF!,5,FALSE)</f>
        <v>#REF!</v>
      </c>
      <c r="H207" s="151" t="e">
        <f>VLOOKUP("resto de europa",#REF!,4,FALSE)/VLOOKUP("resto de europa",#REF!,4,FALSE)-1</f>
        <v>#REF!</v>
      </c>
      <c r="I207" s="152" t="e">
        <f>VLOOKUP("resto de europa",#REF!,4,FALSE)</f>
        <v>#REF!</v>
      </c>
      <c r="J207" s="151" t="e">
        <f>VLOOKUP("resto de europa",#REF!,3,FALSE)/VLOOKUP("resto de europa",#REF!,3,FALSE)-1</f>
        <v>#REF!</v>
      </c>
      <c r="K207" s="152" t="e">
        <f>VLOOKUP("resto de europa",#REF!,3,FALSE)</f>
        <v>#REF!</v>
      </c>
      <c r="L207" s="151" t="e">
        <f>VLOOKUP("resto de europa",#REF!,2,FALSE)/VLOOKUP("resto de europa",#REF!,2,FALSE)-1</f>
        <v>#REF!</v>
      </c>
      <c r="M207" s="152" t="e">
        <f>VLOOKUP("resto de europa",#REF!,2,FALSE)</f>
        <v>#REF!</v>
      </c>
      <c r="N207" s="151" t="e">
        <f>VLOOKUP("resto de europa",#REF!,7,FALSE)/VLOOKUP("resto de europa",#REF!,7,FALSE)-1</f>
        <v>#REF!</v>
      </c>
      <c r="O207" s="152" t="e">
        <f>VLOOKUP("resto de europa",#REF!,7,FALSE)</f>
        <v>#REF!</v>
      </c>
      <c r="P207" s="151" t="e">
        <f>VLOOKUP("resto de europa",#REF!,8,FALSE)/VLOOKUP("resto de europa",#REF!,8,FALSE)-1</f>
        <v>#REF!</v>
      </c>
      <c r="Q207" s="152" t="e">
        <f>VLOOKUP("resto de europa",#REF!,8,FALSE)</f>
        <v>#REF!</v>
      </c>
    </row>
    <row r="208" spans="3:17" ht="24" hidden="1" customHeight="1" x14ac:dyDescent="0.2">
      <c r="C208" s="150" t="s">
        <v>58</v>
      </c>
      <c r="D208" s="151" t="e">
        <f>VLOOKUP("usa",#REF!,6,FALSE)/VLOOKUP("usa",#REF!,6,FALSE)-1</f>
        <v>#REF!</v>
      </c>
      <c r="E208" s="152" t="e">
        <f>VLOOKUP("usa",#REF!,6,FALSE)</f>
        <v>#REF!</v>
      </c>
      <c r="F208" s="151" t="e">
        <f>VLOOKUP("usa",#REF!,5,FALSE)/VLOOKUP("usa",#REF!,5,FALSE)-1</f>
        <v>#REF!</v>
      </c>
      <c r="G208" s="152" t="e">
        <f>VLOOKUP("usa",#REF!,5,FALSE)</f>
        <v>#REF!</v>
      </c>
      <c r="H208" s="151" t="e">
        <f>VLOOKUP("usa",#REF!,4,FALSE)/VLOOKUP("usa",#REF!,4,FALSE)-1</f>
        <v>#REF!</v>
      </c>
      <c r="I208" s="152" t="e">
        <f>VLOOKUP("usa",#REF!,4,FALSE)</f>
        <v>#REF!</v>
      </c>
      <c r="J208" s="151" t="e">
        <f>VLOOKUP("usa",#REF!,3,FALSE)/VLOOKUP("usa",#REF!,3,FALSE)-1</f>
        <v>#REF!</v>
      </c>
      <c r="K208" s="152" t="e">
        <f>VLOOKUP("usa",#REF!,3,FALSE)</f>
        <v>#REF!</v>
      </c>
      <c r="L208" s="151" t="e">
        <f>VLOOKUP("usa",#REF!,2,FALSE)/VLOOKUP("usa",#REF!,2,FALSE)-1</f>
        <v>#REF!</v>
      </c>
      <c r="M208" s="152" t="e">
        <f>VLOOKUP("usa",#REF!,2,FALSE)</f>
        <v>#REF!</v>
      </c>
      <c r="N208" s="151" t="e">
        <f>VLOOKUP("usa",#REF!,7,FALSE)/VLOOKUP("usa",#REF!,7,FALSE)-1</f>
        <v>#REF!</v>
      </c>
      <c r="O208" s="152" t="e">
        <f>VLOOKUP("usa",#REF!,7,FALSE)</f>
        <v>#REF!</v>
      </c>
      <c r="P208" s="151" t="e">
        <f>VLOOKUP("usa",#REF!,8,FALSE)/VLOOKUP("usa",#REF!,8,FALSE)-1</f>
        <v>#REF!</v>
      </c>
      <c r="Q208" s="152" t="e">
        <f>VLOOKUP("usa",#REF!,8,FALSE)</f>
        <v>#REF!</v>
      </c>
    </row>
    <row r="209" spans="3:18" ht="24" hidden="1" customHeight="1" x14ac:dyDescent="0.2">
      <c r="C209" s="150" t="s">
        <v>59</v>
      </c>
      <c r="D209" s="151" t="e">
        <f>VLOOKUP("resto de america",#REF!,6,FALSE)/VLOOKUP("resto de america",#REF!,6,FALSE)-1</f>
        <v>#REF!</v>
      </c>
      <c r="E209" s="152" t="e">
        <f>VLOOKUP("resto de america",#REF!,6,FALSE)</f>
        <v>#REF!</v>
      </c>
      <c r="F209" s="151" t="e">
        <f>VLOOKUP("resto de america",#REF!,5,FALSE)/VLOOKUP("resto de america",#REF!,5,FALSE)-1</f>
        <v>#REF!</v>
      </c>
      <c r="G209" s="152" t="e">
        <f>VLOOKUP("resto de america",#REF!,5,FALSE)</f>
        <v>#REF!</v>
      </c>
      <c r="H209" s="151" t="e">
        <f>VLOOKUP("resto de america",#REF!,4,FALSE)/VLOOKUP("resto de america",#REF!,4,FALSE)-1</f>
        <v>#REF!</v>
      </c>
      <c r="I209" s="152" t="e">
        <f>VLOOKUP("resto de america",#REF!,4,FALSE)</f>
        <v>#REF!</v>
      </c>
      <c r="J209" s="151" t="e">
        <f>VLOOKUP("resto de america",#REF!,3,FALSE)/VLOOKUP("resto de america",#REF!,3,FALSE)-1</f>
        <v>#REF!</v>
      </c>
      <c r="K209" s="152" t="e">
        <f>VLOOKUP("resto de america",#REF!,3,FALSE)</f>
        <v>#REF!</v>
      </c>
      <c r="L209" s="151" t="e">
        <f>VLOOKUP("resto de america",#REF!,2,FALSE)/VLOOKUP("resto de america",#REF!,2,FALSE)-1</f>
        <v>#REF!</v>
      </c>
      <c r="M209" s="152" t="e">
        <f>VLOOKUP("resto de america",#REF!,2,FALSE)</f>
        <v>#REF!</v>
      </c>
      <c r="N209" s="151" t="e">
        <f>VLOOKUP("resto de america",#REF!,7,FALSE)/VLOOKUP("resto de america",#REF!,7,FALSE)-1</f>
        <v>#REF!</v>
      </c>
      <c r="O209" s="152" t="e">
        <f>VLOOKUP("resto de america",#REF!,7,FALSE)</f>
        <v>#REF!</v>
      </c>
      <c r="P209" s="151" t="e">
        <f>VLOOKUP("resto de america",#REF!,8,FALSE)/VLOOKUP("resto de america",#REF!,8,FALSE)-1</f>
        <v>#REF!</v>
      </c>
      <c r="Q209" s="152" t="e">
        <f>VLOOKUP("resto de america",#REF!,8,FALSE)</f>
        <v>#REF!</v>
      </c>
    </row>
    <row r="210" spans="3:18" ht="24" hidden="1" customHeight="1" x14ac:dyDescent="0.2">
      <c r="C210" s="150" t="s">
        <v>60</v>
      </c>
      <c r="D210" s="151" t="e">
        <f>VLOOKUP("resto del mundo",#REF!,6,FALSE)/VLOOKUP("resto del mundo",#REF!,6,FALSE)-1</f>
        <v>#REF!</v>
      </c>
      <c r="E210" s="152" t="e">
        <f>VLOOKUP("resto del mundo",#REF!,6,FALSE)</f>
        <v>#REF!</v>
      </c>
      <c r="F210" s="151" t="e">
        <f>VLOOKUP("resto del mundo",#REF!,5,FALSE)/VLOOKUP("resto del mundo",#REF!,5,FALSE)-1</f>
        <v>#REF!</v>
      </c>
      <c r="G210" s="152" t="e">
        <f>VLOOKUP("resto del mundo",#REF!,5,FALSE)</f>
        <v>#REF!</v>
      </c>
      <c r="H210" s="151" t="e">
        <f>VLOOKUP("resto del mundo",#REF!,4,FALSE)/VLOOKUP("resto del mundo",#REF!,4,FALSE)-1</f>
        <v>#REF!</v>
      </c>
      <c r="I210" s="152" t="e">
        <f>VLOOKUP("resto del mundo",#REF!,4,FALSE)</f>
        <v>#REF!</v>
      </c>
      <c r="J210" s="151" t="e">
        <f>VLOOKUP("resto del mundo",#REF!,3,FALSE)/VLOOKUP("resto del mundo",#REF!,3,FALSE)-1</f>
        <v>#REF!</v>
      </c>
      <c r="K210" s="152" t="e">
        <f>VLOOKUP("resto del mundo",#REF!,3,FALSE)</f>
        <v>#REF!</v>
      </c>
      <c r="L210" s="151" t="e">
        <f>VLOOKUP("resto del mundo",#REF!,2,FALSE)/VLOOKUP("resto del mundo",#REF!,2,FALSE)-1</f>
        <v>#REF!</v>
      </c>
      <c r="M210" s="152" t="e">
        <f>VLOOKUP("resto del mundo",#REF!,2,FALSE)</f>
        <v>#REF!</v>
      </c>
      <c r="N210" s="151" t="e">
        <f>VLOOKUP("resto del mundo",#REF!,7,FALSE)/VLOOKUP("resto del mundo",#REF!,7,FALSE)-1</f>
        <v>#REF!</v>
      </c>
      <c r="O210" s="152" t="e">
        <f>VLOOKUP("resto del mundo",#REF!,7,FALSE)</f>
        <v>#REF!</v>
      </c>
      <c r="P210" s="151" t="e">
        <f>VLOOKUP("resto del mundo",#REF!,8,FALSE)/VLOOKUP("resto del mundo",#REF!,8,FALSE)-1</f>
        <v>#REF!</v>
      </c>
      <c r="Q210" s="152" t="e">
        <f>VLOOKUP("resto del mundo",#REF!,8,FALSE)</f>
        <v>#REF!</v>
      </c>
    </row>
    <row r="211" spans="3:18" ht="24" hidden="1" customHeight="1" x14ac:dyDescent="0.2">
      <c r="C211" s="150" t="s">
        <v>61</v>
      </c>
      <c r="D211" s="151" t="e">
        <f>(VLOOKUP("total",#REF!,6,FALSE)-VLOOKUP("españa",#REF!,6,FALSE))/(VLOOKUP("total",#REF!,6,FALSE)-VLOOKUP("españa",#REF!,6,FALSE))-1</f>
        <v>#REF!</v>
      </c>
      <c r="E211" s="152" t="e">
        <f>VLOOKUP("total",#REF!,6,FALSE)-VLOOKUP("españa",#REF!,6,FALSE)</f>
        <v>#REF!</v>
      </c>
      <c r="F211" s="151" t="e">
        <f>(VLOOKUP("total",#REF!,5,FALSE)-VLOOKUP("españa",#REF!,5,FALSE))/(VLOOKUP("total",#REF!,5,FALSE)-VLOOKUP("españa",#REF!,5,FALSE))-1</f>
        <v>#REF!</v>
      </c>
      <c r="G211" s="152" t="e">
        <f>VLOOKUP("total",#REF!,5,FALSE)-VLOOKUP("españa",#REF!,5,FALSE)</f>
        <v>#REF!</v>
      </c>
      <c r="H211" s="151" t="e">
        <f>(VLOOKUP("total",#REF!,4,FALSE)-VLOOKUP("españa",#REF!,4,FALSE))/(VLOOKUP("total",#REF!,4,FALSE)-VLOOKUP("españa",#REF!,4,FALSE))-1</f>
        <v>#REF!</v>
      </c>
      <c r="I211" s="152" t="e">
        <f>VLOOKUP("total",#REF!,4,FALSE)-VLOOKUP("españa",#REF!,4,FALSE)</f>
        <v>#REF!</v>
      </c>
      <c r="J211" s="151" t="e">
        <f>(VLOOKUP("total",#REF!,3,FALSE)-VLOOKUP("españa",#REF!,3,FALSE))/(VLOOKUP("total",#REF!,3,FALSE)-VLOOKUP("españa",#REF!,3,FALSE))-1</f>
        <v>#REF!</v>
      </c>
      <c r="K211" s="152" t="e">
        <f>VLOOKUP("total",#REF!,3,FALSE)-VLOOKUP("españa",#REF!,3,FALSE)</f>
        <v>#REF!</v>
      </c>
      <c r="L211" s="151" t="e">
        <f>(VLOOKUP("total",#REF!,2,FALSE)-VLOOKUP("españa",#REF!,2,FALSE))/(VLOOKUP("total",#REF!,2,FALSE)-VLOOKUP("españa",#REF!,2,FALSE))-1</f>
        <v>#REF!</v>
      </c>
      <c r="M211" s="152" t="e">
        <f>VLOOKUP("total",#REF!,2,FALSE)-VLOOKUP("españa",#REF!,2,FALSE)</f>
        <v>#REF!</v>
      </c>
      <c r="N211" s="151" t="e">
        <f>(VLOOKUP("total",#REF!,7,FALSE)-VLOOKUP("españa",#REF!,7,FALSE))/(VLOOKUP("total",#REF!,7,FALSE)-VLOOKUP("españa",#REF!,7,FALSE))-1</f>
        <v>#REF!</v>
      </c>
      <c r="O211" s="152" t="e">
        <f>VLOOKUP("total",#REF!,7,FALSE)-VLOOKUP("españa",#REF!,7,FALSE)</f>
        <v>#REF!</v>
      </c>
      <c r="P211" s="151" t="e">
        <f>(VLOOKUP("total",#REF!,8,FALSE)-VLOOKUP("españa",#REF!,8,FALSE))/(VLOOKUP("total",#REF!,8,FALSE)-VLOOKUP("españa",#REF!,8,FALSE))-1</f>
        <v>#REF!</v>
      </c>
      <c r="Q211" s="152" t="e">
        <f>VLOOKUP("total",#REF!,8,FALSE)-VLOOKUP("españa",#REF!,8,FALSE)</f>
        <v>#REF!</v>
      </c>
    </row>
    <row r="212" spans="3:18" ht="24" hidden="1" customHeight="1" x14ac:dyDescent="0.2">
      <c r="C212" s="150" t="s">
        <v>8</v>
      </c>
      <c r="D212" s="151" t="e">
        <f>VLOOKUP("total",#REF!,6,FALSE)/VLOOKUP("total",#REF!,6,FALSE)-1</f>
        <v>#REF!</v>
      </c>
      <c r="E212" s="152" t="e">
        <f>VLOOKUP("total",#REF!,6,FALSE)</f>
        <v>#REF!</v>
      </c>
      <c r="F212" s="151" t="e">
        <f>VLOOKUP("total",#REF!,5,FALSE)/VLOOKUP("total",#REF!,5,FALSE)-1</f>
        <v>#REF!</v>
      </c>
      <c r="G212" s="152" t="e">
        <f>VLOOKUP("total",#REF!,5,FALSE)</f>
        <v>#REF!</v>
      </c>
      <c r="H212" s="151" t="e">
        <f>VLOOKUP("total",#REF!,4,FALSE)/VLOOKUP("total",#REF!,4,FALSE)-1</f>
        <v>#REF!</v>
      </c>
      <c r="I212" s="152" t="e">
        <f>VLOOKUP("total",#REF!,4,FALSE)</f>
        <v>#REF!</v>
      </c>
      <c r="J212" s="151" t="e">
        <f>VLOOKUP("total",#REF!,3,FALSE)/VLOOKUP("total",#REF!,3,FALSE)-1</f>
        <v>#REF!</v>
      </c>
      <c r="K212" s="152" t="e">
        <f>VLOOKUP("total",#REF!,3,FALSE)</f>
        <v>#REF!</v>
      </c>
      <c r="L212" s="151" t="e">
        <f>VLOOKUP("total",#REF!,2,FALSE)/VLOOKUP("total",#REF!,2,FALSE)-1</f>
        <v>#REF!</v>
      </c>
      <c r="M212" s="152" t="e">
        <f>VLOOKUP("total",#REF!,2,FALSE)</f>
        <v>#REF!</v>
      </c>
      <c r="N212" s="151" t="e">
        <f>VLOOKUP("total",#REF!,7,FALSE)/VLOOKUP("total",#REF!,7,FALSE)-1</f>
        <v>#REF!</v>
      </c>
      <c r="O212" s="152" t="e">
        <f>VLOOKUP("total",#REF!,7,FALSE)</f>
        <v>#REF!</v>
      </c>
      <c r="P212" s="151" t="e">
        <f>VLOOKUP("total",#REF!,8,FALSE)/VLOOKUP("total",#REF!,8,FALSE)-1</f>
        <v>#REF!</v>
      </c>
      <c r="Q212" s="152" t="e">
        <f>VLOOKUP("total",#REF!,8,FALSE)</f>
        <v>#REF!</v>
      </c>
    </row>
    <row r="213" spans="3:18" hidden="1" x14ac:dyDescent="0.2"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4"/>
    </row>
    <row r="214" spans="3:18" ht="35.25" hidden="1" customHeight="1" x14ac:dyDescent="0.2">
      <c r="C214" s="304" t="s">
        <v>29</v>
      </c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147"/>
    </row>
    <row r="215" spans="3:18" ht="20.100000000000001" hidden="1" customHeight="1" x14ac:dyDescent="0.2">
      <c r="C215" s="314" t="str">
        <f>I2</f>
        <v>I semestre 2018</v>
      </c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154"/>
    </row>
    <row r="216" spans="3:18" ht="13.5" hidden="1" thickBot="1" x14ac:dyDescent="0.25">
      <c r="C216" s="148"/>
      <c r="D216" s="308" t="s">
        <v>24</v>
      </c>
      <c r="E216" s="309"/>
      <c r="F216" s="308" t="s">
        <v>23</v>
      </c>
      <c r="G216" s="309"/>
      <c r="H216" s="308" t="s">
        <v>22</v>
      </c>
      <c r="I216" s="309"/>
      <c r="J216" s="308" t="s">
        <v>21</v>
      </c>
      <c r="K216" s="309"/>
      <c r="L216" s="308" t="s">
        <v>20</v>
      </c>
      <c r="M216" s="309"/>
      <c r="N216" s="308" t="s">
        <v>63</v>
      </c>
      <c r="O216" s="309"/>
      <c r="P216" s="308" t="s">
        <v>64</v>
      </c>
      <c r="Q216" s="309"/>
    </row>
    <row r="217" spans="3:18" ht="28.5" hidden="1" customHeight="1" x14ac:dyDescent="0.2">
      <c r="C217" s="148"/>
      <c r="D217" s="149" t="s">
        <v>65</v>
      </c>
      <c r="E217" s="149" t="s">
        <v>66</v>
      </c>
      <c r="F217" s="149" t="s">
        <v>65</v>
      </c>
      <c r="G217" s="149" t="s">
        <v>66</v>
      </c>
      <c r="H217" s="149" t="s">
        <v>65</v>
      </c>
      <c r="I217" s="149" t="s">
        <v>66</v>
      </c>
      <c r="J217" s="149" t="s">
        <v>65</v>
      </c>
      <c r="K217" s="149" t="s">
        <v>66</v>
      </c>
      <c r="L217" s="149" t="s">
        <v>65</v>
      </c>
      <c r="M217" s="149" t="s">
        <v>66</v>
      </c>
      <c r="N217" s="149" t="s">
        <v>65</v>
      </c>
      <c r="O217" s="149" t="s">
        <v>66</v>
      </c>
      <c r="P217" s="149" t="s">
        <v>65</v>
      </c>
      <c r="Q217" s="149" t="s">
        <v>66</v>
      </c>
    </row>
    <row r="218" spans="3:18" ht="24" hidden="1" customHeight="1" x14ac:dyDescent="0.2">
      <c r="C218" s="150" t="s">
        <v>36</v>
      </c>
      <c r="D218" s="151" t="e">
        <f>VLOOKUP("españa",#REF!,6,FALSE)/VLOOKUP("españa",#REF!,6,FALSE)-1</f>
        <v>#REF!</v>
      </c>
      <c r="E218" s="152" t="e">
        <f>VLOOKUP("españa",#REF!,6,FALSE)</f>
        <v>#REF!</v>
      </c>
      <c r="F218" s="151" t="e">
        <f>VLOOKUP("españa",#REF!,5,FALSE)/VLOOKUP("españa",#REF!,5,FALSE)-1</f>
        <v>#REF!</v>
      </c>
      <c r="G218" s="152" t="e">
        <f>VLOOKUP("españa",#REF!,5,FALSE)</f>
        <v>#REF!</v>
      </c>
      <c r="H218" s="151" t="e">
        <f>VLOOKUP("españa",#REF!,4,FALSE)/VLOOKUP("españa",#REF!,4,FALSE)-1</f>
        <v>#REF!</v>
      </c>
      <c r="I218" s="152" t="e">
        <f>VLOOKUP("españa",#REF!,4,FALSE)</f>
        <v>#REF!</v>
      </c>
      <c r="J218" s="151" t="e">
        <f>VLOOKUP("españa",#REF!,3,FALSE)/VLOOKUP("españa",#REF!,3,FALSE)-1</f>
        <v>#REF!</v>
      </c>
      <c r="K218" s="152" t="e">
        <f>VLOOKUP("españa",#REF!,3,FALSE)</f>
        <v>#REF!</v>
      </c>
      <c r="L218" s="151" t="e">
        <f>VLOOKUP("españa",#REF!,2,FALSE)/VLOOKUP("españa",#REF!,2,FALSE)-1</f>
        <v>#REF!</v>
      </c>
      <c r="M218" s="152" t="e">
        <f>VLOOKUP("españa",#REF!,2,FALSE)</f>
        <v>#REF!</v>
      </c>
      <c r="N218" s="151" t="e">
        <f>VLOOKUP("españa",#REF!,7,FALSE)/VLOOKUP("españa",#REF!,7,FALSE)-1</f>
        <v>#REF!</v>
      </c>
      <c r="O218" s="152" t="e">
        <f>VLOOKUP("españa",#REF!,7,FALSE)</f>
        <v>#REF!</v>
      </c>
      <c r="P218" s="151" t="e">
        <f>VLOOKUP("españa",#REF!,8,FALSE)/VLOOKUP("españa",#REF!,8,FALSE)-1</f>
        <v>#REF!</v>
      </c>
      <c r="Q218" s="152" t="e">
        <f>VLOOKUP("españa",#REF!,8,FALSE)</f>
        <v>#REF!</v>
      </c>
    </row>
    <row r="219" spans="3:18" ht="24" hidden="1" customHeight="1" x14ac:dyDescent="0.2">
      <c r="C219" s="150" t="s">
        <v>41</v>
      </c>
      <c r="D219" s="151" t="e">
        <f>VLOOKUP("holanda",#REF!,6,FALSE)/VLOOKUP("holanda",#REF!,6,FALSE)-1</f>
        <v>#REF!</v>
      </c>
      <c r="E219" s="152" t="e">
        <f>VLOOKUP("holanda",#REF!,6,FALSE)</f>
        <v>#REF!</v>
      </c>
      <c r="F219" s="151" t="e">
        <f>VLOOKUP("holanda",#REF!,5,FALSE)/VLOOKUP("holanda",#REF!,5,FALSE)-1</f>
        <v>#REF!</v>
      </c>
      <c r="G219" s="152" t="e">
        <f>VLOOKUP("holanda",#REF!,5,FALSE)</f>
        <v>#REF!</v>
      </c>
      <c r="H219" s="151" t="e">
        <f>VLOOKUP("holanda",#REF!,4,FALSE)/VLOOKUP("holanda",#REF!,4,FALSE)-1</f>
        <v>#REF!</v>
      </c>
      <c r="I219" s="152" t="e">
        <f>VLOOKUP("holanda",#REF!,4,FALSE)</f>
        <v>#REF!</v>
      </c>
      <c r="J219" s="151" t="e">
        <f>VLOOKUP("holanda",#REF!,3,FALSE)/VLOOKUP("holanda",#REF!,3,FALSE)-1</f>
        <v>#REF!</v>
      </c>
      <c r="K219" s="152" t="e">
        <f>VLOOKUP("holanda",#REF!,3,FALSE)</f>
        <v>#REF!</v>
      </c>
      <c r="L219" s="151" t="e">
        <f>VLOOKUP("holanda",#REF!,2,FALSE)/VLOOKUP("holanda",#REF!,2,FALSE)-1</f>
        <v>#REF!</v>
      </c>
      <c r="M219" s="152" t="e">
        <f>VLOOKUP("holanda",#REF!,2,FALSE)</f>
        <v>#REF!</v>
      </c>
      <c r="N219" s="151" t="e">
        <f>VLOOKUP("holanda",#REF!,7,FALSE)/VLOOKUP("holanda",#REF!,7,FALSE)-1</f>
        <v>#REF!</v>
      </c>
      <c r="O219" s="152" t="e">
        <f>VLOOKUP("holanda",#REF!,7,FALSE)</f>
        <v>#REF!</v>
      </c>
      <c r="P219" s="151" t="e">
        <f>VLOOKUP("holanda",#REF!,8,FALSE)/VLOOKUP("holanda",#REF!,8,FALSE)-1</f>
        <v>#REF!</v>
      </c>
      <c r="Q219" s="152" t="e">
        <f>VLOOKUP("holanda",#REF!,8,FALSE)</f>
        <v>#REF!</v>
      </c>
    </row>
    <row r="220" spans="3:18" ht="24" hidden="1" customHeight="1" x14ac:dyDescent="0.2">
      <c r="C220" s="150" t="s">
        <v>42</v>
      </c>
      <c r="D220" s="151" t="e">
        <f>VLOOKUP("belgica",#REF!,6,FALSE)/VLOOKUP("belgica",#REF!,6,FALSE)-1</f>
        <v>#REF!</v>
      </c>
      <c r="E220" s="152" t="e">
        <f>VLOOKUP("belgica",#REF!,6,FALSE)</f>
        <v>#REF!</v>
      </c>
      <c r="F220" s="151" t="e">
        <f>VLOOKUP("belgica",#REF!,5,FALSE)/VLOOKUP("belgica",#REF!,5,FALSE)-1</f>
        <v>#REF!</v>
      </c>
      <c r="G220" s="152" t="e">
        <f>VLOOKUP("belgica",#REF!,5,FALSE)</f>
        <v>#REF!</v>
      </c>
      <c r="H220" s="151" t="e">
        <f>VLOOKUP("belgica",#REF!,4,FALSE)/VLOOKUP("belgica",#REF!,4,FALSE)-1</f>
        <v>#REF!</v>
      </c>
      <c r="I220" s="152" t="e">
        <f>VLOOKUP("belgica",#REF!,4,FALSE)</f>
        <v>#REF!</v>
      </c>
      <c r="J220" s="151" t="e">
        <f>VLOOKUP("belgica",#REF!,3,FALSE)/VLOOKUP("belgica",#REF!,3,FALSE)-1</f>
        <v>#REF!</v>
      </c>
      <c r="K220" s="152" t="e">
        <f>VLOOKUP("belgica",#REF!,3,FALSE)</f>
        <v>#REF!</v>
      </c>
      <c r="L220" s="151" t="e">
        <f>VLOOKUP("belgica",#REF!,2,FALSE)/VLOOKUP("belgica",#REF!,2,FALSE)-1</f>
        <v>#REF!</v>
      </c>
      <c r="M220" s="152" t="e">
        <f>VLOOKUP("belgica",#REF!,2,FALSE)</f>
        <v>#REF!</v>
      </c>
      <c r="N220" s="151" t="e">
        <f>VLOOKUP("belgica",#REF!,7,FALSE)/VLOOKUP("belgica",#REF!,7,FALSE)-1</f>
        <v>#REF!</v>
      </c>
      <c r="O220" s="152" t="e">
        <f>VLOOKUP("belgica",#REF!,7,FALSE)</f>
        <v>#REF!</v>
      </c>
      <c r="P220" s="151" t="e">
        <f>VLOOKUP("belgica",#REF!,8,FALSE)/VLOOKUP("belgica",#REF!,8,FALSE)-1</f>
        <v>#REF!</v>
      </c>
      <c r="Q220" s="152" t="e">
        <f>VLOOKUP("belgica",#REF!,8,FALSE)</f>
        <v>#REF!</v>
      </c>
    </row>
    <row r="221" spans="3:18" ht="24" hidden="1" customHeight="1" x14ac:dyDescent="0.2">
      <c r="C221" s="150" t="s">
        <v>43</v>
      </c>
      <c r="D221" s="151" t="e">
        <f>VLOOKUP("alemania",#REF!,6,FALSE)/VLOOKUP("alemania",#REF!,6,FALSE)-1</f>
        <v>#REF!</v>
      </c>
      <c r="E221" s="152" t="e">
        <f>VLOOKUP("alemania",#REF!,6,FALSE)</f>
        <v>#REF!</v>
      </c>
      <c r="F221" s="151" t="e">
        <f>VLOOKUP("alemania",#REF!,5,FALSE)/VLOOKUP("alemania",#REF!,5,FALSE)-1</f>
        <v>#REF!</v>
      </c>
      <c r="G221" s="152" t="e">
        <f>VLOOKUP("alemania",#REF!,5,FALSE)</f>
        <v>#REF!</v>
      </c>
      <c r="H221" s="151" t="e">
        <f>VLOOKUP("alemania",#REF!,4,FALSE)/VLOOKUP("alemania",#REF!,4,FALSE)-1</f>
        <v>#REF!</v>
      </c>
      <c r="I221" s="152" t="e">
        <f>VLOOKUP("alemania",#REF!,4,FALSE)</f>
        <v>#REF!</v>
      </c>
      <c r="J221" s="151" t="e">
        <f>VLOOKUP("alemania",#REF!,3,FALSE)/VLOOKUP("alemania",#REF!,3,FALSE)-1</f>
        <v>#REF!</v>
      </c>
      <c r="K221" s="152" t="e">
        <f>VLOOKUP("alemania",#REF!,3,FALSE)</f>
        <v>#REF!</v>
      </c>
      <c r="L221" s="151" t="e">
        <f>VLOOKUP("alemania",#REF!,2,FALSE)/VLOOKUP("alemania",#REF!,2,FALSE)-1</f>
        <v>#REF!</v>
      </c>
      <c r="M221" s="152" t="e">
        <f>VLOOKUP("alemania",#REF!,2,FALSE)</f>
        <v>#REF!</v>
      </c>
      <c r="N221" s="151" t="e">
        <f>VLOOKUP("alemania",#REF!,7,FALSE)/VLOOKUP("alemania",#REF!,7,FALSE)-1</f>
        <v>#REF!</v>
      </c>
      <c r="O221" s="152" t="e">
        <f>VLOOKUP("alemania",#REF!,7,FALSE)</f>
        <v>#REF!</v>
      </c>
      <c r="P221" s="151" t="e">
        <f>VLOOKUP("alemania",#REF!,8,FALSE)/VLOOKUP("alemania",#REF!,8,FALSE)-1</f>
        <v>#REF!</v>
      </c>
      <c r="Q221" s="152" t="e">
        <f>VLOOKUP("alemania",#REF!,8,FALSE)</f>
        <v>#REF!</v>
      </c>
    </row>
    <row r="222" spans="3:18" ht="24" hidden="1" customHeight="1" x14ac:dyDescent="0.2">
      <c r="C222" s="150" t="s">
        <v>44</v>
      </c>
      <c r="D222" s="151" t="e">
        <f>VLOOKUP("francia",#REF!,6,FALSE)/VLOOKUP("francia",#REF!,6,FALSE)-1</f>
        <v>#REF!</v>
      </c>
      <c r="E222" s="152" t="e">
        <f>VLOOKUP("francia",#REF!,6,FALSE)</f>
        <v>#REF!</v>
      </c>
      <c r="F222" s="151" t="e">
        <f>VLOOKUP("francia",#REF!,5,FALSE)/VLOOKUP("francia",#REF!,5,FALSE)-1</f>
        <v>#REF!</v>
      </c>
      <c r="G222" s="152" t="e">
        <f>VLOOKUP("francia",#REF!,5,FALSE)</f>
        <v>#REF!</v>
      </c>
      <c r="H222" s="151" t="e">
        <f>VLOOKUP("francia",#REF!,4,FALSE)/VLOOKUP("francia",#REF!,4,FALSE)-1</f>
        <v>#REF!</v>
      </c>
      <c r="I222" s="152" t="e">
        <f>VLOOKUP("francia",#REF!,4,FALSE)</f>
        <v>#REF!</v>
      </c>
      <c r="J222" s="151" t="e">
        <f>VLOOKUP("francia",#REF!,3,FALSE)/VLOOKUP("francia",#REF!,3,FALSE)-1</f>
        <v>#REF!</v>
      </c>
      <c r="K222" s="152" t="e">
        <f>VLOOKUP("francia",#REF!,3,FALSE)</f>
        <v>#REF!</v>
      </c>
      <c r="L222" s="151" t="e">
        <f>VLOOKUP("francia",#REF!,2,FALSE)/VLOOKUP("francia",#REF!,2,FALSE)-1</f>
        <v>#REF!</v>
      </c>
      <c r="M222" s="152" t="e">
        <f>VLOOKUP("francia",#REF!,2,FALSE)</f>
        <v>#REF!</v>
      </c>
      <c r="N222" s="151" t="e">
        <f>VLOOKUP("francia",#REF!,7,FALSE)/VLOOKUP("francia",#REF!,7,FALSE)-1</f>
        <v>#REF!</v>
      </c>
      <c r="O222" s="152" t="e">
        <f>VLOOKUP("francia",#REF!,7,FALSE)</f>
        <v>#REF!</v>
      </c>
      <c r="P222" s="151" t="e">
        <f>VLOOKUP("francia",#REF!,8,FALSE)/VLOOKUP("francia",#REF!,8,FALSE)-1</f>
        <v>#REF!</v>
      </c>
      <c r="Q222" s="152" t="e">
        <f>VLOOKUP("francia",#REF!,8,FALSE)</f>
        <v>#REF!</v>
      </c>
    </row>
    <row r="223" spans="3:18" ht="24" hidden="1" customHeight="1" x14ac:dyDescent="0.2">
      <c r="C223" s="150" t="s">
        <v>45</v>
      </c>
      <c r="D223" s="151" t="e">
        <f>VLOOKUP("reino unido",#REF!,6,FALSE)/VLOOKUP("reino unido",#REF!,6,FALSE)-1</f>
        <v>#REF!</v>
      </c>
      <c r="E223" s="152" t="e">
        <f>VLOOKUP("reino unido",#REF!,6,FALSE)</f>
        <v>#REF!</v>
      </c>
      <c r="F223" s="151" t="e">
        <f>VLOOKUP("reino unido",#REF!,5,FALSE)/VLOOKUP("reino unido",#REF!,5,FALSE)-1</f>
        <v>#REF!</v>
      </c>
      <c r="G223" s="152" t="e">
        <f>VLOOKUP("reino unido",#REF!,5,FALSE)</f>
        <v>#REF!</v>
      </c>
      <c r="H223" s="151" t="e">
        <f>VLOOKUP("reino unido",#REF!,4,FALSE)/VLOOKUP("reino unido",#REF!,4,FALSE)-1</f>
        <v>#REF!</v>
      </c>
      <c r="I223" s="152" t="e">
        <f>VLOOKUP("reino unido",#REF!,4,FALSE)</f>
        <v>#REF!</v>
      </c>
      <c r="J223" s="151" t="e">
        <f>VLOOKUP("reino unido",#REF!,3,FALSE)/VLOOKUP("reino unido",#REF!,3,FALSE)-1</f>
        <v>#REF!</v>
      </c>
      <c r="K223" s="152" t="e">
        <f>VLOOKUP("reino unido",#REF!,3,FALSE)</f>
        <v>#REF!</v>
      </c>
      <c r="L223" s="151" t="e">
        <f>VLOOKUP("reino unido",#REF!,2,FALSE)/VLOOKUP("reino unido",#REF!,2,FALSE)-1</f>
        <v>#REF!</v>
      </c>
      <c r="M223" s="152" t="e">
        <f>VLOOKUP("reino unido",#REF!,2,FALSE)</f>
        <v>#REF!</v>
      </c>
      <c r="N223" s="151" t="e">
        <f>VLOOKUP("reino unido",#REF!,7,FALSE)/VLOOKUP("reino unido",#REF!,7,FALSE)-1</f>
        <v>#REF!</v>
      </c>
      <c r="O223" s="152" t="e">
        <f>VLOOKUP("reino unido",#REF!,7,FALSE)</f>
        <v>#REF!</v>
      </c>
      <c r="P223" s="151" t="e">
        <f>VLOOKUP("reino unido",#REF!,8,FALSE)/VLOOKUP("reino unido",#REF!,8,FALSE)-1</f>
        <v>#REF!</v>
      </c>
      <c r="Q223" s="152" t="e">
        <f>VLOOKUP("reino unido",#REF!,8,FALSE)</f>
        <v>#REF!</v>
      </c>
    </row>
    <row r="224" spans="3:18" ht="24" hidden="1" customHeight="1" x14ac:dyDescent="0.2">
      <c r="C224" s="150" t="s">
        <v>46</v>
      </c>
      <c r="D224" s="151" t="e">
        <f>VLOOKUP("irlanda",#REF!,6,FALSE)/VLOOKUP("irlanda",#REF!,6,FALSE)-1</f>
        <v>#REF!</v>
      </c>
      <c r="E224" s="152" t="e">
        <f>VLOOKUP("irlanda",#REF!,6,FALSE)</f>
        <v>#REF!</v>
      </c>
      <c r="F224" s="151" t="e">
        <f>VLOOKUP("irlanda",#REF!,5,FALSE)/VLOOKUP("irlanda",#REF!,5,FALSE)-1</f>
        <v>#REF!</v>
      </c>
      <c r="G224" s="152" t="e">
        <f>VLOOKUP("irlanda",#REF!,5,FALSE)</f>
        <v>#REF!</v>
      </c>
      <c r="H224" s="151" t="e">
        <f>VLOOKUP("irlanda",#REF!,4,FALSE)/VLOOKUP("irlanda",#REF!,4,FALSE)-1</f>
        <v>#REF!</v>
      </c>
      <c r="I224" s="152" t="e">
        <f>VLOOKUP("irlanda",#REF!,4,FALSE)</f>
        <v>#REF!</v>
      </c>
      <c r="J224" s="151" t="e">
        <f>VLOOKUP("irlanda",#REF!,3,FALSE)/VLOOKUP("irlanda",#REF!,3,FALSE)-1</f>
        <v>#REF!</v>
      </c>
      <c r="K224" s="152" t="e">
        <f>VLOOKUP("irlanda",#REF!,3,FALSE)</f>
        <v>#REF!</v>
      </c>
      <c r="L224" s="151" t="e">
        <f>VLOOKUP("irlanda",#REF!,2,FALSE)/VLOOKUP("irlanda",#REF!,2,FALSE)-1</f>
        <v>#REF!</v>
      </c>
      <c r="M224" s="152" t="e">
        <f>VLOOKUP("irlanda",#REF!,2,FALSE)</f>
        <v>#REF!</v>
      </c>
      <c r="N224" s="151" t="e">
        <f>VLOOKUP("irlanda",#REF!,7,FALSE)/VLOOKUP("irlanda",#REF!,7,FALSE)-1</f>
        <v>#REF!</v>
      </c>
      <c r="O224" s="152" t="e">
        <f>VLOOKUP("irlanda",#REF!,7,FALSE)</f>
        <v>#REF!</v>
      </c>
      <c r="P224" s="151" t="e">
        <f>VLOOKUP("irlanda",#REF!,8,FALSE)/VLOOKUP("irlanda",#REF!,8,FALSE)-1</f>
        <v>#REF!</v>
      </c>
      <c r="Q224" s="152" t="e">
        <f>VLOOKUP("irlanda",#REF!,8,FALSE)</f>
        <v>#REF!</v>
      </c>
    </row>
    <row r="225" spans="3:17" ht="24" hidden="1" customHeight="1" x14ac:dyDescent="0.2">
      <c r="C225" s="150" t="s">
        <v>47</v>
      </c>
      <c r="D225" s="151" t="e">
        <f>VLOOKUP("italia",#REF!,6,FALSE)/VLOOKUP("italia",#REF!,6,FALSE)-1</f>
        <v>#REF!</v>
      </c>
      <c r="E225" s="152" t="e">
        <f>VLOOKUP("italia",#REF!,6,FALSE)</f>
        <v>#REF!</v>
      </c>
      <c r="F225" s="151" t="e">
        <f>VLOOKUP("italia",#REF!,5,FALSE)/VLOOKUP("italia",#REF!,5,FALSE)-1</f>
        <v>#REF!</v>
      </c>
      <c r="G225" s="152" t="e">
        <f>VLOOKUP("italia",#REF!,5,FALSE)</f>
        <v>#REF!</v>
      </c>
      <c r="H225" s="151" t="e">
        <f>VLOOKUP("italia",#REF!,4,FALSE)/VLOOKUP("italia",#REF!,4,FALSE)-1</f>
        <v>#REF!</v>
      </c>
      <c r="I225" s="152" t="e">
        <f>VLOOKUP("italia",#REF!,4,FALSE)</f>
        <v>#REF!</v>
      </c>
      <c r="J225" s="151" t="e">
        <f>VLOOKUP("italia",#REF!,3,FALSE)/VLOOKUP("italia",#REF!,3,FALSE)-1</f>
        <v>#REF!</v>
      </c>
      <c r="K225" s="152" t="e">
        <f>VLOOKUP("italia",#REF!,3,FALSE)</f>
        <v>#REF!</v>
      </c>
      <c r="L225" s="151" t="e">
        <f>VLOOKUP("italia",#REF!,2,FALSE)/VLOOKUP("italia",#REF!,2,FALSE)-1</f>
        <v>#REF!</v>
      </c>
      <c r="M225" s="152" t="e">
        <f>VLOOKUP("italia",#REF!,2,FALSE)</f>
        <v>#REF!</v>
      </c>
      <c r="N225" s="151" t="e">
        <f>VLOOKUP("italia",#REF!,7,FALSE)/VLOOKUP("italia",#REF!,7,FALSE)-1</f>
        <v>#REF!</v>
      </c>
      <c r="O225" s="152" t="e">
        <f>VLOOKUP("italia",#REF!,7,FALSE)</f>
        <v>#REF!</v>
      </c>
      <c r="P225" s="151" t="e">
        <f>VLOOKUP("italia",#REF!,8,FALSE)/VLOOKUP("italia",#REF!,8,FALSE)-1</f>
        <v>#REF!</v>
      </c>
      <c r="Q225" s="152" t="e">
        <f>VLOOKUP("italia",#REF!,8,FALSE)</f>
        <v>#REF!</v>
      </c>
    </row>
    <row r="226" spans="3:17" ht="24" hidden="1" customHeight="1" x14ac:dyDescent="0.2">
      <c r="C226" s="150" t="s">
        <v>48</v>
      </c>
      <c r="D226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152" t="e">
        <f>(VLOOKUP("suecia",#REF!,6,FALSE)+VLOOKUP("noruega",#REF!,6,FALSE)+VLOOKUP("dinamarca",#REF!,6,FALSE)+VLOOKUP("finlandia",#REF!,6,FALSE))</f>
        <v>#REF!</v>
      </c>
      <c r="F226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152" t="e">
        <f>(VLOOKUP("suecia",#REF!,5,FALSE)+VLOOKUP("noruega",#REF!,5,FALSE)+VLOOKUP("dinamarca",#REF!,5,FALSE)+VLOOKUP("finlandia",#REF!,5,FALSE))</f>
        <v>#REF!</v>
      </c>
      <c r="H226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152" t="e">
        <f>(VLOOKUP("suecia",#REF!,4,FALSE)+VLOOKUP("noruega",#REF!,4,FALSE)+VLOOKUP("dinamarca",#REF!,4,FALSE)+VLOOKUP("finlandia",#REF!,4,FALSE))</f>
        <v>#REF!</v>
      </c>
      <c r="J226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152" t="e">
        <f>(VLOOKUP("suecia",#REF!,3,FALSE)+VLOOKUP("noruega",#REF!,3,FALSE)+VLOOKUP("dinamarca",#REF!,3,FALSE)+VLOOKUP("finlandia",#REF!,3,FALSE))</f>
        <v>#REF!</v>
      </c>
      <c r="L226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152" t="e">
        <f>(VLOOKUP("suecia",#REF!,2,FALSE)+VLOOKUP("noruega",#REF!,2,FALSE)+VLOOKUP("dinamarca",#REF!,2,FALSE)+VLOOKUP("finlandia",#REF!,2,FALSE))</f>
        <v>#REF!</v>
      </c>
      <c r="N226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152" t="e">
        <f>(VLOOKUP("suecia",#REF!,7,FALSE)+VLOOKUP("noruega",#REF!,7,FALSE)+VLOOKUP("dinamarca",#REF!,7,FALSE)+VLOOKUP("finlandia",#REF!,7,FALSE))</f>
        <v>#REF!</v>
      </c>
      <c r="P226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152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153" t="s">
        <v>49</v>
      </c>
      <c r="D227" s="151" t="e">
        <f>VLOOKUP("suecia",#REF!,6,FALSE)/VLOOKUP("suecia",#REF!,6,FALSE)-1</f>
        <v>#REF!</v>
      </c>
      <c r="E227" s="152" t="e">
        <f>VLOOKUP("suecia",#REF!,6,FALSE)</f>
        <v>#REF!</v>
      </c>
      <c r="F227" s="151" t="e">
        <f>VLOOKUP("suecia",#REF!,5,FALSE)/VLOOKUP("suecia",#REF!,5,FALSE)-1</f>
        <v>#REF!</v>
      </c>
      <c r="G227" s="152" t="e">
        <f>VLOOKUP("suecia",#REF!,5,FALSE)</f>
        <v>#REF!</v>
      </c>
      <c r="H227" s="151" t="e">
        <f>VLOOKUP("suecia",#REF!,4,FALSE)/VLOOKUP("suecia",#REF!,4,FALSE)-1</f>
        <v>#REF!</v>
      </c>
      <c r="I227" s="152" t="e">
        <f>VLOOKUP("suecia",#REF!,4,FALSE)</f>
        <v>#REF!</v>
      </c>
      <c r="J227" s="151" t="e">
        <f>VLOOKUP("suecia",#REF!,3,FALSE)/VLOOKUP("suecia",#REF!,3,FALSE)-1</f>
        <v>#REF!</v>
      </c>
      <c r="K227" s="152" t="e">
        <f>VLOOKUP("suecia",#REF!,3,FALSE)</f>
        <v>#REF!</v>
      </c>
      <c r="L227" s="151" t="e">
        <f>VLOOKUP("suecia",#REF!,2,FALSE)/VLOOKUP("suecia",#REF!,2,FALSE)-1</f>
        <v>#REF!</v>
      </c>
      <c r="M227" s="152" t="e">
        <f>VLOOKUP("suecia",#REF!,2,FALSE)</f>
        <v>#REF!</v>
      </c>
      <c r="N227" s="151" t="e">
        <f>VLOOKUP("suecia",#REF!,7,FALSE)/VLOOKUP("suecia",#REF!,7,FALSE)-1</f>
        <v>#REF!</v>
      </c>
      <c r="O227" s="152" t="e">
        <f>VLOOKUP("suecia",#REF!,7,FALSE)</f>
        <v>#REF!</v>
      </c>
      <c r="P227" s="151" t="e">
        <f>VLOOKUP("suecia",#REF!,8,FALSE)/VLOOKUP("suecia",#REF!,8,FALSE)-1</f>
        <v>#REF!</v>
      </c>
      <c r="Q227" s="152" t="e">
        <f>VLOOKUP("suecia",#REF!,8,FALSE)</f>
        <v>#REF!</v>
      </c>
    </row>
    <row r="228" spans="3:17" ht="24" hidden="1" customHeight="1" x14ac:dyDescent="0.2">
      <c r="C228" s="153" t="s">
        <v>50</v>
      </c>
      <c r="D228" s="151" t="e">
        <f>VLOOKUP("noruega",#REF!,6,FALSE)/VLOOKUP("noruega",#REF!,6,FALSE)-1</f>
        <v>#REF!</v>
      </c>
      <c r="E228" s="152" t="e">
        <f>VLOOKUP("noruega",#REF!,6,FALSE)</f>
        <v>#REF!</v>
      </c>
      <c r="F228" s="151" t="e">
        <f>VLOOKUP("noruega",#REF!,5,FALSE)/VLOOKUP("noruega",#REF!,5,FALSE)-1</f>
        <v>#REF!</v>
      </c>
      <c r="G228" s="152" t="e">
        <f>VLOOKUP("noruega",#REF!,5,FALSE)</f>
        <v>#REF!</v>
      </c>
      <c r="H228" s="151" t="e">
        <f>VLOOKUP("noruega",#REF!,4,FALSE)/VLOOKUP("noruega",#REF!,4,FALSE)-1</f>
        <v>#REF!</v>
      </c>
      <c r="I228" s="152" t="e">
        <f>VLOOKUP("noruega",#REF!,4,FALSE)</f>
        <v>#REF!</v>
      </c>
      <c r="J228" s="151" t="e">
        <f>VLOOKUP("noruega",#REF!,3,FALSE)/VLOOKUP("noruega",#REF!,3,FALSE)-1</f>
        <v>#REF!</v>
      </c>
      <c r="K228" s="152" t="e">
        <f>VLOOKUP("noruega",#REF!,3,FALSE)</f>
        <v>#REF!</v>
      </c>
      <c r="L228" s="151" t="e">
        <f>VLOOKUP("noruega",#REF!,2,FALSE)/VLOOKUP("noruega",#REF!,2,FALSE)-1</f>
        <v>#REF!</v>
      </c>
      <c r="M228" s="152" t="e">
        <f>VLOOKUP("noruega",#REF!,2,FALSE)</f>
        <v>#REF!</v>
      </c>
      <c r="N228" s="151" t="e">
        <f>VLOOKUP("noruega",#REF!,7,FALSE)/VLOOKUP("noruega",#REF!,7,FALSE)-1</f>
        <v>#REF!</v>
      </c>
      <c r="O228" s="152" t="e">
        <f>VLOOKUP("noruega",#REF!,7,FALSE)</f>
        <v>#REF!</v>
      </c>
      <c r="P228" s="151" t="e">
        <f>VLOOKUP("noruega",#REF!,8,FALSE)/VLOOKUP("noruega",#REF!,8,FALSE)-1</f>
        <v>#REF!</v>
      </c>
      <c r="Q228" s="152" t="e">
        <f>VLOOKUP("noruega",#REF!,8,FALSE)</f>
        <v>#REF!</v>
      </c>
    </row>
    <row r="229" spans="3:17" ht="24" hidden="1" customHeight="1" x14ac:dyDescent="0.2">
      <c r="C229" s="153" t="s">
        <v>51</v>
      </c>
      <c r="D229" s="151" t="e">
        <f>VLOOKUP("dinamarca",#REF!,6,FALSE)/VLOOKUP("dinamarca",#REF!,6,FALSE)-1</f>
        <v>#REF!</v>
      </c>
      <c r="E229" s="152" t="e">
        <f>VLOOKUP("dinamarca",#REF!,6,FALSE)</f>
        <v>#REF!</v>
      </c>
      <c r="F229" s="151" t="e">
        <f>VLOOKUP("dinamarca",#REF!,5,FALSE)/VLOOKUP("dinamarca",#REF!,5,FALSE)-1</f>
        <v>#REF!</v>
      </c>
      <c r="G229" s="152" t="e">
        <f>VLOOKUP("dinamarca",#REF!,5,FALSE)</f>
        <v>#REF!</v>
      </c>
      <c r="H229" s="151" t="e">
        <f>VLOOKUP("dinamarca",#REF!,4,FALSE)/VLOOKUP("dinamarca",#REF!,4,FALSE)-1</f>
        <v>#REF!</v>
      </c>
      <c r="I229" s="152" t="e">
        <f>VLOOKUP("dinamarca",#REF!,4,FALSE)</f>
        <v>#REF!</v>
      </c>
      <c r="J229" s="151" t="e">
        <f>VLOOKUP("dinamarca",#REF!,3,FALSE)/VLOOKUP("dinamarca",#REF!,3,FALSE)-1</f>
        <v>#REF!</v>
      </c>
      <c r="K229" s="152" t="e">
        <f>VLOOKUP("dinamarca",#REF!,3,FALSE)</f>
        <v>#REF!</v>
      </c>
      <c r="L229" s="151" t="e">
        <f>VLOOKUP("dinamarca",#REF!,2,FALSE)/VLOOKUP("dinamarca",#REF!,2,FALSE)-1</f>
        <v>#REF!</v>
      </c>
      <c r="M229" s="152" t="e">
        <f>VLOOKUP("dinamarca",#REF!,2,FALSE)</f>
        <v>#REF!</v>
      </c>
      <c r="N229" s="151" t="e">
        <f>VLOOKUP("dinamarca",#REF!,7,FALSE)/VLOOKUP("dinamarca",#REF!,7,FALSE)-1</f>
        <v>#REF!</v>
      </c>
      <c r="O229" s="152" t="e">
        <f>VLOOKUP("dinamarca",#REF!,7,FALSE)</f>
        <v>#REF!</v>
      </c>
      <c r="P229" s="151" t="e">
        <f>VLOOKUP("dinamarca",#REF!,8,FALSE)/VLOOKUP("dinamarca",#REF!,8,FALSE)-1</f>
        <v>#REF!</v>
      </c>
      <c r="Q229" s="152" t="e">
        <f>VLOOKUP("dinamarca",#REF!,8,FALSE)</f>
        <v>#REF!</v>
      </c>
    </row>
    <row r="230" spans="3:17" ht="24" hidden="1" customHeight="1" x14ac:dyDescent="0.2">
      <c r="C230" s="153" t="s">
        <v>52</v>
      </c>
      <c r="D230" s="151" t="s">
        <v>38</v>
      </c>
      <c r="E230" s="152" t="e">
        <f>VLOOKUP("finlandia",#REF!,6,FALSE)</f>
        <v>#REF!</v>
      </c>
      <c r="F230" s="151" t="e">
        <f>VLOOKUP("finlandia",#REF!,5,FALSE)/VLOOKUP("finlandia",#REF!,5,FALSE)-1</f>
        <v>#REF!</v>
      </c>
      <c r="G230" s="152" t="e">
        <f>VLOOKUP("finlandia",#REF!,5,FALSE)</f>
        <v>#REF!</v>
      </c>
      <c r="H230" s="151" t="e">
        <f>VLOOKUP("finlandia",#REF!,4,FALSE)/VLOOKUP("finlandia",#REF!,4,FALSE)-1</f>
        <v>#REF!</v>
      </c>
      <c r="I230" s="152" t="e">
        <f>VLOOKUP("finlandia",#REF!,4,FALSE)</f>
        <v>#REF!</v>
      </c>
      <c r="J230" s="151" t="e">
        <f>VLOOKUP("finlandia",#REF!,3,FALSE)/VLOOKUP("finlandia",#REF!,3,FALSE)-1</f>
        <v>#REF!</v>
      </c>
      <c r="K230" s="152" t="e">
        <f>VLOOKUP("finlandia",#REF!,3,FALSE)</f>
        <v>#REF!</v>
      </c>
      <c r="L230" s="151" t="s">
        <v>38</v>
      </c>
      <c r="M230" s="152" t="e">
        <f>VLOOKUP("finlandia",#REF!,2,FALSE)</f>
        <v>#REF!</v>
      </c>
      <c r="N230" s="151" t="e">
        <f>VLOOKUP("finlandia",#REF!,7,FALSE)/VLOOKUP("finlandia",#REF!,7,FALSE)-1</f>
        <v>#REF!</v>
      </c>
      <c r="O230" s="152" t="e">
        <f>VLOOKUP("finlandia",#REF!,7,FALSE)</f>
        <v>#REF!</v>
      </c>
      <c r="P230" s="151" t="e">
        <f>VLOOKUP("finlandia",#REF!,8,FALSE)/VLOOKUP("finlandia",#REF!,8,FALSE)-1</f>
        <v>#REF!</v>
      </c>
      <c r="Q230" s="152" t="e">
        <f>VLOOKUP("finlandia",#REF!,8,FALSE)</f>
        <v>#REF!</v>
      </c>
    </row>
    <row r="231" spans="3:17" ht="24" hidden="1" customHeight="1" x14ac:dyDescent="0.2">
      <c r="C231" s="150" t="s">
        <v>53</v>
      </c>
      <c r="D231" s="151" t="e">
        <f>VLOOKUP("suiza",#REF!,6,FALSE)/VLOOKUP("suiza",#REF!,6,FALSE)-1</f>
        <v>#REF!</v>
      </c>
      <c r="E231" s="152" t="e">
        <f>VLOOKUP("suiza",#REF!,6,FALSE)</f>
        <v>#REF!</v>
      </c>
      <c r="F231" s="151" t="e">
        <f>VLOOKUP("suiza",#REF!,5,FALSE)/VLOOKUP("suiza",#REF!,5,FALSE)-1</f>
        <v>#REF!</v>
      </c>
      <c r="G231" s="152" t="e">
        <f>VLOOKUP("suiza",#REF!,5,FALSE)</f>
        <v>#REF!</v>
      </c>
      <c r="H231" s="151" t="e">
        <f>VLOOKUP("suiza",#REF!,4,FALSE)/VLOOKUP("suiza",#REF!,4,FALSE)-1</f>
        <v>#REF!</v>
      </c>
      <c r="I231" s="152" t="e">
        <f>VLOOKUP("suiza",#REF!,4,FALSE)</f>
        <v>#REF!</v>
      </c>
      <c r="J231" s="151" t="e">
        <f>VLOOKUP("suiza",#REF!,3,FALSE)/VLOOKUP("suiza",#REF!,3,FALSE)-1</f>
        <v>#REF!</v>
      </c>
      <c r="K231" s="152" t="e">
        <f>VLOOKUP("suiza",#REF!,3,FALSE)</f>
        <v>#REF!</v>
      </c>
      <c r="L231" s="151" t="e">
        <f>VLOOKUP("suiza",#REF!,2,FALSE)/VLOOKUP("suiza",#REF!,2,FALSE)-1</f>
        <v>#REF!</v>
      </c>
      <c r="M231" s="152" t="e">
        <f>VLOOKUP("suiza",#REF!,2,FALSE)</f>
        <v>#REF!</v>
      </c>
      <c r="N231" s="151" t="e">
        <f>VLOOKUP("suiza",#REF!,7,FALSE)/VLOOKUP("suiza",#REF!,7,FALSE)-1</f>
        <v>#REF!</v>
      </c>
      <c r="O231" s="152" t="e">
        <f>VLOOKUP("suiza",#REF!,7,FALSE)</f>
        <v>#REF!</v>
      </c>
      <c r="P231" s="151" t="e">
        <f>VLOOKUP("suiza",#REF!,8,FALSE)/VLOOKUP("suiza",#REF!,8,FALSE)-1</f>
        <v>#REF!</v>
      </c>
      <c r="Q231" s="152" t="e">
        <f>VLOOKUP("suiza",#REF!,8,FALSE)</f>
        <v>#REF!</v>
      </c>
    </row>
    <row r="232" spans="3:17" ht="24" hidden="1" customHeight="1" x14ac:dyDescent="0.2">
      <c r="C232" s="150" t="s">
        <v>54</v>
      </c>
      <c r="D232" s="151" t="e">
        <f>VLOOKUP("austria",#REF!,6,FALSE)/VLOOKUP("austria",#REF!,6,FALSE)-1</f>
        <v>#REF!</v>
      </c>
      <c r="E232" s="152" t="e">
        <f>VLOOKUP("austria",#REF!,6,FALSE)</f>
        <v>#REF!</v>
      </c>
      <c r="F232" s="151" t="e">
        <f>VLOOKUP("austria",#REF!,5,FALSE)/VLOOKUP("austria",#REF!,5,FALSE)-1</f>
        <v>#REF!</v>
      </c>
      <c r="G232" s="152" t="e">
        <f>VLOOKUP("austria",#REF!,5,FALSE)</f>
        <v>#REF!</v>
      </c>
      <c r="H232" s="151" t="e">
        <f>VLOOKUP("austria",#REF!,4,FALSE)/VLOOKUP("austria",#REF!,4,FALSE)-1</f>
        <v>#REF!</v>
      </c>
      <c r="I232" s="152" t="e">
        <f>VLOOKUP("austria",#REF!,4,FALSE)</f>
        <v>#REF!</v>
      </c>
      <c r="J232" s="151" t="e">
        <f>VLOOKUP("austria",#REF!,3,FALSE)/VLOOKUP("austria",#REF!,3,FALSE)-1</f>
        <v>#REF!</v>
      </c>
      <c r="K232" s="152" t="e">
        <f>VLOOKUP("austria",#REF!,3,FALSE)</f>
        <v>#REF!</v>
      </c>
      <c r="L232" s="151" t="e">
        <f>VLOOKUP("austria",#REF!,2,FALSE)/VLOOKUP("austria",#REF!,2,FALSE)-1</f>
        <v>#REF!</v>
      </c>
      <c r="M232" s="152" t="e">
        <f>VLOOKUP("austria",#REF!,2,FALSE)</f>
        <v>#REF!</v>
      </c>
      <c r="N232" s="151" t="e">
        <f>VLOOKUP("austria",#REF!,7,FALSE)/VLOOKUP("austria",#REF!,7,FALSE)-1</f>
        <v>#REF!</v>
      </c>
      <c r="O232" s="152" t="e">
        <f>VLOOKUP("austria",#REF!,7,FALSE)</f>
        <v>#REF!</v>
      </c>
      <c r="P232" s="151" t="e">
        <f>VLOOKUP("austria",#REF!,8,FALSE)/VLOOKUP("austria",#REF!,8,FALSE)-1</f>
        <v>#REF!</v>
      </c>
      <c r="Q232" s="152" t="e">
        <f>VLOOKUP("austria",#REF!,8,FALSE)</f>
        <v>#REF!</v>
      </c>
    </row>
    <row r="233" spans="3:17" ht="24" hidden="1" customHeight="1" x14ac:dyDescent="0.2">
      <c r="C233" s="150" t="s">
        <v>55</v>
      </c>
      <c r="D233" s="151" t="e">
        <f>VLOOKUP("rusia",#REF!,6,FALSE)/VLOOKUP("rusia",#REF!,6,FALSE)-1</f>
        <v>#REF!</v>
      </c>
      <c r="E233" s="152" t="e">
        <f>VLOOKUP("rusia",#REF!,6,FALSE)</f>
        <v>#REF!</v>
      </c>
      <c r="F233" s="151" t="e">
        <f>VLOOKUP("rusia",#REF!,5,FALSE)/VLOOKUP("rusia",#REF!,5,FALSE)-1</f>
        <v>#REF!</v>
      </c>
      <c r="G233" s="152" t="e">
        <f>VLOOKUP("rusia",#REF!,5,FALSE)</f>
        <v>#REF!</v>
      </c>
      <c r="H233" s="151" t="e">
        <f>VLOOKUP("rusia",#REF!,4,FALSE)/VLOOKUP("rusia",#REF!,4,FALSE)-1</f>
        <v>#REF!</v>
      </c>
      <c r="I233" s="152" t="e">
        <f>VLOOKUP("rusia",#REF!,4,FALSE)</f>
        <v>#REF!</v>
      </c>
      <c r="J233" s="151" t="e">
        <f>VLOOKUP("rusia",#REF!,3,FALSE)/VLOOKUP("rusia",#REF!,3,FALSE)-1</f>
        <v>#REF!</v>
      </c>
      <c r="K233" s="152" t="e">
        <f>VLOOKUP("rusia",#REF!,3,FALSE)</f>
        <v>#REF!</v>
      </c>
      <c r="L233" s="151" t="e">
        <f>VLOOKUP("rusia",#REF!,2,FALSE)/VLOOKUP("rusia",#REF!,2,FALSE)-1</f>
        <v>#REF!</v>
      </c>
      <c r="M233" s="152" t="e">
        <f>VLOOKUP("rusia",#REF!,2,FALSE)</f>
        <v>#REF!</v>
      </c>
      <c r="N233" s="151" t="e">
        <f>VLOOKUP("rusia",#REF!,7,FALSE)/VLOOKUP("rusia",#REF!,7,FALSE)-1</f>
        <v>#REF!</v>
      </c>
      <c r="O233" s="152" t="e">
        <f>VLOOKUP("rusia",#REF!,7,FALSE)</f>
        <v>#REF!</v>
      </c>
      <c r="P233" s="151" t="e">
        <f>VLOOKUP("rusia",#REF!,8,FALSE)/VLOOKUP("rusia",#REF!,8,FALSE)-1</f>
        <v>#REF!</v>
      </c>
      <c r="Q233" s="152" t="e">
        <f>VLOOKUP("rusia",#REF!,8,FALSE)</f>
        <v>#REF!</v>
      </c>
    </row>
    <row r="234" spans="3:17" ht="24" hidden="1" customHeight="1" x14ac:dyDescent="0.2">
      <c r="C234" s="150" t="s">
        <v>56</v>
      </c>
      <c r="D234" s="151" t="e">
        <f>VLOOKUP("paises del este",#REF!,6,FALSE)/VLOOKUP("paises del este",#REF!,6,FALSE)-1</f>
        <v>#REF!</v>
      </c>
      <c r="E234" s="152" t="e">
        <f>VLOOKUP("paises del este",#REF!,6,FALSE)</f>
        <v>#REF!</v>
      </c>
      <c r="F234" s="151" t="e">
        <f>VLOOKUP("paises del este",#REF!,5,FALSE)/VLOOKUP("paises del este",#REF!,5,FALSE)-1</f>
        <v>#REF!</v>
      </c>
      <c r="G234" s="152" t="e">
        <f>VLOOKUP("paises del este",#REF!,5,FALSE)</f>
        <v>#REF!</v>
      </c>
      <c r="H234" s="151" t="e">
        <f>VLOOKUP("paises del este",#REF!,4,FALSE)/VLOOKUP("paises del este",#REF!,4,FALSE)-1</f>
        <v>#REF!</v>
      </c>
      <c r="I234" s="152" t="e">
        <f>VLOOKUP("paises del este",#REF!,4,FALSE)</f>
        <v>#REF!</v>
      </c>
      <c r="J234" s="151" t="e">
        <f>VLOOKUP("paises del este",#REF!,3,FALSE)/VLOOKUP("paises del este",#REF!,3,FALSE)-1</f>
        <v>#REF!</v>
      </c>
      <c r="K234" s="152" t="e">
        <f>VLOOKUP("paises del este",#REF!,3,FALSE)</f>
        <v>#REF!</v>
      </c>
      <c r="L234" s="151" t="e">
        <f>VLOOKUP("paises del este",#REF!,2,FALSE)/VLOOKUP("paises del este",#REF!,2,FALSE)-1</f>
        <v>#REF!</v>
      </c>
      <c r="M234" s="152" t="e">
        <f>VLOOKUP("paises del este",#REF!,2,FALSE)</f>
        <v>#REF!</v>
      </c>
      <c r="N234" s="151" t="e">
        <f>VLOOKUP("paises del este",#REF!,7,FALSE)/VLOOKUP("paises del este",#REF!,7,FALSE)-1</f>
        <v>#REF!</v>
      </c>
      <c r="O234" s="152" t="e">
        <f>VLOOKUP("paises del este",#REF!,7,FALSE)</f>
        <v>#REF!</v>
      </c>
      <c r="P234" s="151" t="e">
        <f>VLOOKUP("paises del este",#REF!,8,FALSE)/VLOOKUP("paises del este",#REF!,8,FALSE)-1</f>
        <v>#REF!</v>
      </c>
      <c r="Q234" s="152" t="e">
        <f>VLOOKUP("paises del este",#REF!,8,FALSE)</f>
        <v>#REF!</v>
      </c>
    </row>
    <row r="235" spans="3:17" ht="24" hidden="1" customHeight="1" x14ac:dyDescent="0.2">
      <c r="C235" s="150" t="s">
        <v>57</v>
      </c>
      <c r="D235" s="151" t="e">
        <f>VLOOKUP("resto de europa",#REF!,6,FALSE)/VLOOKUP("resto de europa",#REF!,6,FALSE)-1</f>
        <v>#REF!</v>
      </c>
      <c r="E235" s="152" t="e">
        <f>VLOOKUP("resto de europa",#REF!,6,FALSE)</f>
        <v>#REF!</v>
      </c>
      <c r="F235" s="151" t="e">
        <f>VLOOKUP("resto de europa",#REF!,5,FALSE)/VLOOKUP("resto de europa",#REF!,5,FALSE)-1</f>
        <v>#REF!</v>
      </c>
      <c r="G235" s="152" t="e">
        <f>VLOOKUP("resto de europa",#REF!,5,FALSE)</f>
        <v>#REF!</v>
      </c>
      <c r="H235" s="151" t="e">
        <f>VLOOKUP("resto de europa",#REF!,4,FALSE)/VLOOKUP("resto de europa",#REF!,4,FALSE)-1</f>
        <v>#REF!</v>
      </c>
      <c r="I235" s="152" t="e">
        <f>VLOOKUP("resto de europa",#REF!,4,FALSE)</f>
        <v>#REF!</v>
      </c>
      <c r="J235" s="151" t="e">
        <f>VLOOKUP("resto de europa",#REF!,3,FALSE)/VLOOKUP("resto de europa",#REF!,3,FALSE)-1</f>
        <v>#REF!</v>
      </c>
      <c r="K235" s="152" t="e">
        <f>VLOOKUP("resto de europa",#REF!,3,FALSE)</f>
        <v>#REF!</v>
      </c>
      <c r="L235" s="151" t="e">
        <f>VLOOKUP("resto de europa",#REF!,2,FALSE)/VLOOKUP("resto de europa",#REF!,2,FALSE)-1</f>
        <v>#REF!</v>
      </c>
      <c r="M235" s="152" t="e">
        <f>VLOOKUP("resto de europa",#REF!,2,FALSE)</f>
        <v>#REF!</v>
      </c>
      <c r="N235" s="151" t="e">
        <f>VLOOKUP("resto de europa",#REF!,7,FALSE)/VLOOKUP("resto de europa",#REF!,7,FALSE)-1</f>
        <v>#REF!</v>
      </c>
      <c r="O235" s="152" t="e">
        <f>VLOOKUP("resto de europa",#REF!,7,FALSE)</f>
        <v>#REF!</v>
      </c>
      <c r="P235" s="151" t="e">
        <f>VLOOKUP("resto de europa",#REF!,8,FALSE)/VLOOKUP("resto de europa",#REF!,8,FALSE)-1</f>
        <v>#REF!</v>
      </c>
      <c r="Q235" s="152" t="e">
        <f>VLOOKUP("resto de europa",#REF!,8,FALSE)</f>
        <v>#REF!</v>
      </c>
    </row>
    <row r="236" spans="3:17" ht="24" hidden="1" customHeight="1" x14ac:dyDescent="0.2">
      <c r="C236" s="150" t="s">
        <v>58</v>
      </c>
      <c r="D236" s="151" t="e">
        <f>VLOOKUP("usa",#REF!,6,FALSE)/VLOOKUP("usa",#REF!,6,FALSE)-1</f>
        <v>#REF!</v>
      </c>
      <c r="E236" s="152" t="e">
        <f>VLOOKUP("usa",#REF!,6,FALSE)</f>
        <v>#REF!</v>
      </c>
      <c r="F236" s="151" t="e">
        <f>VLOOKUP("usa",#REF!,5,FALSE)/VLOOKUP("usa",#REF!,5,FALSE)-1</f>
        <v>#REF!</v>
      </c>
      <c r="G236" s="152" t="e">
        <f>VLOOKUP("usa",#REF!,5,FALSE)</f>
        <v>#REF!</v>
      </c>
      <c r="H236" s="151" t="e">
        <f>VLOOKUP("usa",#REF!,4,FALSE)/VLOOKUP("usa",#REF!,4,FALSE)-1</f>
        <v>#REF!</v>
      </c>
      <c r="I236" s="152" t="e">
        <f>VLOOKUP("usa",#REF!,4,FALSE)</f>
        <v>#REF!</v>
      </c>
      <c r="J236" s="151" t="e">
        <f>VLOOKUP("usa",#REF!,3,FALSE)/VLOOKUP("usa",#REF!,3,FALSE)-1</f>
        <v>#REF!</v>
      </c>
      <c r="K236" s="152" t="e">
        <f>VLOOKUP("usa",#REF!,3,FALSE)</f>
        <v>#REF!</v>
      </c>
      <c r="L236" s="151" t="e">
        <f>VLOOKUP("usa",#REF!,2,FALSE)/VLOOKUP("usa",#REF!,2,FALSE)-1</f>
        <v>#REF!</v>
      </c>
      <c r="M236" s="152" t="e">
        <f>VLOOKUP("usa",#REF!,2,FALSE)</f>
        <v>#REF!</v>
      </c>
      <c r="N236" s="151" t="e">
        <f>VLOOKUP("usa",#REF!,7,FALSE)/VLOOKUP("usa",#REF!,7,FALSE)-1</f>
        <v>#REF!</v>
      </c>
      <c r="O236" s="152" t="e">
        <f>VLOOKUP("usa",#REF!,7,FALSE)</f>
        <v>#REF!</v>
      </c>
      <c r="P236" s="151" t="e">
        <f>VLOOKUP("usa",#REF!,8,FALSE)/VLOOKUP("usa",#REF!,8,FALSE)-1</f>
        <v>#REF!</v>
      </c>
      <c r="Q236" s="152" t="e">
        <f>VLOOKUP("usa",#REF!,8,FALSE)</f>
        <v>#REF!</v>
      </c>
    </row>
    <row r="237" spans="3:17" ht="24" hidden="1" customHeight="1" x14ac:dyDescent="0.2">
      <c r="C237" s="150" t="s">
        <v>59</v>
      </c>
      <c r="D237" s="151" t="e">
        <f>VLOOKUP("resto de america",#REF!,6,FALSE)/VLOOKUP("resto de america",#REF!,6,FALSE)-1</f>
        <v>#REF!</v>
      </c>
      <c r="E237" s="152" t="e">
        <f>VLOOKUP("resto de america",#REF!,6,FALSE)</f>
        <v>#REF!</v>
      </c>
      <c r="F237" s="151" t="e">
        <f>VLOOKUP("resto de america",#REF!,5,FALSE)/VLOOKUP("resto de america",#REF!,5,FALSE)-1</f>
        <v>#REF!</v>
      </c>
      <c r="G237" s="152" t="e">
        <f>VLOOKUP("resto de america",#REF!,5,FALSE)</f>
        <v>#REF!</v>
      </c>
      <c r="H237" s="151" t="e">
        <f>VLOOKUP("resto de america",#REF!,4,FALSE)/VLOOKUP("resto de america",#REF!,4,FALSE)-1</f>
        <v>#REF!</v>
      </c>
      <c r="I237" s="152" t="e">
        <f>VLOOKUP("resto de america",#REF!,4,FALSE)</f>
        <v>#REF!</v>
      </c>
      <c r="J237" s="151" t="e">
        <f>VLOOKUP("resto de america",#REF!,3,FALSE)/VLOOKUP("resto de america",#REF!,3,FALSE)-1</f>
        <v>#REF!</v>
      </c>
      <c r="K237" s="152" t="e">
        <f>VLOOKUP("resto de america",#REF!,3,FALSE)</f>
        <v>#REF!</v>
      </c>
      <c r="L237" s="151" t="e">
        <f>VLOOKUP("resto de america",#REF!,2,FALSE)/VLOOKUP("resto de america",#REF!,2,FALSE)-1</f>
        <v>#REF!</v>
      </c>
      <c r="M237" s="152" t="e">
        <f>VLOOKUP("resto de america",#REF!,2,FALSE)</f>
        <v>#REF!</v>
      </c>
      <c r="N237" s="151" t="e">
        <f>VLOOKUP("resto de america",#REF!,7,FALSE)/VLOOKUP("resto de america",#REF!,7,FALSE)-1</f>
        <v>#REF!</v>
      </c>
      <c r="O237" s="152" t="e">
        <f>VLOOKUP("resto de america",#REF!,7,FALSE)</f>
        <v>#REF!</v>
      </c>
      <c r="P237" s="151" t="e">
        <f>VLOOKUP("resto de america",#REF!,8,FALSE)/VLOOKUP("resto de america",#REF!,8,FALSE)-1</f>
        <v>#REF!</v>
      </c>
      <c r="Q237" s="152" t="e">
        <f>VLOOKUP("resto de america",#REF!,8,FALSE)</f>
        <v>#REF!</v>
      </c>
    </row>
    <row r="238" spans="3:17" ht="24" hidden="1" customHeight="1" x14ac:dyDescent="0.2">
      <c r="C238" s="150" t="s">
        <v>60</v>
      </c>
      <c r="D238" s="151" t="e">
        <f>VLOOKUP("resto del mundo",#REF!,6,FALSE)/VLOOKUP("resto del mundo",#REF!,6,FALSE)-1</f>
        <v>#REF!</v>
      </c>
      <c r="E238" s="152" t="e">
        <f>VLOOKUP("resto del mundo",#REF!,6,FALSE)</f>
        <v>#REF!</v>
      </c>
      <c r="F238" s="151" t="e">
        <f>VLOOKUP("resto del mundo",#REF!,5,FALSE)/VLOOKUP("resto del mundo",#REF!,5,FALSE)-1</f>
        <v>#REF!</v>
      </c>
      <c r="G238" s="152" t="e">
        <f>VLOOKUP("resto del mundo",#REF!,5,FALSE)</f>
        <v>#REF!</v>
      </c>
      <c r="H238" s="151" t="e">
        <f>VLOOKUP("resto del mundo",#REF!,4,FALSE)/VLOOKUP("resto del mundo",#REF!,4,FALSE)-1</f>
        <v>#REF!</v>
      </c>
      <c r="I238" s="152" t="e">
        <f>VLOOKUP("resto del mundo",#REF!,4,FALSE)</f>
        <v>#REF!</v>
      </c>
      <c r="J238" s="151" t="e">
        <f>VLOOKUP("resto del mundo",#REF!,3,FALSE)/VLOOKUP("resto del mundo",#REF!,3,FALSE)-1</f>
        <v>#REF!</v>
      </c>
      <c r="K238" s="152" t="e">
        <f>VLOOKUP("resto del mundo",#REF!,3,FALSE)</f>
        <v>#REF!</v>
      </c>
      <c r="L238" s="151" t="e">
        <f>VLOOKUP("resto del mundo",#REF!,2,FALSE)/VLOOKUP("resto del mundo",#REF!,2,FALSE)-1</f>
        <v>#REF!</v>
      </c>
      <c r="M238" s="152" t="e">
        <f>VLOOKUP("resto del mundo",#REF!,2,FALSE)</f>
        <v>#REF!</v>
      </c>
      <c r="N238" s="151" t="e">
        <f>VLOOKUP("resto del mundo",#REF!,7,FALSE)/VLOOKUP("resto del mundo",#REF!,7,FALSE)-1</f>
        <v>#REF!</v>
      </c>
      <c r="O238" s="152" t="e">
        <f>VLOOKUP("resto del mundo",#REF!,7,FALSE)</f>
        <v>#REF!</v>
      </c>
      <c r="P238" s="151" t="e">
        <f>VLOOKUP("resto del mundo",#REF!,8,FALSE)/VLOOKUP("resto del mundo",#REF!,8,FALSE)-1</f>
        <v>#REF!</v>
      </c>
      <c r="Q238" s="152" t="e">
        <f>VLOOKUP("resto del mundo",#REF!,8,FALSE)</f>
        <v>#REF!</v>
      </c>
    </row>
    <row r="239" spans="3:17" ht="24" hidden="1" customHeight="1" x14ac:dyDescent="0.2">
      <c r="C239" s="150" t="s">
        <v>61</v>
      </c>
      <c r="D239" s="151" t="e">
        <f>(VLOOKUP("total",#REF!,6,FALSE)-VLOOKUP("españa",#REF!,6,FALSE))/(VLOOKUP("total",#REF!,6,FALSE)-VLOOKUP("españa",#REF!,6,FALSE))-1</f>
        <v>#REF!</v>
      </c>
      <c r="E239" s="152" t="e">
        <f>VLOOKUP("total",#REF!,6,FALSE)-VLOOKUP("españa",#REF!,6,FALSE)</f>
        <v>#REF!</v>
      </c>
      <c r="F239" s="151" t="e">
        <f>(VLOOKUP("total",#REF!,5,FALSE)-VLOOKUP("españa",#REF!,5,FALSE))/(VLOOKUP("total",#REF!,5,FALSE)-VLOOKUP("españa",#REF!,5,FALSE))-1</f>
        <v>#REF!</v>
      </c>
      <c r="G239" s="152" t="e">
        <f>VLOOKUP("total",#REF!,5,FALSE)-VLOOKUP("españa",#REF!,5,FALSE)</f>
        <v>#REF!</v>
      </c>
      <c r="H239" s="151" t="e">
        <f>(VLOOKUP("total",#REF!,4,FALSE)-VLOOKUP("españa",#REF!,4,FALSE))/(VLOOKUP("total",#REF!,4,FALSE)-VLOOKUP("españa",#REF!,4,FALSE))-1</f>
        <v>#REF!</v>
      </c>
      <c r="I239" s="152" t="e">
        <f>VLOOKUP("total",#REF!,4,FALSE)-VLOOKUP("españa",#REF!,4,FALSE)</f>
        <v>#REF!</v>
      </c>
      <c r="J239" s="151" t="e">
        <f>(VLOOKUP("total",#REF!,3,FALSE)-VLOOKUP("españa",#REF!,3,FALSE))/(VLOOKUP("total",#REF!,3,FALSE)-VLOOKUP("españa",#REF!,3,FALSE))-1</f>
        <v>#REF!</v>
      </c>
      <c r="K239" s="152" t="e">
        <f>VLOOKUP("total",#REF!,3,FALSE)-VLOOKUP("españa",#REF!,3,FALSE)</f>
        <v>#REF!</v>
      </c>
      <c r="L239" s="151" t="e">
        <f>(VLOOKUP("total",#REF!,2,FALSE)-VLOOKUP("españa",#REF!,2,FALSE))/(VLOOKUP("total",#REF!,2,FALSE)-VLOOKUP("españa",#REF!,2,FALSE))-1</f>
        <v>#REF!</v>
      </c>
      <c r="M239" s="152" t="e">
        <f>VLOOKUP("total",#REF!,2,FALSE)-VLOOKUP("españa",#REF!,2,FALSE)</f>
        <v>#REF!</v>
      </c>
      <c r="N239" s="151" t="e">
        <f>(VLOOKUP("total",#REF!,7,FALSE)-VLOOKUP("españa",#REF!,7,FALSE))/(VLOOKUP("total",#REF!,7,FALSE)-VLOOKUP("españa",#REF!,7,FALSE))-1</f>
        <v>#REF!</v>
      </c>
      <c r="O239" s="152" t="e">
        <f>VLOOKUP("total",#REF!,7,FALSE)-VLOOKUP("españa",#REF!,7,FALSE)</f>
        <v>#REF!</v>
      </c>
      <c r="P239" s="151" t="e">
        <f>(VLOOKUP("total",#REF!,8,FALSE)-VLOOKUP("españa",#REF!,8,FALSE))/(VLOOKUP("total",#REF!,8,FALSE)-VLOOKUP("españa",#REF!,8,FALSE))-1</f>
        <v>#REF!</v>
      </c>
      <c r="Q239" s="152" t="e">
        <f>VLOOKUP("total",#REF!,8,FALSE)-VLOOKUP("españa",#REF!,8,FALSE)</f>
        <v>#REF!</v>
      </c>
    </row>
    <row r="240" spans="3:17" ht="24" hidden="1" customHeight="1" x14ac:dyDescent="0.2">
      <c r="C240" s="150" t="s">
        <v>8</v>
      </c>
      <c r="D240" s="151" t="e">
        <f>VLOOKUP("total",#REF!,6,FALSE)/VLOOKUP("total",#REF!,6,FALSE)-1</f>
        <v>#REF!</v>
      </c>
      <c r="E240" s="152" t="e">
        <f>VLOOKUP("total",#REF!,6,FALSE)</f>
        <v>#REF!</v>
      </c>
      <c r="F240" s="151" t="e">
        <f>VLOOKUP("total",#REF!,5,FALSE)/VLOOKUP("total",#REF!,5,FALSE)-1</f>
        <v>#REF!</v>
      </c>
      <c r="G240" s="152" t="e">
        <f>VLOOKUP("total",#REF!,5,FALSE)</f>
        <v>#REF!</v>
      </c>
      <c r="H240" s="151" t="e">
        <f>VLOOKUP("total",#REF!,4,FALSE)/VLOOKUP("total",#REF!,4,FALSE)-1</f>
        <v>#REF!</v>
      </c>
      <c r="I240" s="152" t="e">
        <f>VLOOKUP("total",#REF!,4,FALSE)</f>
        <v>#REF!</v>
      </c>
      <c r="J240" s="151" t="e">
        <f>VLOOKUP("total",#REF!,3,FALSE)/VLOOKUP("total",#REF!,3,FALSE)-1</f>
        <v>#REF!</v>
      </c>
      <c r="K240" s="152" t="e">
        <f>VLOOKUP("total",#REF!,3,FALSE)</f>
        <v>#REF!</v>
      </c>
      <c r="L240" s="151" t="e">
        <f>VLOOKUP("total",#REF!,2,FALSE)/VLOOKUP("total",#REF!,2,FALSE)-1</f>
        <v>#REF!</v>
      </c>
      <c r="M240" s="152" t="e">
        <f>VLOOKUP("total",#REF!,2,FALSE)</f>
        <v>#REF!</v>
      </c>
      <c r="N240" s="151" t="e">
        <f>VLOOKUP("total",#REF!,7,FALSE)/VLOOKUP("total",#REF!,7,FALSE)-1</f>
        <v>#REF!</v>
      </c>
      <c r="O240" s="152" t="e">
        <f>VLOOKUP("total",#REF!,7,FALSE)</f>
        <v>#REF!</v>
      </c>
      <c r="P240" s="151" t="e">
        <f>VLOOKUP("total",#REF!,8,FALSE)/VLOOKUP("total",#REF!,8,FALSE)-1</f>
        <v>#REF!</v>
      </c>
      <c r="Q240" s="152" t="e">
        <f>VLOOKUP("total",#REF!,8,FALSE)</f>
        <v>#REF!</v>
      </c>
    </row>
    <row r="241" spans="3:13" ht="18" customHeight="1" thickBot="1" x14ac:dyDescent="0.25">
      <c r="C241" s="3"/>
    </row>
    <row r="242" spans="3:13" ht="50.25" customHeight="1" thickBot="1" x14ac:dyDescent="0.25">
      <c r="C242" s="2"/>
      <c r="D242" s="2"/>
      <c r="E242" s="263" t="str">
        <f>$E$1</f>
        <v>INDICADORES TURÍSTICOS DE TENERIFE definitivo</v>
      </c>
      <c r="F242" s="263"/>
      <c r="G242" s="263"/>
      <c r="H242" s="263"/>
      <c r="I242" s="263"/>
      <c r="J242" s="263"/>
      <c r="K242" s="263"/>
      <c r="L242" s="2"/>
      <c r="M242" s="2"/>
    </row>
    <row r="243" spans="3:13" ht="5.25" customHeight="1" thickBot="1" x14ac:dyDescent="0.25">
      <c r="C243" s="3"/>
    </row>
    <row r="244" spans="3:13" ht="28.5" customHeight="1" thickBot="1" x14ac:dyDescent="0.25">
      <c r="C244" s="310" t="s">
        <v>67</v>
      </c>
      <c r="D244" s="311"/>
      <c r="E244" s="311"/>
      <c r="F244" s="311"/>
      <c r="G244" s="311"/>
      <c r="H244" s="311"/>
      <c r="I244" s="311"/>
      <c r="J244" s="311"/>
      <c r="K244" s="311"/>
      <c r="L244" s="311"/>
      <c r="M244" s="312"/>
    </row>
    <row r="245" spans="3:13" ht="5.25" customHeight="1" thickBot="1" x14ac:dyDescent="0.25">
      <c r="C245" s="155"/>
      <c r="D245" s="156"/>
      <c r="E245" s="156"/>
      <c r="F245" s="156"/>
      <c r="G245" s="157"/>
      <c r="H245" s="157"/>
      <c r="I245" s="157"/>
      <c r="J245" s="156"/>
      <c r="K245" s="156"/>
      <c r="L245" s="156"/>
      <c r="M245" s="158"/>
    </row>
    <row r="246" spans="3:13" ht="32.25" customHeight="1" thickTop="1" thickBot="1" x14ac:dyDescent="0.25">
      <c r="C246" s="121"/>
      <c r="D246" s="296" t="s">
        <v>7</v>
      </c>
      <c r="E246" s="297"/>
      <c r="F246" s="296" t="s">
        <v>30</v>
      </c>
      <c r="G246" s="297"/>
      <c r="H246" s="296" t="s">
        <v>31</v>
      </c>
      <c r="I246" s="297"/>
      <c r="J246" s="296" t="s">
        <v>32</v>
      </c>
      <c r="K246" s="297"/>
      <c r="L246" s="296" t="s">
        <v>33</v>
      </c>
      <c r="M246" s="313"/>
    </row>
    <row r="247" spans="3:13" ht="31.5" customHeight="1" thickBot="1" x14ac:dyDescent="0.25">
      <c r="C247" s="122"/>
      <c r="D247" s="159" t="s">
        <v>68</v>
      </c>
      <c r="E247" s="160" t="s">
        <v>69</v>
      </c>
      <c r="F247" s="159" t="s">
        <v>68</v>
      </c>
      <c r="G247" s="160" t="s">
        <v>69</v>
      </c>
      <c r="H247" s="159" t="s">
        <v>68</v>
      </c>
      <c r="I247" s="160" t="s">
        <v>69</v>
      </c>
      <c r="J247" s="159" t="s">
        <v>68</v>
      </c>
      <c r="K247" s="160" t="s">
        <v>69</v>
      </c>
      <c r="L247" s="159" t="s">
        <v>68</v>
      </c>
      <c r="M247" s="161" t="s">
        <v>69</v>
      </c>
    </row>
    <row r="248" spans="3:13" ht="18.75" thickBot="1" x14ac:dyDescent="0.25">
      <c r="C248" s="125" t="s">
        <v>36</v>
      </c>
      <c r="D248" s="162">
        <v>0.2841947876648323</v>
      </c>
      <c r="E248" s="163">
        <v>0.20762513406378277</v>
      </c>
      <c r="F248" s="162">
        <v>0.80998026501268683</v>
      </c>
      <c r="G248" s="163">
        <v>0.69803494934384991</v>
      </c>
      <c r="H248" s="162">
        <v>0.68658641444539981</v>
      </c>
      <c r="I248" s="163">
        <v>0.51172919232271052</v>
      </c>
      <c r="J248" s="162">
        <v>0.58098208305425314</v>
      </c>
      <c r="K248" s="163">
        <v>0.45169571523956437</v>
      </c>
      <c r="L248" s="162">
        <v>0.17540998484644305</v>
      </c>
      <c r="M248" s="164">
        <v>0.11395577917153546</v>
      </c>
    </row>
    <row r="249" spans="3:13" ht="26.25" thickBot="1" x14ac:dyDescent="0.25">
      <c r="C249" s="165" t="s">
        <v>70</v>
      </c>
      <c r="D249" s="166">
        <v>7.9948979781519325E-2</v>
      </c>
      <c r="E249" s="167">
        <v>5.169057643634848E-2</v>
      </c>
      <c r="F249" s="166"/>
      <c r="G249" s="167"/>
      <c r="H249" s="166"/>
      <c r="I249" s="167"/>
      <c r="J249" s="166"/>
      <c r="K249" s="167"/>
      <c r="L249" s="166"/>
      <c r="M249" s="168"/>
    </row>
    <row r="250" spans="3:13" ht="26.25" thickBot="1" x14ac:dyDescent="0.25">
      <c r="C250" s="165" t="s">
        <v>39</v>
      </c>
      <c r="D250" s="166">
        <v>3.52929924601533E-2</v>
      </c>
      <c r="E250" s="167">
        <v>2.7584308023744515E-2</v>
      </c>
      <c r="F250" s="166"/>
      <c r="G250" s="167"/>
      <c r="H250" s="166"/>
      <c r="I250" s="167"/>
      <c r="J250" s="166"/>
      <c r="K250" s="167"/>
      <c r="L250" s="166"/>
      <c r="M250" s="168"/>
    </row>
    <row r="251" spans="3:13" ht="18.75" thickBot="1" x14ac:dyDescent="0.25">
      <c r="C251" s="165" t="s">
        <v>40</v>
      </c>
      <c r="D251" s="166">
        <v>0.16895281542344387</v>
      </c>
      <c r="E251" s="167">
        <v>0.12835024960371696</v>
      </c>
      <c r="F251" s="166"/>
      <c r="G251" s="167"/>
      <c r="H251" s="166"/>
      <c r="I251" s="167"/>
      <c r="J251" s="166"/>
      <c r="K251" s="167"/>
      <c r="L251" s="166"/>
      <c r="M251" s="168"/>
    </row>
    <row r="252" spans="3:13" ht="18.75" thickBot="1" x14ac:dyDescent="0.25">
      <c r="C252" s="169" t="s">
        <v>41</v>
      </c>
      <c r="D252" s="170">
        <v>2.4315232063129476E-2</v>
      </c>
      <c r="E252" s="171">
        <v>3.00095923226564E-2</v>
      </c>
      <c r="F252" s="170">
        <v>3.608683394417818E-3</v>
      </c>
      <c r="G252" s="171">
        <v>6.162031685591895E-3</v>
      </c>
      <c r="H252" s="170">
        <v>9.4582975064488387E-3</v>
      </c>
      <c r="I252" s="171">
        <v>1.95536599285135E-2</v>
      </c>
      <c r="J252" s="170">
        <v>1.1501590756865371E-2</v>
      </c>
      <c r="K252" s="171">
        <v>1.2672775692829569E-2</v>
      </c>
      <c r="L252" s="170">
        <v>2.8882514555390239E-2</v>
      </c>
      <c r="M252" s="172">
        <v>3.5864045710641113E-2</v>
      </c>
    </row>
    <row r="253" spans="3:13" ht="24" customHeight="1" thickBot="1" x14ac:dyDescent="0.25">
      <c r="C253" s="173" t="s">
        <v>42</v>
      </c>
      <c r="D253" s="166">
        <v>2.1684144948603469E-2</v>
      </c>
      <c r="E253" s="167">
        <v>2.8279561381788238E-2</v>
      </c>
      <c r="F253" s="166">
        <v>4.5108542430222724E-3</v>
      </c>
      <c r="G253" s="167">
        <v>7.0374651526483988E-3</v>
      </c>
      <c r="H253" s="166">
        <v>7.3086844368013756E-3</v>
      </c>
      <c r="I253" s="167">
        <v>1.1924428558555853E-2</v>
      </c>
      <c r="J253" s="166">
        <v>6.6455961152042864E-3</v>
      </c>
      <c r="K253" s="167">
        <v>7.8012878072740389E-3</v>
      </c>
      <c r="L253" s="166">
        <v>2.6657609368253437E-2</v>
      </c>
      <c r="M253" s="168">
        <v>3.4867475353494312E-2</v>
      </c>
    </row>
    <row r="254" spans="3:13" ht="24" customHeight="1" thickBot="1" x14ac:dyDescent="0.25">
      <c r="C254" s="169" t="s">
        <v>43</v>
      </c>
      <c r="D254" s="170">
        <v>0.10158654345343163</v>
      </c>
      <c r="E254" s="171">
        <v>0.11245164808592863</v>
      </c>
      <c r="F254" s="170">
        <v>2.6726811389906964E-2</v>
      </c>
      <c r="G254" s="171">
        <v>4.6244985381111034E-2</v>
      </c>
      <c r="H254" s="170">
        <v>8.8349097162510742E-2</v>
      </c>
      <c r="I254" s="171">
        <v>0.16522992821313789</v>
      </c>
      <c r="J254" s="170">
        <v>0.1870813797722706</v>
      </c>
      <c r="K254" s="171">
        <v>0.22650212204237946</v>
      </c>
      <c r="L254" s="170">
        <v>8.2940285084884671E-2</v>
      </c>
      <c r="M254" s="172">
        <v>8.6800077420309193E-2</v>
      </c>
    </row>
    <row r="255" spans="3:13" ht="24" customHeight="1" thickBot="1" x14ac:dyDescent="0.25">
      <c r="C255" s="173" t="s">
        <v>44</v>
      </c>
      <c r="D255" s="166">
        <v>2.6730349911743327E-2</v>
      </c>
      <c r="E255" s="167">
        <v>3.5816178857242857E-2</v>
      </c>
      <c r="F255" s="166">
        <v>1.3137862982802367E-2</v>
      </c>
      <c r="G255" s="167">
        <v>2.4826613177398517E-2</v>
      </c>
      <c r="H255" s="166">
        <v>6.7712811693895106E-2</v>
      </c>
      <c r="I255" s="167">
        <v>8.65046706514883E-2</v>
      </c>
      <c r="J255" s="166">
        <v>2.9805760214333555E-2</v>
      </c>
      <c r="K255" s="167">
        <v>3.8185250846130822E-2</v>
      </c>
      <c r="L255" s="166">
        <v>2.6060817742037508E-2</v>
      </c>
      <c r="M255" s="168">
        <v>3.5033650458830598E-2</v>
      </c>
    </row>
    <row r="256" spans="3:13" ht="24" customHeight="1" thickBot="1" x14ac:dyDescent="0.25">
      <c r="C256" s="169" t="s">
        <v>45</v>
      </c>
      <c r="D256" s="170">
        <v>0.37459246184196865</v>
      </c>
      <c r="E256" s="171">
        <v>0.35024322092912646</v>
      </c>
      <c r="F256" s="170">
        <v>5.007048209754722E-2</v>
      </c>
      <c r="G256" s="171">
        <v>4.6814442102400218E-2</v>
      </c>
      <c r="H256" s="170">
        <v>2.0851246775580395E-2</v>
      </c>
      <c r="I256" s="171">
        <v>4.6496260475174959E-2</v>
      </c>
      <c r="J256" s="170">
        <v>5.9674313462826527E-2</v>
      </c>
      <c r="K256" s="171">
        <v>8.0727787626919623E-2</v>
      </c>
      <c r="L256" s="170">
        <v>0.47770281977167905</v>
      </c>
      <c r="M256" s="172">
        <v>0.43971037504184396</v>
      </c>
    </row>
    <row r="257" spans="3:13" ht="24" customHeight="1" thickBot="1" x14ac:dyDescent="0.25">
      <c r="C257" s="173" t="s">
        <v>46</v>
      </c>
      <c r="D257" s="166">
        <v>2.5675423112864706E-2</v>
      </c>
      <c r="E257" s="167">
        <v>2.0781429379519774E-2</v>
      </c>
      <c r="F257" s="166">
        <v>1.5224133070200169E-3</v>
      </c>
      <c r="G257" s="167">
        <v>3.85870673828789E-3</v>
      </c>
      <c r="H257" s="166">
        <v>4.7291487532244193E-3</v>
      </c>
      <c r="I257" s="167">
        <v>4.8959240681224281E-3</v>
      </c>
      <c r="J257" s="166">
        <v>6.9176992632283994E-3</v>
      </c>
      <c r="K257" s="167">
        <v>7.0971381207837357E-3</v>
      </c>
      <c r="L257" s="166">
        <v>3.2050735538803832E-2</v>
      </c>
      <c r="M257" s="168">
        <v>2.5417106718517143E-2</v>
      </c>
    </row>
    <row r="258" spans="3:13" ht="24" customHeight="1" thickBot="1" x14ac:dyDescent="0.25">
      <c r="C258" s="169" t="s">
        <v>47</v>
      </c>
      <c r="D258" s="170">
        <v>2.1339424774166754E-2</v>
      </c>
      <c r="E258" s="171">
        <v>2.5782362470709287E-2</v>
      </c>
      <c r="F258" s="170">
        <v>1.7366788835635749E-2</v>
      </c>
      <c r="G258" s="171">
        <v>2.6280002719793295E-2</v>
      </c>
      <c r="H258" s="170">
        <v>2.063628546861565E-2</v>
      </c>
      <c r="I258" s="171">
        <v>2.8804853873186556E-2</v>
      </c>
      <c r="J258" s="170">
        <v>1.3793536503683859E-2</v>
      </c>
      <c r="K258" s="171">
        <v>1.4758363456358069E-2</v>
      </c>
      <c r="L258" s="170">
        <v>2.3525140878576281E-2</v>
      </c>
      <c r="M258" s="172">
        <v>2.8465411324209072E-2</v>
      </c>
    </row>
    <row r="259" spans="3:13" ht="24" customHeight="1" thickBot="1" x14ac:dyDescent="0.25">
      <c r="C259" s="173" t="s">
        <v>48</v>
      </c>
      <c r="D259" s="166">
        <v>1.1103727546464541E-2</v>
      </c>
      <c r="E259" s="167">
        <v>8.3192522490402238E-2</v>
      </c>
      <c r="F259" s="166">
        <v>5.4694107696645049E-3</v>
      </c>
      <c r="G259" s="167">
        <v>3.7822125518460592E-2</v>
      </c>
      <c r="H259" s="166">
        <v>4.2992261392949269E-3</v>
      </c>
      <c r="I259" s="167">
        <v>1.7120716066440396E-2</v>
      </c>
      <c r="J259" s="166">
        <v>7.3049229738780981E-3</v>
      </c>
      <c r="K259" s="167">
        <v>6.3018518944888302E-2</v>
      </c>
      <c r="L259" s="166">
        <v>1.2463869354887504E-2</v>
      </c>
      <c r="M259" s="168">
        <v>9.1862654834614949E-2</v>
      </c>
    </row>
    <row r="260" spans="3:13" ht="24" customHeight="1" thickBot="1" x14ac:dyDescent="0.25">
      <c r="C260" s="174" t="s">
        <v>49</v>
      </c>
      <c r="D260" s="170">
        <v>3.395286055445956E-3</v>
      </c>
      <c r="E260" s="171">
        <v>2.9577175355064798E-2</v>
      </c>
      <c r="F260" s="170">
        <v>2.4245841556244712E-3</v>
      </c>
      <c r="G260" s="171">
        <v>1.4108927721493166E-2</v>
      </c>
      <c r="H260" s="170">
        <v>6.4488392089423908E-4</v>
      </c>
      <c r="I260" s="171">
        <v>7.7493767458624938E-3</v>
      </c>
      <c r="J260" s="170">
        <v>2.3861352980576022E-3</v>
      </c>
      <c r="K260" s="171">
        <v>1.6625223524355522E-2</v>
      </c>
      <c r="L260" s="170">
        <v>3.7430110750224827E-3</v>
      </c>
      <c r="M260" s="172">
        <v>3.4042363125263854E-2</v>
      </c>
    </row>
    <row r="261" spans="3:13" ht="24" customHeight="1" thickBot="1" x14ac:dyDescent="0.25">
      <c r="C261" s="165" t="s">
        <v>50</v>
      </c>
      <c r="D261" s="166">
        <v>3.0941750597030422E-3</v>
      </c>
      <c r="E261" s="167">
        <v>1.3856222629022549E-2</v>
      </c>
      <c r="F261" s="166">
        <v>1.804341697208909E-3</v>
      </c>
      <c r="G261" s="167">
        <v>9.2557965594614808E-3</v>
      </c>
      <c r="H261" s="166">
        <v>2.3645743766122097E-3</v>
      </c>
      <c r="I261" s="167">
        <v>2.7933799897876433E-3</v>
      </c>
      <c r="J261" s="166">
        <v>2.0721701272605492E-3</v>
      </c>
      <c r="K261" s="167">
        <v>6.1071074989063612E-3</v>
      </c>
      <c r="L261" s="166">
        <v>3.434989590523939E-3</v>
      </c>
      <c r="M261" s="168">
        <v>1.6232810362026395E-2</v>
      </c>
    </row>
    <row r="262" spans="3:13" ht="24" customHeight="1" thickBot="1" x14ac:dyDescent="0.25">
      <c r="C262" s="174" t="s">
        <v>51</v>
      </c>
      <c r="D262" s="170">
        <v>3.2146194580002078E-3</v>
      </c>
      <c r="E262" s="171">
        <v>1.8054043770327408E-2</v>
      </c>
      <c r="F262" s="170">
        <v>5.6385678037778404E-4</v>
      </c>
      <c r="G262" s="171">
        <v>7.088461276942952E-3</v>
      </c>
      <c r="H262" s="170">
        <v>1.0748065348237317E-3</v>
      </c>
      <c r="I262" s="171">
        <v>4.0849427807647257E-3</v>
      </c>
      <c r="J262" s="170">
        <v>1.611687876758205E-3</v>
      </c>
      <c r="K262" s="171">
        <v>1.0420264161658954E-2</v>
      </c>
      <c r="L262" s="170">
        <v>3.7925145278883202E-3</v>
      </c>
      <c r="M262" s="172">
        <v>2.0807908782354317E-2</v>
      </c>
    </row>
    <row r="263" spans="3:13" ht="24" customHeight="1" thickBot="1" x14ac:dyDescent="0.25">
      <c r="C263" s="165" t="s">
        <v>52</v>
      </c>
      <c r="D263" s="166">
        <v>1.3996469733153359E-3</v>
      </c>
      <c r="E263" s="167">
        <v>2.1705080735987474E-2</v>
      </c>
      <c r="F263" s="166">
        <v>6.766281364533409E-4</v>
      </c>
      <c r="G263" s="167">
        <v>7.3689399605629969E-3</v>
      </c>
      <c r="H263" s="166">
        <v>2.1496130696474635E-4</v>
      </c>
      <c r="I263" s="167">
        <v>2.493016550025531E-3</v>
      </c>
      <c r="J263" s="166">
        <v>1.2349296718017415E-3</v>
      </c>
      <c r="K263" s="167">
        <v>2.986592375996746E-2</v>
      </c>
      <c r="L263" s="166">
        <v>1.4933541614527612E-3</v>
      </c>
      <c r="M263" s="168">
        <v>2.0779572564970383E-2</v>
      </c>
    </row>
    <row r="264" spans="3:13" ht="24" customHeight="1" thickBot="1" x14ac:dyDescent="0.25">
      <c r="C264" s="169" t="s">
        <v>53</v>
      </c>
      <c r="D264" s="170">
        <v>7.2162807600456855E-3</v>
      </c>
      <c r="E264" s="171">
        <v>9.0444492692480019E-3</v>
      </c>
      <c r="F264" s="170">
        <v>2.0298844093600225E-3</v>
      </c>
      <c r="G264" s="171">
        <v>5.6605697966954508E-3</v>
      </c>
      <c r="H264" s="170">
        <v>8.5984522785898538E-3</v>
      </c>
      <c r="I264" s="171">
        <v>1.3756645541104737E-2</v>
      </c>
      <c r="J264" s="170">
        <v>6.5828030810448765E-3</v>
      </c>
      <c r="K264" s="171">
        <v>8.5092748217561152E-3</v>
      </c>
      <c r="L264" s="170">
        <v>7.6180313576871984E-3</v>
      </c>
      <c r="M264" s="172">
        <v>9.2942793019300807E-3</v>
      </c>
    </row>
    <row r="265" spans="3:13" ht="24" customHeight="1" thickBot="1" x14ac:dyDescent="0.25">
      <c r="C265" s="173" t="s">
        <v>54</v>
      </c>
      <c r="D265" s="166">
        <v>5.8374000622988271E-3</v>
      </c>
      <c r="E265" s="167">
        <v>6.3134329550380754E-3</v>
      </c>
      <c r="F265" s="166">
        <v>1.5787989850577953E-3</v>
      </c>
      <c r="G265" s="167">
        <v>2.8217855442986333E-3</v>
      </c>
      <c r="H265" s="166">
        <v>5.1590713671539126E-3</v>
      </c>
      <c r="I265" s="167">
        <v>9.972066200102124E-3</v>
      </c>
      <c r="J265" s="166">
        <v>1.2192314132618887E-2</v>
      </c>
      <c r="K265" s="167">
        <v>1.2102932486051312E-2</v>
      </c>
      <c r="L265" s="166">
        <v>4.3838057704524893E-3</v>
      </c>
      <c r="M265" s="168">
        <v>5.0030233303124047E-3</v>
      </c>
    </row>
    <row r="266" spans="3:13" ht="24" customHeight="1" thickBot="1" x14ac:dyDescent="0.25">
      <c r="C266" s="169" t="s">
        <v>55</v>
      </c>
      <c r="D266" s="170">
        <v>1.5223756619250338E-2</v>
      </c>
      <c r="E266" s="171">
        <v>1.3504407312820817E-2</v>
      </c>
      <c r="F266" s="170">
        <v>4.3980828869467159E-3</v>
      </c>
      <c r="G266" s="171">
        <v>9.7062623240633718E-3</v>
      </c>
      <c r="H266" s="170">
        <v>1.5047291487532244E-3</v>
      </c>
      <c r="I266" s="171">
        <v>7.2988315862193252E-3</v>
      </c>
      <c r="J266" s="170">
        <v>7.8909912926992624E-3</v>
      </c>
      <c r="K266" s="171">
        <v>7.8857090230930391E-3</v>
      </c>
      <c r="L266" s="170">
        <v>1.7854245333612018E-2</v>
      </c>
      <c r="M266" s="172">
        <v>1.5224713407977654E-2</v>
      </c>
    </row>
    <row r="267" spans="3:13" ht="24" customHeight="1" thickBot="1" x14ac:dyDescent="0.25">
      <c r="C267" s="173" t="s">
        <v>56</v>
      </c>
      <c r="D267" s="166">
        <v>3.2083895753296648E-2</v>
      </c>
      <c r="E267" s="167">
        <v>2.9527797766825958E-2</v>
      </c>
      <c r="F267" s="166">
        <v>7.3301381449111924E-3</v>
      </c>
      <c r="G267" s="167">
        <v>9.8167539267015706E-3</v>
      </c>
      <c r="H267" s="166">
        <v>9.0283748925193471E-3</v>
      </c>
      <c r="I267" s="167">
        <v>1.0722974799507404E-2</v>
      </c>
      <c r="J267" s="166">
        <v>2.100426992632284E-2</v>
      </c>
      <c r="K267" s="167">
        <v>1.6682783444232113E-2</v>
      </c>
      <c r="L267" s="166">
        <v>3.6497795721251558E-2</v>
      </c>
      <c r="M267" s="168">
        <v>3.4157629094283243E-2</v>
      </c>
    </row>
    <row r="268" spans="3:13" ht="24" customHeight="1" thickBot="1" x14ac:dyDescent="0.25">
      <c r="C268" s="169" t="s">
        <v>57</v>
      </c>
      <c r="D268" s="170">
        <v>2.7469629321981104E-2</v>
      </c>
      <c r="E268" s="171">
        <v>2.580487284181817E-2</v>
      </c>
      <c r="F268" s="170">
        <v>1.274316323653792E-2</v>
      </c>
      <c r="G268" s="171">
        <v>2.1384374787516147E-2</v>
      </c>
      <c r="H268" s="170">
        <v>1.7626827171109201E-2</v>
      </c>
      <c r="I268" s="171">
        <v>1.483795392424834E-2</v>
      </c>
      <c r="J268" s="170">
        <v>3.0486018084393839E-2</v>
      </c>
      <c r="K268" s="171">
        <v>3.0318728462996648E-2</v>
      </c>
      <c r="L268" s="170">
        <v>2.7521169601579711E-2</v>
      </c>
      <c r="M268" s="172">
        <v>2.5100125303713822E-2</v>
      </c>
    </row>
    <row r="269" spans="3:13" ht="24" customHeight="1" thickBot="1" x14ac:dyDescent="0.25">
      <c r="C269" s="173" t="s">
        <v>58</v>
      </c>
      <c r="D269" s="166">
        <v>4.8364655798982456E-3</v>
      </c>
      <c r="E269" s="167">
        <v>4.1386406495186046E-3</v>
      </c>
      <c r="F269" s="166">
        <v>1.0995207217366789E-2</v>
      </c>
      <c r="G269" s="167">
        <v>9.9697422995852318E-3</v>
      </c>
      <c r="H269" s="166">
        <v>1.1607910576096303E-2</v>
      </c>
      <c r="I269" s="167">
        <v>1.4207190700747906E-2</v>
      </c>
      <c r="J269" s="166">
        <v>1.9884460817146685E-3</v>
      </c>
      <c r="K269" s="167">
        <v>3.1293409772906928E-3</v>
      </c>
      <c r="L269" s="166">
        <v>5.1978625509129265E-3</v>
      </c>
      <c r="M269" s="168">
        <v>3.9007925015644954E-3</v>
      </c>
    </row>
    <row r="270" spans="3:13" ht="24" customHeight="1" thickBot="1" x14ac:dyDescent="0.25">
      <c r="C270" s="169" t="s">
        <v>59</v>
      </c>
      <c r="D270" s="170">
        <v>3.9871249091475445E-3</v>
      </c>
      <c r="E270" s="171">
        <v>3.8590763631663524E-3</v>
      </c>
      <c r="F270" s="170">
        <v>1.5618832816464617E-2</v>
      </c>
      <c r="G270" s="171">
        <v>2.0304956823281432E-2</v>
      </c>
      <c r="H270" s="170">
        <v>1.8916595012897677E-2</v>
      </c>
      <c r="I270" s="171">
        <v>1.5769080587510888E-2</v>
      </c>
      <c r="J270" s="170">
        <v>4.4687709310113864E-3</v>
      </c>
      <c r="K270" s="171">
        <v>4.6278175580779591E-3</v>
      </c>
      <c r="L270" s="170">
        <v>3.1022163795924765E-3</v>
      </c>
      <c r="M270" s="172">
        <v>2.5468976404575865E-3</v>
      </c>
    </row>
    <row r="271" spans="3:13" ht="24" customHeight="1" thickBot="1" x14ac:dyDescent="0.25">
      <c r="C271" s="173" t="s">
        <v>60</v>
      </c>
      <c r="D271" s="166">
        <v>1.2123351676876752E-2</v>
      </c>
      <c r="E271" s="167">
        <v>1.3625672860407379E-2</v>
      </c>
      <c r="F271" s="166">
        <v>1.2912320270651255E-2</v>
      </c>
      <c r="G271" s="167">
        <v>2.3254232678316448E-2</v>
      </c>
      <c r="H271" s="166">
        <v>1.7626827171109201E-2</v>
      </c>
      <c r="I271" s="167">
        <v>2.1175622503228908E-2</v>
      </c>
      <c r="J271" s="166">
        <v>1.1679504353650368E-2</v>
      </c>
      <c r="K271" s="167">
        <v>1.4284453449374132E-2</v>
      </c>
      <c r="L271" s="166">
        <v>1.2131096143956041E-2</v>
      </c>
      <c r="M271" s="168">
        <v>1.2795963385764941E-2</v>
      </c>
    </row>
    <row r="272" spans="3:13" ht="30.75" customHeight="1" thickBot="1" x14ac:dyDescent="0.25">
      <c r="C272" s="175" t="s">
        <v>61</v>
      </c>
      <c r="D272" s="176">
        <v>0.7158052123351677</v>
      </c>
      <c r="E272" s="177">
        <v>0.7923748659362172</v>
      </c>
      <c r="F272" s="176">
        <v>0.19001973498731317</v>
      </c>
      <c r="G272" s="177">
        <v>0.30196505065615009</v>
      </c>
      <c r="H272" s="176">
        <v>0.31341358555460019</v>
      </c>
      <c r="I272" s="177">
        <v>0.48827080767728948</v>
      </c>
      <c r="J272" s="176">
        <v>0.41901791694574686</v>
      </c>
      <c r="K272" s="177">
        <v>0.54830428476043558</v>
      </c>
      <c r="L272" s="176">
        <v>0.82459001515355701</v>
      </c>
      <c r="M272" s="178">
        <v>0.88604422082846457</v>
      </c>
    </row>
    <row r="273" spans="3:18" ht="24" customHeight="1" thickBot="1" x14ac:dyDescent="0.25">
      <c r="C273" s="179" t="s">
        <v>8</v>
      </c>
      <c r="D273" s="180">
        <v>1</v>
      </c>
      <c r="E273" s="181">
        <v>1</v>
      </c>
      <c r="F273" s="180">
        <v>1</v>
      </c>
      <c r="G273" s="181">
        <v>1</v>
      </c>
      <c r="H273" s="180">
        <v>1</v>
      </c>
      <c r="I273" s="181">
        <v>1</v>
      </c>
      <c r="J273" s="180">
        <v>1</v>
      </c>
      <c r="K273" s="181">
        <v>1</v>
      </c>
      <c r="L273" s="180">
        <v>1</v>
      </c>
      <c r="M273" s="182">
        <v>1</v>
      </c>
    </row>
    <row r="274" spans="3:18" ht="18" customHeight="1" x14ac:dyDescent="0.2">
      <c r="C274" s="183"/>
      <c r="D274" s="184"/>
      <c r="E274" s="185"/>
      <c r="F274" s="184"/>
      <c r="G274" s="185"/>
      <c r="H274" s="184"/>
      <c r="I274" s="185"/>
      <c r="J274" s="184"/>
      <c r="K274" s="185"/>
      <c r="L274" s="184"/>
      <c r="M274" s="185"/>
      <c r="N274" s="186"/>
    </row>
    <row r="275" spans="3:18" ht="5.25" customHeight="1" thickBot="1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3:18" ht="20.100000000000001" customHeight="1" thickBot="1" x14ac:dyDescent="0.25">
      <c r="C276" s="270" t="s">
        <v>71</v>
      </c>
      <c r="D276" s="271"/>
      <c r="E276" s="271"/>
      <c r="F276" s="271"/>
      <c r="G276" s="271"/>
      <c r="H276" s="271"/>
      <c r="I276" s="271"/>
      <c r="J276" s="271"/>
      <c r="K276" s="271"/>
      <c r="L276" s="271"/>
      <c r="M276" s="272"/>
    </row>
    <row r="277" spans="3:18" ht="5.25" customHeight="1" x14ac:dyDescent="0.2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105"/>
    </row>
    <row r="278" spans="3:18" ht="45.75" customHeight="1" thickBot="1" x14ac:dyDescent="0.25">
      <c r="C278" s="316" t="s">
        <v>7</v>
      </c>
      <c r="D278" s="317" t="s">
        <v>72</v>
      </c>
      <c r="E278" s="187" t="s">
        <v>73</v>
      </c>
      <c r="F278" s="188">
        <v>1113.9435348219758</v>
      </c>
      <c r="G278" s="189">
        <v>4.9926460044321441E-2</v>
      </c>
      <c r="H278" s="320" t="s">
        <v>109</v>
      </c>
      <c r="I278" s="321"/>
      <c r="J278" s="321"/>
      <c r="K278" s="321"/>
      <c r="L278" s="322"/>
      <c r="M278" s="323" t="s">
        <v>115</v>
      </c>
      <c r="O278" s="99"/>
      <c r="R278" s="99"/>
    </row>
    <row r="279" spans="3:18" ht="45.75" customHeight="1" thickTop="1" thickBot="1" x14ac:dyDescent="0.25">
      <c r="C279" s="316"/>
      <c r="D279" s="318"/>
      <c r="E279" s="190" t="s">
        <v>74</v>
      </c>
      <c r="F279" s="191">
        <v>741.15882025639826</v>
      </c>
      <c r="G279" s="189">
        <v>7.5950973667797905E-2</v>
      </c>
      <c r="H279" s="320" t="s">
        <v>110</v>
      </c>
      <c r="I279" s="321"/>
      <c r="J279" s="321"/>
      <c r="K279" s="321"/>
      <c r="L279" s="322"/>
      <c r="M279" s="323"/>
      <c r="O279" s="99"/>
      <c r="R279" s="99"/>
    </row>
    <row r="280" spans="3:18" ht="45.75" customHeight="1" thickTop="1" thickBot="1" x14ac:dyDescent="0.25">
      <c r="C280" s="316"/>
      <c r="D280" s="319"/>
      <c r="E280" s="192" t="s">
        <v>75</v>
      </c>
      <c r="F280" s="193">
        <v>384.44043929404353</v>
      </c>
      <c r="G280" s="189">
        <v>1.7673387031583276E-2</v>
      </c>
      <c r="H280" s="320" t="s">
        <v>111</v>
      </c>
      <c r="I280" s="321"/>
      <c r="J280" s="321"/>
      <c r="K280" s="321"/>
      <c r="L280" s="322"/>
      <c r="M280" s="323"/>
      <c r="O280" s="99"/>
      <c r="R280" s="99"/>
    </row>
    <row r="281" spans="3:18" ht="45.75" customHeight="1" thickTop="1" thickBot="1" x14ac:dyDescent="0.25">
      <c r="C281" s="316"/>
      <c r="D281" s="324" t="s">
        <v>76</v>
      </c>
      <c r="E281" s="194" t="s">
        <v>73</v>
      </c>
      <c r="F281" s="195">
        <v>120.72271281132238</v>
      </c>
      <c r="G281" s="189">
        <v>3.0061159426477913E-2</v>
      </c>
      <c r="H281" s="327" t="s">
        <v>112</v>
      </c>
      <c r="I281" s="328"/>
      <c r="J281" s="328"/>
      <c r="K281" s="328"/>
      <c r="L281" s="329"/>
      <c r="M281" s="323"/>
      <c r="O281" s="99"/>
      <c r="R281" s="99"/>
    </row>
    <row r="282" spans="3:18" ht="45.75" customHeight="1" thickTop="1" thickBot="1" x14ac:dyDescent="0.25">
      <c r="C282" s="316"/>
      <c r="D282" s="325"/>
      <c r="E282" s="196" t="s">
        <v>74</v>
      </c>
      <c r="F282" s="197">
        <v>80.230776652456029</v>
      </c>
      <c r="G282" s="189">
        <v>5.4871996967173819E-2</v>
      </c>
      <c r="H282" s="327" t="s">
        <v>113</v>
      </c>
      <c r="I282" s="328"/>
      <c r="J282" s="328"/>
      <c r="K282" s="328"/>
      <c r="L282" s="329"/>
      <c r="M282" s="323"/>
      <c r="O282" s="99"/>
      <c r="R282" s="99"/>
    </row>
    <row r="283" spans="3:18" ht="45.75" customHeight="1" thickTop="1" thickBot="1" x14ac:dyDescent="0.25">
      <c r="C283" s="316"/>
      <c r="D283" s="326"/>
      <c r="E283" s="198" t="s">
        <v>75</v>
      </c>
      <c r="F283" s="199">
        <v>41.570559422634275</v>
      </c>
      <c r="G283" s="189">
        <v>1.0640598775867538E-2</v>
      </c>
      <c r="H283" s="327" t="s">
        <v>114</v>
      </c>
      <c r="I283" s="328"/>
      <c r="J283" s="328"/>
      <c r="K283" s="328"/>
      <c r="L283" s="329"/>
      <c r="M283" s="323"/>
      <c r="O283" s="99"/>
      <c r="R283" s="99"/>
    </row>
    <row r="284" spans="3:18" ht="5.25" customHeight="1" thickTop="1" thickBot="1" x14ac:dyDescent="0.25"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1"/>
      <c r="N284" s="186"/>
      <c r="O284" s="99"/>
      <c r="R284" s="99"/>
    </row>
    <row r="285" spans="3:18" ht="19.5" customHeight="1" thickBot="1" x14ac:dyDescent="0.25">
      <c r="C285" s="270" t="s">
        <v>77</v>
      </c>
      <c r="D285" s="271"/>
      <c r="E285" s="271"/>
      <c r="F285" s="271"/>
      <c r="G285" s="271"/>
      <c r="H285" s="271"/>
      <c r="I285" s="271"/>
      <c r="J285" s="271"/>
      <c r="K285" s="271"/>
      <c r="L285" s="271"/>
      <c r="M285" s="272"/>
      <c r="N285" s="186"/>
      <c r="O285" s="99"/>
      <c r="P285" s="99"/>
      <c r="Q285" s="99"/>
    </row>
    <row r="286" spans="3:18" ht="5.25" customHeight="1" x14ac:dyDescent="0.2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105"/>
      <c r="N286" s="186"/>
      <c r="O286" s="99"/>
      <c r="P286" s="99"/>
      <c r="Q286" s="99"/>
    </row>
    <row r="287" spans="3:18" s="99" customFormat="1" ht="47.25" customHeight="1" thickBot="1" x14ac:dyDescent="0.25">
      <c r="C287" s="316" t="s">
        <v>7</v>
      </c>
      <c r="D287" s="330"/>
      <c r="E287" s="202" t="s">
        <v>8</v>
      </c>
      <c r="F287" s="203">
        <v>146266</v>
      </c>
      <c r="G287" s="189">
        <v>4.9344276408299192E-2</v>
      </c>
      <c r="H287" s="331" t="s">
        <v>95</v>
      </c>
      <c r="I287" s="331"/>
      <c r="J287" s="331"/>
      <c r="K287" s="331"/>
      <c r="L287" s="332"/>
      <c r="M287" s="323" t="s">
        <v>101</v>
      </c>
      <c r="Q287" s="204"/>
    </row>
    <row r="288" spans="3:18" s="99" customFormat="1" ht="47.25" customHeight="1" thickTop="1" thickBot="1" x14ac:dyDescent="0.25">
      <c r="C288" s="316"/>
      <c r="D288" s="330"/>
      <c r="E288" s="205" t="s">
        <v>78</v>
      </c>
      <c r="F288" s="206">
        <v>85249</v>
      </c>
      <c r="G288" s="207">
        <v>1.3481543125482887E-2</v>
      </c>
      <c r="H288" s="333" t="s">
        <v>96</v>
      </c>
      <c r="I288" s="334"/>
      <c r="J288" s="334"/>
      <c r="K288" s="334"/>
      <c r="L288" s="335"/>
      <c r="M288" s="323"/>
      <c r="O288" s="208"/>
      <c r="Q288" s="204"/>
    </row>
    <row r="289" spans="3:20" s="99" customFormat="1" ht="47.25" customHeight="1" thickTop="1" thickBot="1" x14ac:dyDescent="0.25">
      <c r="C289" s="316"/>
      <c r="D289" s="330"/>
      <c r="E289" s="209" t="s">
        <v>79</v>
      </c>
      <c r="F289" s="210">
        <v>49080</v>
      </c>
      <c r="G289" s="207">
        <v>1.2035658187308229E-3</v>
      </c>
      <c r="H289" s="336" t="s">
        <v>97</v>
      </c>
      <c r="I289" s="334"/>
      <c r="J289" s="334"/>
      <c r="K289" s="334"/>
      <c r="L289" s="335"/>
      <c r="M289" s="323"/>
      <c r="O289" s="208"/>
      <c r="Q289" s="204"/>
    </row>
    <row r="290" spans="3:20" s="99" customFormat="1" ht="47.25" customHeight="1" thickTop="1" thickBot="1" x14ac:dyDescent="0.25">
      <c r="C290" s="316"/>
      <c r="D290" s="330"/>
      <c r="E290" s="205" t="s">
        <v>80</v>
      </c>
      <c r="F290" s="206">
        <v>10452</v>
      </c>
      <c r="G290" s="207">
        <v>1.1879840904333263</v>
      </c>
      <c r="H290" s="333" t="s">
        <v>98</v>
      </c>
      <c r="I290" s="334"/>
      <c r="J290" s="334"/>
      <c r="K290" s="334"/>
      <c r="L290" s="335"/>
      <c r="M290" s="323"/>
      <c r="O290" s="208"/>
      <c r="Q290" s="204"/>
    </row>
    <row r="291" spans="3:20" s="99" customFormat="1" ht="47.25" customHeight="1" thickTop="1" thickBot="1" x14ac:dyDescent="0.25">
      <c r="C291" s="316"/>
      <c r="D291" s="330"/>
      <c r="E291" s="209" t="s">
        <v>81</v>
      </c>
      <c r="F291" s="210">
        <v>557</v>
      </c>
      <c r="G291" s="207">
        <v>0</v>
      </c>
      <c r="H291" s="336" t="s">
        <v>99</v>
      </c>
      <c r="I291" s="334"/>
      <c r="J291" s="334"/>
      <c r="K291" s="334"/>
      <c r="L291" s="335"/>
      <c r="M291" s="323"/>
      <c r="O291" s="208"/>
      <c r="Q291" s="204"/>
    </row>
    <row r="292" spans="3:20" s="99" customFormat="1" ht="47.25" customHeight="1" thickTop="1" thickBot="1" x14ac:dyDescent="0.25">
      <c r="C292" s="316"/>
      <c r="D292" s="330"/>
      <c r="E292" s="205" t="s">
        <v>82</v>
      </c>
      <c r="F292" s="206">
        <v>928</v>
      </c>
      <c r="G292" s="207">
        <v>1.089324618736387E-2</v>
      </c>
      <c r="H292" s="333" t="s">
        <v>100</v>
      </c>
      <c r="I292" s="334"/>
      <c r="J292" s="334"/>
      <c r="K292" s="334"/>
      <c r="L292" s="335"/>
      <c r="M292" s="323"/>
      <c r="O292" s="208"/>
      <c r="Q292" s="204"/>
    </row>
    <row r="293" spans="3:20" ht="5.25" customHeight="1" thickTop="1" x14ac:dyDescent="0.2">
      <c r="C293" s="59" t="s">
        <v>83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211"/>
      <c r="P293" s="99"/>
      <c r="Q293" s="99"/>
      <c r="R293" s="99"/>
    </row>
    <row r="294" spans="3:20" s="1" customFormat="1" ht="18.75" customHeight="1" thickBot="1" x14ac:dyDescent="0.25"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211"/>
      <c r="P294" s="212"/>
      <c r="Q294" s="212"/>
      <c r="R294" s="212"/>
    </row>
    <row r="295" spans="3:20" ht="50.25" customHeight="1" thickBot="1" x14ac:dyDescent="0.25">
      <c r="C295" s="2"/>
      <c r="D295" s="2"/>
      <c r="E295" s="263" t="str">
        <f>E242</f>
        <v>INDICADORES TURÍSTICOS DE TENERIFE definitivo</v>
      </c>
      <c r="F295" s="263"/>
      <c r="G295" s="263"/>
      <c r="H295" s="263"/>
      <c r="I295" s="263"/>
      <c r="J295" s="263"/>
      <c r="K295" s="263"/>
      <c r="L295" s="2"/>
      <c r="M295" s="2"/>
      <c r="O295" s="99"/>
      <c r="P295" s="99"/>
      <c r="Q295" s="99"/>
      <c r="R295" s="99"/>
      <c r="S295" s="99"/>
      <c r="T295" s="99"/>
    </row>
    <row r="296" spans="3:20" ht="5.25" customHeight="1" thickBot="1" x14ac:dyDescent="0.25">
      <c r="C296" s="3"/>
      <c r="O296" s="99"/>
      <c r="P296" s="99"/>
      <c r="Q296" s="99"/>
      <c r="R296" s="99"/>
      <c r="S296" s="99"/>
      <c r="T296" s="99"/>
    </row>
    <row r="297" spans="3:20" ht="18" customHeight="1" thickBot="1" x14ac:dyDescent="0.25">
      <c r="C297" s="310" t="s">
        <v>84</v>
      </c>
      <c r="D297" s="311"/>
      <c r="E297" s="311"/>
      <c r="F297" s="311"/>
      <c r="G297" s="311"/>
      <c r="H297" s="311"/>
      <c r="I297" s="311"/>
      <c r="J297" s="311"/>
      <c r="K297" s="311"/>
      <c r="L297" s="311"/>
      <c r="M297" s="312"/>
      <c r="O297" s="99"/>
      <c r="P297" s="99"/>
      <c r="Q297" s="99"/>
      <c r="R297" s="99"/>
      <c r="S297" s="99"/>
      <c r="T297" s="99"/>
    </row>
    <row r="298" spans="3:20" ht="5.25" customHeight="1" x14ac:dyDescent="0.2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105"/>
      <c r="N298" s="186"/>
      <c r="O298" s="99"/>
      <c r="P298" s="99"/>
      <c r="Q298" s="99"/>
      <c r="R298" s="99"/>
      <c r="S298" s="99"/>
      <c r="T298" s="99"/>
    </row>
    <row r="299" spans="3:20" ht="27.75" customHeight="1" x14ac:dyDescent="0.2">
      <c r="C299" s="355" t="s">
        <v>7</v>
      </c>
      <c r="D299" s="356"/>
      <c r="E299" s="213" t="s">
        <v>8</v>
      </c>
      <c r="F299" s="23">
        <v>164366</v>
      </c>
      <c r="G299" s="214">
        <v>3.3293518576727132E-2</v>
      </c>
      <c r="H299" s="361" t="s">
        <v>102</v>
      </c>
      <c r="I299" s="361"/>
      <c r="J299" s="361"/>
      <c r="K299" s="361"/>
      <c r="L299" s="362"/>
      <c r="M299" s="323" t="s">
        <v>9</v>
      </c>
      <c r="O299" s="99"/>
      <c r="P299" s="99"/>
      <c r="Q299" s="99"/>
      <c r="R299" s="99"/>
      <c r="S299" s="99"/>
      <c r="T299" s="99"/>
    </row>
    <row r="300" spans="3:20" ht="34.5" customHeight="1" x14ac:dyDescent="0.2">
      <c r="C300" s="357"/>
      <c r="D300" s="358"/>
      <c r="E300" s="215" t="s">
        <v>85</v>
      </c>
      <c r="F300" s="30">
        <v>94536</v>
      </c>
      <c r="G300" s="94">
        <v>1.8948457608484848E-2</v>
      </c>
      <c r="H300" s="363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300" s="363"/>
      <c r="J300" s="363"/>
      <c r="K300" s="363"/>
      <c r="L300" s="364"/>
      <c r="M300" s="323"/>
      <c r="O300" s="99"/>
      <c r="P300" s="99"/>
      <c r="Q300" s="99"/>
      <c r="R300" s="99"/>
      <c r="S300" s="99"/>
      <c r="T300" s="99"/>
    </row>
    <row r="301" spans="3:20" ht="41.25" customHeight="1" thickBot="1" x14ac:dyDescent="0.25">
      <c r="C301" s="359"/>
      <c r="D301" s="360"/>
      <c r="E301" s="216" t="s">
        <v>86</v>
      </c>
      <c r="F301" s="217">
        <v>69830</v>
      </c>
      <c r="G301" s="218">
        <v>5.3369939057503091E-2</v>
      </c>
      <c r="H301" s="365" t="s">
        <v>103</v>
      </c>
      <c r="I301" s="365"/>
      <c r="J301" s="365"/>
      <c r="K301" s="365"/>
      <c r="L301" s="366"/>
      <c r="M301" s="323"/>
      <c r="Q301" s="219"/>
    </row>
    <row r="302" spans="3:20" ht="18.75" hidden="1" customHeight="1" x14ac:dyDescent="0.2">
      <c r="C302" s="367" t="s">
        <v>12</v>
      </c>
      <c r="D302" s="368"/>
      <c r="E302" s="220" t="s">
        <v>8</v>
      </c>
      <c r="F302" s="221">
        <v>3228</v>
      </c>
      <c r="G302" s="222">
        <v>0.12122264675234451</v>
      </c>
      <c r="H302" s="34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2.537, todas ellas pertenecientes a la tipología hotelera. Se registra un descenso con respecto al año anterior del 0,0%.</v>
      </c>
      <c r="I302" s="349"/>
      <c r="J302" s="349"/>
      <c r="K302" s="349"/>
      <c r="L302" s="350"/>
      <c r="M302" s="323"/>
      <c r="Q302" s="219"/>
    </row>
    <row r="303" spans="3:20" ht="48.75" customHeight="1" thickTop="1" thickBot="1" x14ac:dyDescent="0.25">
      <c r="C303" s="369"/>
      <c r="D303" s="370"/>
      <c r="E303" s="223" t="s">
        <v>85</v>
      </c>
      <c r="F303" s="224">
        <v>2537</v>
      </c>
      <c r="G303" s="218">
        <v>0</v>
      </c>
      <c r="H303" s="353"/>
      <c r="I303" s="353"/>
      <c r="J303" s="353"/>
      <c r="K303" s="353"/>
      <c r="L303" s="354"/>
      <c r="M303" s="323"/>
    </row>
    <row r="304" spans="3:20" ht="42" customHeight="1" thickTop="1" x14ac:dyDescent="0.2">
      <c r="C304" s="371" t="s">
        <v>13</v>
      </c>
      <c r="D304" s="372"/>
      <c r="E304" s="225" t="s">
        <v>8</v>
      </c>
      <c r="F304" s="226">
        <v>1571</v>
      </c>
      <c r="G304" s="222">
        <v>0.45194085027726438</v>
      </c>
      <c r="H304" s="337" t="s">
        <v>104</v>
      </c>
      <c r="I304" s="337"/>
      <c r="J304" s="337"/>
      <c r="K304" s="337"/>
      <c r="L304" s="338"/>
      <c r="M304" s="323"/>
    </row>
    <row r="305" spans="3:18" ht="34.5" customHeight="1" x14ac:dyDescent="0.2">
      <c r="C305" s="373"/>
      <c r="D305" s="374"/>
      <c r="E305" s="227" t="s">
        <v>85</v>
      </c>
      <c r="F305" s="50">
        <v>824</v>
      </c>
      <c r="G305" s="94">
        <v>0.42560553633218001</v>
      </c>
      <c r="H305" s="339" t="str">
        <f>CONCATENATE("Las plazas hoteleras estimadas se sitúan en ",FIXED(F305,0)," plazas, registrando un ",IF(G305&gt;0,"incremento del ","descenso del "),FIXED(G305*100,1),"%.")</f>
        <v>Las plazas hoteleras estimadas se sitúan en 824 plazas, registrando un incremento del 42,6%.</v>
      </c>
      <c r="I305" s="339"/>
      <c r="J305" s="339"/>
      <c r="K305" s="339"/>
      <c r="L305" s="340"/>
      <c r="M305" s="323"/>
    </row>
    <row r="306" spans="3:18" ht="34.5" customHeight="1" thickBot="1" x14ac:dyDescent="0.25">
      <c r="C306" s="375"/>
      <c r="D306" s="376"/>
      <c r="E306" s="228" t="s">
        <v>86</v>
      </c>
      <c r="F306" s="229">
        <v>747</v>
      </c>
      <c r="G306" s="218">
        <v>0.48214285714285721</v>
      </c>
      <c r="H306" s="341" t="s">
        <v>105</v>
      </c>
      <c r="I306" s="341"/>
      <c r="J306" s="341"/>
      <c r="K306" s="341"/>
      <c r="L306" s="342"/>
      <c r="M306" s="323"/>
    </row>
    <row r="307" spans="3:18" ht="39.75" customHeight="1" thickTop="1" x14ac:dyDescent="0.2">
      <c r="C307" s="343" t="s">
        <v>14</v>
      </c>
      <c r="D307" s="344"/>
      <c r="E307" s="220" t="s">
        <v>8</v>
      </c>
      <c r="F307" s="221">
        <v>29509</v>
      </c>
      <c r="G307" s="222">
        <v>5.5513824802374989E-2</v>
      </c>
      <c r="H307" s="349" t="s">
        <v>106</v>
      </c>
      <c r="I307" s="349"/>
      <c r="J307" s="349"/>
      <c r="K307" s="349"/>
      <c r="L307" s="350"/>
      <c r="M307" s="323"/>
    </row>
    <row r="308" spans="3:18" ht="34.5" customHeight="1" x14ac:dyDescent="0.2">
      <c r="C308" s="345"/>
      <c r="D308" s="346"/>
      <c r="E308" s="230" t="s">
        <v>85</v>
      </c>
      <c r="F308" s="43">
        <v>19717</v>
      </c>
      <c r="G308" s="94">
        <v>2.6820122903864263E-2</v>
      </c>
      <c r="H308" s="351" t="str">
        <f>CONCATENATE("La oferta hotelera asciende a ",FIXED(F308,0),", cifra que se ",IF(G308&gt;0,"incrementa un ","reduce un "),FIXED(G308*100,1),"% respecto al año anterior.")</f>
        <v>La oferta hotelera asciende a 19.717, cifra que se incrementa un 2,7% respecto al año anterior.</v>
      </c>
      <c r="I308" s="351"/>
      <c r="J308" s="351"/>
      <c r="K308" s="351"/>
      <c r="L308" s="352"/>
      <c r="M308" s="323"/>
    </row>
    <row r="309" spans="3:18" ht="34.5" customHeight="1" thickBot="1" x14ac:dyDescent="0.25">
      <c r="C309" s="347"/>
      <c r="D309" s="348"/>
      <c r="E309" s="223" t="s">
        <v>86</v>
      </c>
      <c r="F309" s="224">
        <v>9792</v>
      </c>
      <c r="G309" s="218">
        <v>0.11844660194174761</v>
      </c>
      <c r="H309" s="353" t="str">
        <f>CONCATENATE("Las plazas extrahoteras estimadas ascienden a ",FIXED(F309,0),", las cuales ",IF(G309&gt;0,"se incrementan un ","descienden un "),FIXED(G309*100,1),"%.")</f>
        <v>Las plazas extrahoteras estimadas ascienden a 9.792, las cuales se incrementan un 11,8%.</v>
      </c>
      <c r="I309" s="353"/>
      <c r="J309" s="353"/>
      <c r="K309" s="353"/>
      <c r="L309" s="354"/>
      <c r="M309" s="323"/>
    </row>
    <row r="310" spans="3:18" ht="34.5" customHeight="1" thickTop="1" x14ac:dyDescent="0.2">
      <c r="C310" s="378" t="s">
        <v>15</v>
      </c>
      <c r="D310" s="379"/>
      <c r="E310" s="231" t="s">
        <v>8</v>
      </c>
      <c r="F310" s="232">
        <v>130058</v>
      </c>
      <c r="G310" s="222">
        <v>2.2854536303007489E-2</v>
      </c>
      <c r="H310" s="337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130.058 experimentando un incremento interanual del 2,3%.</v>
      </c>
      <c r="I310" s="337"/>
      <c r="J310" s="337"/>
      <c r="K310" s="337"/>
      <c r="L310" s="338"/>
      <c r="M310" s="323"/>
    </row>
    <row r="311" spans="3:18" ht="34.5" customHeight="1" x14ac:dyDescent="0.2">
      <c r="C311" s="380"/>
      <c r="D311" s="381"/>
      <c r="E311" s="233" t="s">
        <v>85</v>
      </c>
      <c r="F311" s="56">
        <v>71458</v>
      </c>
      <c r="G311" s="94">
        <v>1.4149671449454226E-2</v>
      </c>
      <c r="H311" s="339" t="str">
        <f>CONCATENATE("Las plazas hoteleras, con un oferta de ",FIXED(F311,0)," plazas, se ",IF(G311&gt;0,"incrementan un ","reducen un "),FIXED(G311*100,1),"% respecto al mismo período del año anterior.")</f>
        <v>Las plazas hoteleras, con un oferta de 71.458 plazas, se incrementan un 1,4% respecto al mismo período del año anterior.</v>
      </c>
      <c r="I311" s="339"/>
      <c r="J311" s="339"/>
      <c r="K311" s="339"/>
      <c r="L311" s="340"/>
      <c r="M311" s="323"/>
    </row>
    <row r="312" spans="3:18" ht="34.5" customHeight="1" x14ac:dyDescent="0.2">
      <c r="C312" s="380"/>
      <c r="D312" s="381"/>
      <c r="E312" s="234" t="s">
        <v>86</v>
      </c>
      <c r="F312" s="235">
        <v>58600</v>
      </c>
      <c r="G312" s="236">
        <v>3.3673775378807891E-2</v>
      </c>
      <c r="H312" s="382" t="s">
        <v>107</v>
      </c>
      <c r="I312" s="382"/>
      <c r="J312" s="382"/>
      <c r="K312" s="382"/>
      <c r="L312" s="383"/>
      <c r="M312" s="323"/>
    </row>
    <row r="313" spans="3:18" ht="5.25" customHeight="1" thickBot="1" x14ac:dyDescent="0.25"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1"/>
      <c r="N313" s="186"/>
      <c r="O313" s="99"/>
      <c r="R313" s="99"/>
    </row>
    <row r="314" spans="3:18" ht="19.5" customHeight="1" thickBot="1" x14ac:dyDescent="0.25">
      <c r="C314" s="270" t="s">
        <v>87</v>
      </c>
      <c r="D314" s="271"/>
      <c r="E314" s="271"/>
      <c r="F314" s="271"/>
      <c r="G314" s="271"/>
      <c r="H314" s="271"/>
      <c r="I314" s="271"/>
      <c r="J314" s="271"/>
      <c r="K314" s="271"/>
      <c r="L314" s="271"/>
      <c r="M314" s="272"/>
      <c r="N314" s="186"/>
      <c r="O314" s="99"/>
      <c r="P314" s="99"/>
      <c r="Q314" s="99"/>
    </row>
    <row r="315" spans="3:18" ht="5.25" customHeight="1" x14ac:dyDescent="0.2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105"/>
      <c r="O315" s="99"/>
      <c r="P315" s="99"/>
      <c r="Q315" s="99"/>
    </row>
    <row r="316" spans="3:18" ht="44.25" customHeight="1" thickBot="1" x14ac:dyDescent="0.25">
      <c r="C316" s="384" t="s">
        <v>88</v>
      </c>
      <c r="D316" s="385"/>
      <c r="E316" s="237" t="s">
        <v>89</v>
      </c>
      <c r="F316" s="238">
        <v>365777</v>
      </c>
      <c r="G316" s="189">
        <v>0.39986298066802672</v>
      </c>
      <c r="H316" s="386" t="s">
        <v>118</v>
      </c>
      <c r="I316" s="386"/>
      <c r="J316" s="386"/>
      <c r="K316" s="386"/>
      <c r="L316" s="387"/>
      <c r="M316" s="323" t="s">
        <v>117</v>
      </c>
    </row>
    <row r="317" spans="3:18" ht="40.5" customHeight="1" thickTop="1" thickBot="1" x14ac:dyDescent="0.25">
      <c r="C317" s="384"/>
      <c r="D317" s="385"/>
      <c r="E317" s="239" t="s">
        <v>90</v>
      </c>
      <c r="F317" s="240">
        <v>165</v>
      </c>
      <c r="G317" s="241">
        <v>0.23134328358208944</v>
      </c>
      <c r="H317" s="388" t="s">
        <v>116</v>
      </c>
      <c r="I317" s="388"/>
      <c r="J317" s="388"/>
      <c r="K317" s="388"/>
      <c r="L317" s="389"/>
      <c r="M317" s="323"/>
    </row>
    <row r="318" spans="3:18" ht="13.5" thickTop="1" x14ac:dyDescent="0.2">
      <c r="C318" s="242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</row>
    <row r="319" spans="3:18" ht="29.25" customHeight="1" x14ac:dyDescent="0.2"/>
    <row r="320" spans="3:18" ht="18" customHeight="1" x14ac:dyDescent="0.2">
      <c r="C320" s="377" t="s">
        <v>91</v>
      </c>
      <c r="D320" s="377"/>
      <c r="E320" s="377"/>
      <c r="F320" s="377"/>
      <c r="G320" s="377"/>
      <c r="H320" s="377"/>
      <c r="I320" s="377"/>
      <c r="J320" s="377"/>
      <c r="K320" s="377"/>
      <c r="L320" s="377"/>
      <c r="M320" s="377"/>
    </row>
    <row r="322" spans="5:6" ht="6.75" customHeight="1" x14ac:dyDescent="0.2"/>
    <row r="324" spans="5:6" ht="8.25" customHeight="1" x14ac:dyDescent="0.2"/>
    <row r="327" spans="5:6" x14ac:dyDescent="0.2">
      <c r="E327" s="244"/>
      <c r="F327" s="244"/>
    </row>
    <row r="328" spans="5:6" x14ac:dyDescent="0.2">
      <c r="E328" s="244"/>
      <c r="F328" s="244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H283:L283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junio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2018-07-27T08:47:29+00:00</PublishingStartDate>
    <_dlc_DocId xmlns="8b099203-c902-4a5b-992f-1f849b15ff82">Q5F7QW3RQ55V-2035-386</_dlc_DocId>
    <_dlc_DocIdUrl xmlns="8b099203-c902-4a5b-992f-1f849b15ff82">
      <Url>http://admin.webtenerife.com/es/investigacion/Situacion-turistica/indicadores-turisticos/_layouts/DocIdRedir.aspx?ID=Q5F7QW3RQ55V-2035-386</Url>
      <Description>Q5F7QW3RQ55V-2035-386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523A0-27A0-43E3-8055-0A5D33F705F4}"/>
</file>

<file path=customXml/itemProps2.xml><?xml version="1.0" encoding="utf-8"?>
<ds:datastoreItem xmlns:ds="http://schemas.openxmlformats.org/officeDocument/2006/customXml" ds:itemID="{0AED721B-2C32-4DDB-AE4B-F7048BE4C271}"/>
</file>

<file path=customXml/itemProps3.xml><?xml version="1.0" encoding="utf-8"?>
<ds:datastoreItem xmlns:ds="http://schemas.openxmlformats.org/officeDocument/2006/customXml" ds:itemID="{EA24421F-CB2D-4701-8F46-1FC9A4281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(junio y I semestre 2018)</dc:title>
  <dc:creator>Manuela Rabaneda</dc:creator>
  <cp:lastModifiedBy>Manuela Rabaneda</cp:lastModifiedBy>
  <dcterms:created xsi:type="dcterms:W3CDTF">2018-07-24T08:47:08Z</dcterms:created>
  <dcterms:modified xsi:type="dcterms:W3CDTF">2018-07-26T09:53:58Z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e0a36aae-3197-4d07-862c-294bb34d31ac</vt:lpwstr>
  </property>
</Properties>
</file>