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/>
  <mc:AlternateContent xmlns:mc="http://schemas.openxmlformats.org/markup-compatibility/2006">
    <mc:Choice Requires="x15">
      <x15ac:absPath xmlns:x15ac="http://schemas.microsoft.com/office/spreadsheetml/2010/11/ac" url="https://turismodetenerife.sharepoint.com/sites/INVESTIGACION/Documentos compartidos/General/BOLETIN ESTADÍSTICO SPET/INDICADORES TURISTICOS DE TENERIFE/2018/Abril/"/>
    </mc:Choice>
  </mc:AlternateContent>
  <bookViews>
    <workbookView xWindow="0" yWindow="0" windowWidth="28800" windowHeight="12210"/>
  </bookViews>
  <sheets>
    <sheet name="abril + I cuatrimestre" sheetId="1" r:id="rId1"/>
  </sheets>
  <externalReferences>
    <externalReference r:id="rId2"/>
  </externalReferences>
  <definedNames>
    <definedName name="_xlnm.Print_Area" localSheetId="0">'abril + I cuatrimestre'!$C$1:$M$320</definedName>
    <definedName name="imagen100">OFFSET('[1]para grafico de camas'!$A$10,'[1]para grafico de camas'!$K$1-1,0)</definedName>
    <definedName name="imagen110">OFFSET('[1]para grafico de camas'!$A$10,'[1]para grafico de camas'!$B$1-1,0)</definedName>
    <definedName name="imagen120">OFFSET('[1]para grafico de camas'!$A$10,'[1]para grafico de camas'!$C$1-1,0)</definedName>
    <definedName name="imagen130">OFFSET('[1]para grafico de camas'!$A$10,'[1]para grafico de camas'!$D$1-1,0)</definedName>
    <definedName name="imagen140">OFFSET('[1]para grafico de camas'!$A$10,'[1]para grafico de camas'!$E$1-1,0)</definedName>
    <definedName name="imagen150">OFFSET('[1]para grafico de camas'!$A$10,'[1]para grafico de camas'!$F$1-1,0)</definedName>
    <definedName name="imagen160">OFFSET('[1]para grafico de camas'!$A$10,'[1]para grafico de camas'!$G$1-1,0)</definedName>
    <definedName name="imagen170">OFFSET('[1]para grafico de camas'!$A$10,'[1]para grafico de camas'!$H$1-1,0)</definedName>
    <definedName name="imagen180">OFFSET('[1]para grafico de camas'!$A$10,'[1]para grafico de camas'!$I$1-1,0)</definedName>
    <definedName name="imagen190">OFFSET('[1]para grafico de camas'!$A$10,'[1]para grafico de camas'!$J$1-1,0)</definedName>
    <definedName name="imagen200">OFFSET('[1]para grafico de camas'!$A$10,'[1]para grafico de camas'!$K$2-1,0)</definedName>
    <definedName name="imagen210">OFFSET('[1]para grafico de camas'!$A$10,'[1]para grafico de camas'!$B$2-1,0)</definedName>
    <definedName name="imagen220">OFFSET('[1]para grafico de camas'!$A$10,'[1]para grafico de camas'!$C$2-1,0)</definedName>
    <definedName name="imagen230">OFFSET('[1]para grafico de camas'!$A$10,'[1]para grafico de camas'!$D$2-1,0)</definedName>
    <definedName name="imagen240">OFFSET('[1]para grafico de camas'!$A$10,'[1]para grafico de camas'!$E$2-1,0)</definedName>
    <definedName name="imagen250">OFFSET('[1]para grafico de camas'!$A$10,'[1]para grafico de camas'!$F$2-1,0)</definedName>
    <definedName name="imagen260">OFFSET('[1]para grafico de camas'!$A$10,'[1]para grafico de camas'!$G$2-1,0)</definedName>
    <definedName name="imagen270">OFFSET('[1]para grafico de camas'!$A$10,'[1]para grafico de camas'!$H$2-1,0)</definedName>
    <definedName name="imagen280">OFFSET('[1]para grafico de camas'!$A$10,'[1]para grafico de camas'!$I$2-1,0)</definedName>
    <definedName name="imagen290">OFFSET('[1]para grafico de camas'!$A$10,'[1]para grafico de camas'!$J$2-1,0)</definedName>
    <definedName name="imagen300">OFFSET('[1]para grafico de camas'!$A$10,'[1]para grafico de camas'!$K$3-1,0)</definedName>
    <definedName name="imagen310">OFFSET('[1]para grafico de camas'!$A$10,'[1]para grafico de camas'!$B$3-1,0)</definedName>
    <definedName name="imagen320">OFFSET('[1]para grafico de camas'!$A$10,'[1]para grafico de camas'!$C$3-1,0)</definedName>
    <definedName name="imagen330">OFFSET('[1]para grafico de camas'!$A$10,'[1]para grafico de camas'!$D$3-1,0)</definedName>
    <definedName name="imagen340">OFFSET('[1]para grafico de camas'!$A$10,'[1]para grafico de camas'!$E$3-1,0)</definedName>
    <definedName name="imagen350">OFFSET('[1]para grafico de camas'!$A$10,'[1]para grafico de camas'!$F$3-1,0)</definedName>
    <definedName name="imagen360">OFFSET('[1]para grafico de camas'!$A$10,'[1]para grafico de camas'!$G$3-1,0)</definedName>
    <definedName name="imagen370">OFFSET('[1]para grafico de camas'!$A$10,'[1]para grafico de camas'!$H$3-1,0)</definedName>
    <definedName name="imagen380">OFFSET('[1]para grafico de camas'!$A$10,'[1]para grafico de camas'!$I$3-1,0)</definedName>
    <definedName name="imagen390">OFFSET('[1]para grafico de camas'!$A$10,'[1]para grafico de camas'!$J$3-1,0)</definedName>
    <definedName name="imagen400">OFFSET('[1]para grafico de camas'!$A$10,'[1]para grafico de camas'!$K$4-1,0)</definedName>
    <definedName name="imagen410">OFFSET('[1]para grafico de camas'!$A$10,'[1]para grafico de camas'!$B$4-1,0)</definedName>
    <definedName name="imagen420">OFFSET('[1]para grafico de camas'!$A$10,'[1]para grafico de camas'!$C$4-1,0)</definedName>
    <definedName name="imagen430">OFFSET('[1]para grafico de camas'!$A$10,'[1]para grafico de camas'!$D$4-1,0)</definedName>
    <definedName name="imagen440">OFFSET('[1]para grafico de camas'!$A$10,'[1]para grafico de camas'!$E$4-1,0)</definedName>
    <definedName name="imagen450">OFFSET('[1]para grafico de camas'!$A$10,'[1]para grafico de camas'!$F$4-1,0)</definedName>
    <definedName name="imagen460">OFFSET('[1]para grafico de camas'!$A$10,'[1]para grafico de camas'!$G$4-1,0)</definedName>
    <definedName name="imagen470">OFFSET('[1]para grafico de camas'!$A$10,'[1]para grafico de camas'!$H$4-1,0)</definedName>
    <definedName name="imagen480">OFFSET('[1]para grafico de camas'!$A$10,'[1]para grafico de camas'!$I$4-1,0)</definedName>
    <definedName name="imagen490">OFFSET('[1]para grafico de camas'!$A$10,'[1]para grafico de camas'!$J$4-1,0)</definedName>
    <definedName name="imagen500">OFFSET('[1]para grafico de camas'!$A$10,'[1]para grafico de camas'!$K$5-1,0)</definedName>
    <definedName name="imagen510">OFFSET('[1]para grafico de camas'!$A$10,'[1]para grafico de camas'!$B$5-1,0)</definedName>
    <definedName name="imagen520">OFFSET('[1]para grafico de camas'!$A$10,'[1]para grafico de camas'!$C$5-1,0)</definedName>
    <definedName name="imagen530">OFFSET('[1]para grafico de camas'!$A$10,'[1]para grafico de camas'!$D$5-1,0)</definedName>
    <definedName name="imagen540">OFFSET('[1]para grafico de camas'!$A$10,'[1]para grafico de camas'!$E$5-1,0)</definedName>
    <definedName name="imagen550">OFFSET('[1]para grafico de camas'!$A$10,'[1]para grafico de camas'!$F$5-1,0)</definedName>
    <definedName name="imagen560">OFFSET('[1]para grafico de camas'!$A$10,'[1]para grafico de camas'!$G$5-1,0)</definedName>
    <definedName name="imagen570">OFFSET('[1]para grafico de camas'!$A$10,'[1]para grafico de camas'!$H$5-1,0)</definedName>
    <definedName name="imagen580">OFFSET('[1]para grafico de camas'!$A$10,'[1]para grafico de camas'!$I$5-1,0)</definedName>
    <definedName name="imagen590">OFFSET('[1]para grafico de camas'!$A$10,'[1]para grafico de camas'!$J$5-1,0)</definedName>
    <definedName name="imagen600">OFFSET('[1]para grafico de camas'!$A$10,'[1]para grafico de camas'!$K$6-1,0)</definedName>
    <definedName name="imagen610">OFFSET('[1]para grafico de camas'!$A$10,'[1]para grafico de camas'!$B$6-1,0)</definedName>
    <definedName name="imagen620">OFFSET('[1]para grafico de camas'!$A$10,'[1]para grafico de camas'!$C$6-1,0)</definedName>
    <definedName name="imagen630">OFFSET('[1]para grafico de camas'!$A$10,'[1]para grafico de camas'!$D$6-1,0)</definedName>
    <definedName name="imagen640">OFFSET('[1]para grafico de camas'!$A$10,'[1]para grafico de camas'!$E$6-1,0)</definedName>
    <definedName name="imagen650">OFFSET('[1]para grafico de camas'!$A$10,'[1]para grafico de camas'!$F$6-1,0)</definedName>
    <definedName name="imagen660">OFFSET('[1]para grafico de camas'!$A$10,'[1]para grafico de camas'!$G$6-1,0)</definedName>
    <definedName name="imagen670">OFFSET('[1]para grafico de camas'!$A$10,'[1]para grafico de camas'!$H$6-1,0)</definedName>
    <definedName name="imagen680">OFFSET('[1]para grafico de camas'!$A$10,'[1]para grafico de camas'!$I$6-1,0)</definedName>
    <definedName name="imagen690">OFFSET('[1]para grafico de camas'!$A$10,'[1]para grafico de camas'!$J$6-1,0)</definedName>
    <definedName name="Print_Area" localSheetId="0">'abril + I cuatrimestre'!$C$1:$M$322</definedName>
    <definedName name="Z_B161D6A3_44F3_469D_B50D_76D907B3525C_.wvu.Cols" localSheetId="0" hidden="1">'abril + I cuatrimestre'!#REF!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40" i="1" l="1"/>
  <c r="P240" i="1"/>
  <c r="O240" i="1"/>
  <c r="N240" i="1"/>
  <c r="M240" i="1"/>
  <c r="L240" i="1"/>
  <c r="K240" i="1"/>
  <c r="J240" i="1"/>
  <c r="I240" i="1"/>
  <c r="H240" i="1"/>
  <c r="G240" i="1"/>
  <c r="F240" i="1"/>
  <c r="E240" i="1"/>
  <c r="D240" i="1"/>
  <c r="Q239" i="1"/>
  <c r="P239" i="1"/>
  <c r="O239" i="1"/>
  <c r="N239" i="1"/>
  <c r="M239" i="1"/>
  <c r="L239" i="1"/>
  <c r="K239" i="1"/>
  <c r="J239" i="1"/>
  <c r="I239" i="1"/>
  <c r="H239" i="1"/>
  <c r="G239" i="1"/>
  <c r="F239" i="1"/>
  <c r="E239" i="1"/>
  <c r="D239" i="1"/>
  <c r="Q238" i="1"/>
  <c r="P238" i="1"/>
  <c r="O238" i="1"/>
  <c r="N238" i="1"/>
  <c r="M238" i="1"/>
  <c r="L238" i="1"/>
  <c r="K238" i="1"/>
  <c r="J238" i="1"/>
  <c r="I238" i="1"/>
  <c r="H238" i="1"/>
  <c r="G238" i="1"/>
  <c r="F238" i="1"/>
  <c r="E238" i="1"/>
  <c r="D238" i="1"/>
  <c r="Q237" i="1"/>
  <c r="P237" i="1"/>
  <c r="O237" i="1"/>
  <c r="N237" i="1"/>
  <c r="M237" i="1"/>
  <c r="L237" i="1"/>
  <c r="K237" i="1"/>
  <c r="J237" i="1"/>
  <c r="I237" i="1"/>
  <c r="H237" i="1"/>
  <c r="G237" i="1"/>
  <c r="F237" i="1"/>
  <c r="E237" i="1"/>
  <c r="D237" i="1"/>
  <c r="Q236" i="1"/>
  <c r="P236" i="1"/>
  <c r="O236" i="1"/>
  <c r="N236" i="1"/>
  <c r="M236" i="1"/>
  <c r="L236" i="1"/>
  <c r="K236" i="1"/>
  <c r="J236" i="1"/>
  <c r="I236" i="1"/>
  <c r="H236" i="1"/>
  <c r="G236" i="1"/>
  <c r="F236" i="1"/>
  <c r="E236" i="1"/>
  <c r="D236" i="1"/>
  <c r="Q235" i="1"/>
  <c r="P235" i="1"/>
  <c r="O235" i="1"/>
  <c r="N235" i="1"/>
  <c r="M235" i="1"/>
  <c r="L235" i="1"/>
  <c r="K235" i="1"/>
  <c r="J235" i="1"/>
  <c r="I235" i="1"/>
  <c r="H235" i="1"/>
  <c r="G235" i="1"/>
  <c r="F235" i="1"/>
  <c r="E235" i="1"/>
  <c r="D235" i="1"/>
  <c r="Q234" i="1"/>
  <c r="P234" i="1"/>
  <c r="O234" i="1"/>
  <c r="N234" i="1"/>
  <c r="M234" i="1"/>
  <c r="L234" i="1"/>
  <c r="K234" i="1"/>
  <c r="J234" i="1"/>
  <c r="I234" i="1"/>
  <c r="H234" i="1"/>
  <c r="G234" i="1"/>
  <c r="F234" i="1"/>
  <c r="E234" i="1"/>
  <c r="D234" i="1"/>
  <c r="Q233" i="1"/>
  <c r="P233" i="1"/>
  <c r="O233" i="1"/>
  <c r="N233" i="1"/>
  <c r="M233" i="1"/>
  <c r="L233" i="1"/>
  <c r="K233" i="1"/>
  <c r="J233" i="1"/>
  <c r="I233" i="1"/>
  <c r="H233" i="1"/>
  <c r="G233" i="1"/>
  <c r="F233" i="1"/>
  <c r="E233" i="1"/>
  <c r="D233" i="1"/>
  <c r="Q232" i="1"/>
  <c r="P232" i="1"/>
  <c r="O232" i="1"/>
  <c r="N232" i="1"/>
  <c r="M232" i="1"/>
  <c r="L232" i="1"/>
  <c r="K232" i="1"/>
  <c r="J232" i="1"/>
  <c r="I232" i="1"/>
  <c r="H232" i="1"/>
  <c r="G232" i="1"/>
  <c r="F232" i="1"/>
  <c r="E232" i="1"/>
  <c r="D232" i="1"/>
  <c r="Q231" i="1"/>
  <c r="P231" i="1"/>
  <c r="O231" i="1"/>
  <c r="N231" i="1"/>
  <c r="M231" i="1"/>
  <c r="L231" i="1"/>
  <c r="K231" i="1"/>
  <c r="J231" i="1"/>
  <c r="I231" i="1"/>
  <c r="H231" i="1"/>
  <c r="G231" i="1"/>
  <c r="F231" i="1"/>
  <c r="E231" i="1"/>
  <c r="D231" i="1"/>
  <c r="Q230" i="1"/>
  <c r="P230" i="1"/>
  <c r="O230" i="1"/>
  <c r="N230" i="1"/>
  <c r="M230" i="1"/>
  <c r="K230" i="1"/>
  <c r="J230" i="1"/>
  <c r="I230" i="1"/>
  <c r="H230" i="1"/>
  <c r="G230" i="1"/>
  <c r="F230" i="1"/>
  <c r="E230" i="1"/>
  <c r="Q229" i="1"/>
  <c r="P229" i="1"/>
  <c r="O229" i="1"/>
  <c r="N229" i="1"/>
  <c r="M229" i="1"/>
  <c r="L229" i="1"/>
  <c r="K229" i="1"/>
  <c r="J229" i="1"/>
  <c r="I229" i="1"/>
  <c r="H229" i="1"/>
  <c r="G229" i="1"/>
  <c r="F229" i="1"/>
  <c r="E229" i="1"/>
  <c r="D229" i="1"/>
  <c r="Q228" i="1"/>
  <c r="P228" i="1"/>
  <c r="O228" i="1"/>
  <c r="N228" i="1"/>
  <c r="M228" i="1"/>
  <c r="L228" i="1"/>
  <c r="K228" i="1"/>
  <c r="J228" i="1"/>
  <c r="I228" i="1"/>
  <c r="H228" i="1"/>
  <c r="G228" i="1"/>
  <c r="F228" i="1"/>
  <c r="E228" i="1"/>
  <c r="D228" i="1"/>
  <c r="Q227" i="1"/>
  <c r="P227" i="1"/>
  <c r="O227" i="1"/>
  <c r="N227" i="1"/>
  <c r="M227" i="1"/>
  <c r="L227" i="1"/>
  <c r="K227" i="1"/>
  <c r="J227" i="1"/>
  <c r="I227" i="1"/>
  <c r="H227" i="1"/>
  <c r="G227" i="1"/>
  <c r="F227" i="1"/>
  <c r="E227" i="1"/>
  <c r="D227" i="1"/>
  <c r="Q226" i="1"/>
  <c r="P226" i="1"/>
  <c r="O226" i="1"/>
  <c r="N226" i="1"/>
  <c r="M226" i="1"/>
  <c r="L226" i="1"/>
  <c r="K226" i="1"/>
  <c r="J226" i="1"/>
  <c r="I226" i="1"/>
  <c r="H226" i="1"/>
  <c r="G226" i="1"/>
  <c r="F226" i="1"/>
  <c r="E226" i="1"/>
  <c r="D226" i="1"/>
  <c r="Q225" i="1"/>
  <c r="P225" i="1"/>
  <c r="O225" i="1"/>
  <c r="N225" i="1"/>
  <c r="M225" i="1"/>
  <c r="L225" i="1"/>
  <c r="K225" i="1"/>
  <c r="J225" i="1"/>
  <c r="I225" i="1"/>
  <c r="H225" i="1"/>
  <c r="G225" i="1"/>
  <c r="F225" i="1"/>
  <c r="E225" i="1"/>
  <c r="D225" i="1"/>
  <c r="Q224" i="1"/>
  <c r="P224" i="1"/>
  <c r="O224" i="1"/>
  <c r="N224" i="1"/>
  <c r="M224" i="1"/>
  <c r="L224" i="1"/>
  <c r="K224" i="1"/>
  <c r="J224" i="1"/>
  <c r="I224" i="1"/>
  <c r="H224" i="1"/>
  <c r="G224" i="1"/>
  <c r="F224" i="1"/>
  <c r="E224" i="1"/>
  <c r="D224" i="1"/>
  <c r="Q223" i="1"/>
  <c r="P223" i="1"/>
  <c r="O223" i="1"/>
  <c r="N223" i="1"/>
  <c r="M223" i="1"/>
  <c r="L223" i="1"/>
  <c r="K223" i="1"/>
  <c r="J223" i="1"/>
  <c r="I223" i="1"/>
  <c r="H223" i="1"/>
  <c r="G223" i="1"/>
  <c r="F223" i="1"/>
  <c r="E223" i="1"/>
  <c r="D223" i="1"/>
  <c r="Q222" i="1"/>
  <c r="P222" i="1"/>
  <c r="O222" i="1"/>
  <c r="N222" i="1"/>
  <c r="M222" i="1"/>
  <c r="L222" i="1"/>
  <c r="K222" i="1"/>
  <c r="J222" i="1"/>
  <c r="I222" i="1"/>
  <c r="H222" i="1"/>
  <c r="G222" i="1"/>
  <c r="F222" i="1"/>
  <c r="E222" i="1"/>
  <c r="D222" i="1"/>
  <c r="Q221" i="1"/>
  <c r="P221" i="1"/>
  <c r="O221" i="1"/>
  <c r="N221" i="1"/>
  <c r="M221" i="1"/>
  <c r="L221" i="1"/>
  <c r="K221" i="1"/>
  <c r="J221" i="1"/>
  <c r="I221" i="1"/>
  <c r="H221" i="1"/>
  <c r="G221" i="1"/>
  <c r="F221" i="1"/>
  <c r="E221" i="1"/>
  <c r="D221" i="1"/>
  <c r="Q220" i="1"/>
  <c r="P220" i="1"/>
  <c r="O220" i="1"/>
  <c r="N220" i="1"/>
  <c r="M220" i="1"/>
  <c r="L220" i="1"/>
  <c r="K220" i="1"/>
  <c r="J220" i="1"/>
  <c r="I220" i="1"/>
  <c r="H220" i="1"/>
  <c r="G220" i="1"/>
  <c r="F220" i="1"/>
  <c r="E220" i="1"/>
  <c r="D220" i="1"/>
  <c r="Q219" i="1"/>
  <c r="P219" i="1"/>
  <c r="O219" i="1"/>
  <c r="N219" i="1"/>
  <c r="M219" i="1"/>
  <c r="L219" i="1"/>
  <c r="K219" i="1"/>
  <c r="J219" i="1"/>
  <c r="I219" i="1"/>
  <c r="H219" i="1"/>
  <c r="G219" i="1"/>
  <c r="F219" i="1"/>
  <c r="E219" i="1"/>
  <c r="D219" i="1"/>
  <c r="Q218" i="1"/>
  <c r="P218" i="1"/>
  <c r="O218" i="1"/>
  <c r="N218" i="1"/>
  <c r="M218" i="1"/>
  <c r="L218" i="1"/>
  <c r="K218" i="1"/>
  <c r="J218" i="1"/>
  <c r="I218" i="1"/>
  <c r="H218" i="1"/>
  <c r="G218" i="1"/>
  <c r="F218" i="1"/>
  <c r="E218" i="1"/>
  <c r="D218" i="1"/>
  <c r="Q212" i="1"/>
  <c r="P212" i="1"/>
  <c r="O212" i="1"/>
  <c r="N212" i="1"/>
  <c r="M212" i="1"/>
  <c r="L212" i="1"/>
  <c r="K212" i="1"/>
  <c r="J212" i="1"/>
  <c r="I212" i="1"/>
  <c r="H212" i="1"/>
  <c r="G212" i="1"/>
  <c r="F212" i="1"/>
  <c r="E212" i="1"/>
  <c r="D212" i="1"/>
  <c r="Q211" i="1"/>
  <c r="P211" i="1"/>
  <c r="O211" i="1"/>
  <c r="N211" i="1"/>
  <c r="M211" i="1"/>
  <c r="L211" i="1"/>
  <c r="K211" i="1"/>
  <c r="J211" i="1"/>
  <c r="I211" i="1"/>
  <c r="H211" i="1"/>
  <c r="G211" i="1"/>
  <c r="F211" i="1"/>
  <c r="E211" i="1"/>
  <c r="D211" i="1"/>
  <c r="Q210" i="1"/>
  <c r="P210" i="1"/>
  <c r="O210" i="1"/>
  <c r="N210" i="1"/>
  <c r="M210" i="1"/>
  <c r="L210" i="1"/>
  <c r="K210" i="1"/>
  <c r="J210" i="1"/>
  <c r="I210" i="1"/>
  <c r="H210" i="1"/>
  <c r="G210" i="1"/>
  <c r="F210" i="1"/>
  <c r="E210" i="1"/>
  <c r="D210" i="1"/>
  <c r="Q209" i="1"/>
  <c r="P209" i="1"/>
  <c r="O209" i="1"/>
  <c r="N209" i="1"/>
  <c r="M209" i="1"/>
  <c r="L209" i="1"/>
  <c r="K209" i="1"/>
  <c r="J209" i="1"/>
  <c r="I209" i="1"/>
  <c r="H209" i="1"/>
  <c r="G209" i="1"/>
  <c r="F209" i="1"/>
  <c r="E209" i="1"/>
  <c r="D209" i="1"/>
  <c r="Q208" i="1"/>
  <c r="P208" i="1"/>
  <c r="O208" i="1"/>
  <c r="N208" i="1"/>
  <c r="M208" i="1"/>
  <c r="L208" i="1"/>
  <c r="K208" i="1"/>
  <c r="J208" i="1"/>
  <c r="I208" i="1"/>
  <c r="H208" i="1"/>
  <c r="G208" i="1"/>
  <c r="F208" i="1"/>
  <c r="E208" i="1"/>
  <c r="D208" i="1"/>
  <c r="Q207" i="1"/>
  <c r="P207" i="1"/>
  <c r="O207" i="1"/>
  <c r="N207" i="1"/>
  <c r="M207" i="1"/>
  <c r="L207" i="1"/>
  <c r="K207" i="1"/>
  <c r="J207" i="1"/>
  <c r="I207" i="1"/>
  <c r="H207" i="1"/>
  <c r="G207" i="1"/>
  <c r="F207" i="1"/>
  <c r="E207" i="1"/>
  <c r="D207" i="1"/>
  <c r="Q206" i="1"/>
  <c r="P206" i="1"/>
  <c r="O206" i="1"/>
  <c r="N206" i="1"/>
  <c r="M206" i="1"/>
  <c r="L206" i="1"/>
  <c r="K206" i="1"/>
  <c r="J206" i="1"/>
  <c r="I206" i="1"/>
  <c r="H206" i="1"/>
  <c r="G206" i="1"/>
  <c r="F206" i="1"/>
  <c r="E206" i="1"/>
  <c r="D206" i="1"/>
  <c r="Q205" i="1"/>
  <c r="P205" i="1"/>
  <c r="O205" i="1"/>
  <c r="N205" i="1"/>
  <c r="M205" i="1"/>
  <c r="L205" i="1"/>
  <c r="K205" i="1"/>
  <c r="J205" i="1"/>
  <c r="I205" i="1"/>
  <c r="H205" i="1"/>
  <c r="G205" i="1"/>
  <c r="F205" i="1"/>
  <c r="E205" i="1"/>
  <c r="D205" i="1"/>
  <c r="Q204" i="1"/>
  <c r="P204" i="1"/>
  <c r="O204" i="1"/>
  <c r="N204" i="1"/>
  <c r="M204" i="1"/>
  <c r="L204" i="1"/>
  <c r="K204" i="1"/>
  <c r="J204" i="1"/>
  <c r="I204" i="1"/>
  <c r="H204" i="1"/>
  <c r="G204" i="1"/>
  <c r="F204" i="1"/>
  <c r="E204" i="1"/>
  <c r="D204" i="1"/>
  <c r="Q203" i="1"/>
  <c r="P203" i="1"/>
  <c r="O203" i="1"/>
  <c r="N203" i="1"/>
  <c r="M203" i="1"/>
  <c r="L203" i="1"/>
  <c r="K203" i="1"/>
  <c r="J203" i="1"/>
  <c r="I203" i="1"/>
  <c r="H203" i="1"/>
  <c r="G203" i="1"/>
  <c r="F203" i="1"/>
  <c r="E203" i="1"/>
  <c r="D203" i="1"/>
  <c r="Q202" i="1"/>
  <c r="P202" i="1"/>
  <c r="O202" i="1"/>
  <c r="N202" i="1"/>
  <c r="M202" i="1"/>
  <c r="K202" i="1"/>
  <c r="J202" i="1"/>
  <c r="I202" i="1"/>
  <c r="H202" i="1"/>
  <c r="G202" i="1"/>
  <c r="F202" i="1"/>
  <c r="E202" i="1"/>
  <c r="Q201" i="1"/>
  <c r="P201" i="1"/>
  <c r="O201" i="1"/>
  <c r="N201" i="1"/>
  <c r="M201" i="1"/>
  <c r="L201" i="1"/>
  <c r="K201" i="1"/>
  <c r="J201" i="1"/>
  <c r="I201" i="1"/>
  <c r="H201" i="1"/>
  <c r="G201" i="1"/>
  <c r="F201" i="1"/>
  <c r="E201" i="1"/>
  <c r="D201" i="1"/>
  <c r="Q200" i="1"/>
  <c r="P200" i="1"/>
  <c r="O200" i="1"/>
  <c r="N200" i="1"/>
  <c r="M200" i="1"/>
  <c r="L200" i="1"/>
  <c r="K200" i="1"/>
  <c r="J200" i="1"/>
  <c r="I200" i="1"/>
  <c r="H200" i="1"/>
  <c r="G200" i="1"/>
  <c r="F200" i="1"/>
  <c r="E200" i="1"/>
  <c r="D200" i="1"/>
  <c r="Q199" i="1"/>
  <c r="P199" i="1"/>
  <c r="O199" i="1"/>
  <c r="N199" i="1"/>
  <c r="M199" i="1"/>
  <c r="L199" i="1"/>
  <c r="K199" i="1"/>
  <c r="J199" i="1"/>
  <c r="I199" i="1"/>
  <c r="H199" i="1"/>
  <c r="G199" i="1"/>
  <c r="F199" i="1"/>
  <c r="E199" i="1"/>
  <c r="D199" i="1"/>
  <c r="Q198" i="1"/>
  <c r="P198" i="1"/>
  <c r="O198" i="1"/>
  <c r="N198" i="1"/>
  <c r="M198" i="1"/>
  <c r="L198" i="1"/>
  <c r="K198" i="1"/>
  <c r="J198" i="1"/>
  <c r="I198" i="1"/>
  <c r="H198" i="1"/>
  <c r="G198" i="1"/>
  <c r="F198" i="1"/>
  <c r="E198" i="1"/>
  <c r="D198" i="1"/>
  <c r="Q197" i="1"/>
  <c r="P197" i="1"/>
  <c r="O197" i="1"/>
  <c r="N197" i="1"/>
  <c r="M197" i="1"/>
  <c r="L197" i="1"/>
  <c r="K197" i="1"/>
  <c r="J197" i="1"/>
  <c r="I197" i="1"/>
  <c r="H197" i="1"/>
  <c r="G197" i="1"/>
  <c r="F197" i="1"/>
  <c r="E197" i="1"/>
  <c r="D197" i="1"/>
  <c r="Q196" i="1"/>
  <c r="P196" i="1"/>
  <c r="O196" i="1"/>
  <c r="N196" i="1"/>
  <c r="M196" i="1"/>
  <c r="L196" i="1"/>
  <c r="K196" i="1"/>
  <c r="J196" i="1"/>
  <c r="I196" i="1"/>
  <c r="H196" i="1"/>
  <c r="G196" i="1"/>
  <c r="F196" i="1"/>
  <c r="E196" i="1"/>
  <c r="D196" i="1"/>
  <c r="Q195" i="1"/>
  <c r="P195" i="1"/>
  <c r="O195" i="1"/>
  <c r="N195" i="1"/>
  <c r="M195" i="1"/>
  <c r="L195" i="1"/>
  <c r="K195" i="1"/>
  <c r="J195" i="1"/>
  <c r="I195" i="1"/>
  <c r="H195" i="1"/>
  <c r="G195" i="1"/>
  <c r="F195" i="1"/>
  <c r="E195" i="1"/>
  <c r="D195" i="1"/>
  <c r="Q194" i="1"/>
  <c r="P194" i="1"/>
  <c r="O194" i="1"/>
  <c r="N194" i="1"/>
  <c r="M194" i="1"/>
  <c r="L194" i="1"/>
  <c r="K194" i="1"/>
  <c r="J194" i="1"/>
  <c r="I194" i="1"/>
  <c r="H194" i="1"/>
  <c r="G194" i="1"/>
  <c r="F194" i="1"/>
  <c r="E194" i="1"/>
  <c r="D194" i="1"/>
  <c r="Q193" i="1"/>
  <c r="P193" i="1"/>
  <c r="O193" i="1"/>
  <c r="N193" i="1"/>
  <c r="M193" i="1"/>
  <c r="L193" i="1"/>
  <c r="K193" i="1"/>
  <c r="J193" i="1"/>
  <c r="I193" i="1"/>
  <c r="H193" i="1"/>
  <c r="G193" i="1"/>
  <c r="F193" i="1"/>
  <c r="E193" i="1"/>
  <c r="D193" i="1"/>
  <c r="Q192" i="1"/>
  <c r="P192" i="1"/>
  <c r="O192" i="1"/>
  <c r="N192" i="1"/>
  <c r="M192" i="1"/>
  <c r="L192" i="1"/>
  <c r="K192" i="1"/>
  <c r="J192" i="1"/>
  <c r="I192" i="1"/>
  <c r="H192" i="1"/>
  <c r="G192" i="1"/>
  <c r="F192" i="1"/>
  <c r="E192" i="1"/>
  <c r="D192" i="1"/>
  <c r="Q191" i="1"/>
  <c r="P191" i="1"/>
  <c r="O191" i="1"/>
  <c r="N191" i="1"/>
  <c r="M191" i="1"/>
  <c r="L191" i="1"/>
  <c r="K191" i="1"/>
  <c r="J191" i="1"/>
  <c r="I191" i="1"/>
  <c r="H191" i="1"/>
  <c r="G191" i="1"/>
  <c r="F191" i="1"/>
  <c r="E191" i="1"/>
  <c r="D191" i="1"/>
  <c r="Q190" i="1"/>
  <c r="P190" i="1"/>
  <c r="O190" i="1"/>
  <c r="N190" i="1"/>
  <c r="M190" i="1"/>
  <c r="L190" i="1"/>
  <c r="K190" i="1"/>
  <c r="J190" i="1"/>
  <c r="I190" i="1"/>
  <c r="H190" i="1"/>
  <c r="G190" i="1"/>
  <c r="F190" i="1"/>
  <c r="E190" i="1"/>
  <c r="D190" i="1"/>
  <c r="C187" i="1"/>
  <c r="M64" i="1"/>
  <c r="L64" i="1"/>
  <c r="K64" i="1"/>
  <c r="J64" i="1"/>
  <c r="I64" i="1"/>
  <c r="G64" i="1"/>
  <c r="F64" i="1"/>
  <c r="E64" i="1"/>
  <c r="D64" i="1"/>
  <c r="C64" i="1"/>
  <c r="G120" i="1"/>
  <c r="E117" i="1"/>
  <c r="H310" i="1" l="1"/>
  <c r="H280" i="1"/>
  <c r="H302" i="1"/>
  <c r="H305" i="1"/>
  <c r="H309" i="1"/>
  <c r="H282" i="1"/>
  <c r="H308" i="1"/>
  <c r="H300" i="1"/>
  <c r="H311" i="1"/>
  <c r="C215" i="1"/>
  <c r="G152" i="1"/>
  <c r="I62" i="1"/>
  <c r="E184" i="1"/>
  <c r="E242" i="1"/>
  <c r="E295" i="1" s="1"/>
</calcChain>
</file>

<file path=xl/sharedStrings.xml><?xml version="1.0" encoding="utf-8"?>
<sst xmlns="http://schemas.openxmlformats.org/spreadsheetml/2006/main" count="594" uniqueCount="117">
  <si>
    <t>Ámbito</t>
  </si>
  <si>
    <t>Variable</t>
  </si>
  <si>
    <t>Valor absoluto
mensual</t>
  </si>
  <si>
    <t>Variación respecto al período anterior</t>
  </si>
  <si>
    <t>Valor absoluto
acumulado</t>
  </si>
  <si>
    <t>Fuente</t>
  </si>
  <si>
    <t>TURISTAS ALOJADOS</t>
  </si>
  <si>
    <t>TENERIFE</t>
  </si>
  <si>
    <t>Total</t>
  </si>
  <si>
    <t>Desarrollo Económico - Cabildo de Tenerife</t>
  </si>
  <si>
    <t>Hotelero</t>
  </si>
  <si>
    <t>Extrahotelero</t>
  </si>
  <si>
    <t>ZONA 1
Santa Cruz</t>
  </si>
  <si>
    <t>ZONA 2
La Laguna-Bajamar-La Punta</t>
  </si>
  <si>
    <t>ZONA 3
Norte</t>
  </si>
  <si>
    <t>ZONA 4
Sur</t>
  </si>
  <si>
    <t>PERNOCTACIONES</t>
  </si>
  <si>
    <t>ESTANCIAS MEDIAS</t>
  </si>
  <si>
    <t>INDICES DE OCUPACIÓN</t>
  </si>
  <si>
    <t>TURISTAS ALOJADOS POR CATEGORÍAS ALOJATIVAS</t>
  </si>
  <si>
    <t>5*</t>
  </si>
  <si>
    <t>4*</t>
  </si>
  <si>
    <t>3*</t>
  </si>
  <si>
    <t>2*</t>
  </si>
  <si>
    <t>1*</t>
  </si>
  <si>
    <t>PERNOCTACIONES POR CATEGORÍAS ALOJATIVAS</t>
  </si>
  <si>
    <t>STDE Cabildo de Tenerife</t>
  </si>
  <si>
    <t>ESTANCIAS MEDIAS POR CATEGORÍAS ALOJATIVAS</t>
  </si>
  <si>
    <t>ÍNDICES DE OCUPACIÓN POR CATEGORÍAS ALOJATIVAS</t>
  </si>
  <si>
    <t>Nº DE TURISTAS ALOJADOS POR  NACIONALIDAD Y VARIACIÓN DE LA AFLUENCIA  
RESPECTO AL AÑO ANTERIOR SEGÚN  ZONAS</t>
  </si>
  <si>
    <t>ZONA 1 Santa Cruz</t>
  </si>
  <si>
    <t>ZONA 2 La Laguna-Bajamar-La Punta</t>
  </si>
  <si>
    <t>ZONA 3 Norte</t>
  </si>
  <si>
    <t>ZONA 4 Sur</t>
  </si>
  <si>
    <t>Alojados
mes</t>
  </si>
  <si>
    <t>var
interanual</t>
  </si>
  <si>
    <t>España</t>
  </si>
  <si>
    <t>Res. Tenerife</t>
  </si>
  <si>
    <t>-</t>
  </si>
  <si>
    <t>Res. Otras Islas canarias</t>
  </si>
  <si>
    <t>Res. Península</t>
  </si>
  <si>
    <t>Holanda</t>
  </si>
  <si>
    <t>Bélgica</t>
  </si>
  <si>
    <t>Alemania</t>
  </si>
  <si>
    <t>Francia</t>
  </si>
  <si>
    <t>Reino Unido</t>
  </si>
  <si>
    <t>Irlanda</t>
  </si>
  <si>
    <t>Italia</t>
  </si>
  <si>
    <t>Países Nórdicos</t>
  </si>
  <si>
    <t>Suecia</t>
  </si>
  <si>
    <t>Noruega</t>
  </si>
  <si>
    <t>Dinamarca</t>
  </si>
  <si>
    <t>Finlandia</t>
  </si>
  <si>
    <t>Suiza</t>
  </si>
  <si>
    <t>Austria</t>
  </si>
  <si>
    <t>Rusia</t>
  </si>
  <si>
    <t>Países del Este</t>
  </si>
  <si>
    <t>Resto de Europa</t>
  </si>
  <si>
    <t>Usa</t>
  </si>
  <si>
    <t>Resto de América</t>
  </si>
  <si>
    <t>Resto del Mundo</t>
  </si>
  <si>
    <t>Total Extranjero</t>
  </si>
  <si>
    <t>Alojados
acumulado</t>
  </si>
  <si>
    <t>total hotelero</t>
  </si>
  <si>
    <t>extrahotelero</t>
  </si>
  <si>
    <t>var
periodo acumulado</t>
  </si>
  <si>
    <t>Alojados
periodo acumulado</t>
  </si>
  <si>
    <t>CUOTAS DE NACIONALIDAD TOTAL Y POR ZONAS, PARA EL MES ACTUAL Y ACUMULADO ANUAL</t>
  </si>
  <si>
    <t>Cuota mes</t>
  </si>
  <si>
    <t>Cuota periodo acumulado</t>
  </si>
  <si>
    <t>Res. 
Tenerife</t>
  </si>
  <si>
    <t xml:space="preserve">GASTO TURÍSTICO </t>
  </si>
  <si>
    <t>Gasto por turista</t>
  </si>
  <si>
    <t>total</t>
  </si>
  <si>
    <t>en origen</t>
  </si>
  <si>
    <t>en destino</t>
  </si>
  <si>
    <t>Gasto por turista y día</t>
  </si>
  <si>
    <t>PLAZAS ALOJATIVAS AUTORIZADAS A FECHA DEL PERÍODO ANALIZADO</t>
  </si>
  <si>
    <t>Hotelera</t>
  </si>
  <si>
    <t>Apartamentos</t>
  </si>
  <si>
    <t>Vivienda vacacional</t>
  </si>
  <si>
    <t>Hoteles Rurales</t>
  </si>
  <si>
    <t>Casas Rurales</t>
  </si>
  <si>
    <t>,</t>
  </si>
  <si>
    <t>PLAZAS ALOJATIVAS ESTIMADAS (no deben ser tomadas como cifra de plazas autorizadas)</t>
  </si>
  <si>
    <t>Hoteleras</t>
  </si>
  <si>
    <t>Extrahoteleras</t>
  </si>
  <si>
    <t>PASAJEROS DE CRUCEROS - PUERTO DE SANTA CRUZ DE TENERIFE</t>
  </si>
  <si>
    <t>PUERTO DE SANTA CRUZ DE TENERIFE</t>
  </si>
  <si>
    <t>Pasajeros Cruceros</t>
  </si>
  <si>
    <t>Nº Buques Cruceros</t>
  </si>
  <si>
    <t>Turismo de Tenerife - Investigación Turística</t>
  </si>
  <si>
    <t>INDICADORES TURÍSTICOS DE TENERIFE definitivo</t>
  </si>
  <si>
    <t>abril 2018</t>
  </si>
  <si>
    <t>Muestra hotelera= 95,5%;   Muestra extrahotelera= 63,2%;   Muestra total= 81,8%</t>
  </si>
  <si>
    <t>El gasto medio total por turista en los primeros tres meses del año ha ascendido a 1.198€. Se incrementa  un 6,4% respecto al mismo periodo del año anterior.</t>
  </si>
  <si>
    <t>El gasto medio por turista en origen se situó en 813€, un 11,7% más que en los primeros tres meses del año 2017.</t>
  </si>
  <si>
    <t>El gasto total diario por turista se situó en 123€, un 7,9% más que en el primer trimestre del año 2017.</t>
  </si>
  <si>
    <t>El gasto medio en Tenerife, por turista y día  fue de 41,5€, experimentando un incremento del 2,3% respecto al primer trimestre de 2017.</t>
  </si>
  <si>
    <t>I trimestre 2018 
Encuesta sobre el turista que visita Tenerife, Cabildo de Tenerife</t>
  </si>
  <si>
    <t>El número de plazas autorizadas por Policía Turística a fecha de abril 2018 asciendían a 143.087 plazas, registrando un incremento del 2,7% respecto al cierre del año 2017.</t>
  </si>
  <si>
    <t>Las plazas hoteleras autorizadas ascienden a 85.420 y representan el 60% del total. Con respecto al año 2017, las plazas hoteleras se incrementan un 1,6%.</t>
  </si>
  <si>
    <t>Las plazas extrahoteleras autorizadas, el 34% del total, ascienden a  48.766 (no incluye oferta rural). Disminuye un -0,5% respecto al cierre de 2017.</t>
  </si>
  <si>
    <t>Las plazas de vivienda vacacional autorizadas, el 5% del total, ascienden a  7.426 plazas. Aumentan un +55,5% respecto al cierre de 2017.</t>
  </si>
  <si>
    <t>Las plazas de hoteles rurales autorizadas por Policía Turística ascienden a 557, con un incremento del 0,0% respecto a 2017.</t>
  </si>
  <si>
    <t>Las plazas de casas rurales autorizadas por Policía Turística ascienden a 918, registrando un incremento del 0,0% respecto a 2017.</t>
  </si>
  <si>
    <t>abril 2018 Policía Turística Cabildo de Tenerife</t>
  </si>
  <si>
    <t>Las plazas estimadas por el STDE del Cabildo de Tenerife en el I semestre de 2018 ascienden a 164.366. Se incremantan un 3,3% respecto al mismo período del año anterior.</t>
  </si>
  <si>
    <t>La oferta extrahotelera estimada por el STDE del Cabildo de Tenerife en el I semestre de 2018, asciende a 69.830 plazas, incluyendo oferta rural. Supone el 42,5% del total de las plazas turísticas, registrando un incremento del 5,3%.</t>
  </si>
  <si>
    <t>Las plazas estimadas para la zona de La Laguna, Bajamar, La Punta ascienden a 1.571 en el I semestre de 2018, registrando un incremento respecto al mismo periodo del año anterior del 45,2%.</t>
  </si>
  <si>
    <t>Las plazas extrahoteleras se estiman en 747, registrándose un incremento del 48,2% respecto al II semestre del año anterior.</t>
  </si>
  <si>
    <t>Las plazas totales estimadas para la zona Norte se sitúan en las 29.509 plazas,  registrándose un incremento del 5,6% con respecto al incremento del 48,2% respecto al I semestre del año anterior.</t>
  </si>
  <si>
    <t>Las plazas extrahoteleras estimadas se sitúan en las 58.600 en el II semestre del  2018, con un incremento del 3,4%  respecto al I semestre del año anterior.</t>
  </si>
  <si>
    <t>I cuatrimestre 2018</t>
  </si>
  <si>
    <t>Por el Puerto de Santa Cruz de Tenerife han pasado en los primeros cuatro meses del año 2018, 343.843 cruceristas, un 44,7% más en comparación al mismo período del año 2017</t>
  </si>
  <si>
    <t>Acumulado abril 2018
FUENTE: Autoridad Portuaria de S/C de Tenerife</t>
  </si>
  <si>
    <t>El número de buques de crucero en el Puerto de Santa Cruz de Tenerife hasta abril 2018 ascienden a un total de 155 cruceros, cifra que se incrementa un +25,0% respecto al mismo período del año anterior.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</si>
</sst>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#,##0.0"/>
  </numFmts>
  <fonts count="22" x14ac:knownFonts="1">
    <font>
      <sz val="10"/>
      <name val="Arial"/>
      <family val="2"/>
    </font>
    <font>
      <sz val="10"/>
      <name val="Arial"/>
      <family val="2"/>
    </font>
    <font>
      <sz val="10"/>
      <color theme="1" tint="0.499984740745262"/>
      <name val="Arial"/>
      <family val="2"/>
    </font>
    <font>
      <b/>
      <sz val="18"/>
      <color theme="0"/>
      <name val="Arial"/>
      <family val="2"/>
    </font>
    <font>
      <b/>
      <sz val="18"/>
      <color theme="1" tint="0.499984740745262"/>
      <name val="Arial"/>
      <family val="2"/>
    </font>
    <font>
      <sz val="12"/>
      <color theme="1" tint="0.499984740745262"/>
      <name val="Arial"/>
      <family val="2"/>
    </font>
    <font>
      <b/>
      <sz val="12"/>
      <color theme="1" tint="0.499984740745262"/>
      <name val="Arial"/>
      <family val="2"/>
    </font>
    <font>
      <b/>
      <sz val="14"/>
      <color theme="9" tint="-0.249977111117893"/>
      <name val="Arial"/>
      <family val="2"/>
    </font>
    <font>
      <b/>
      <sz val="11"/>
      <color theme="1" tint="0.34998626667073579"/>
      <name val="Arial"/>
      <family val="2"/>
    </font>
    <font>
      <b/>
      <sz val="14"/>
      <color theme="1" tint="0.34998626667073579"/>
      <name val="Arial"/>
      <family val="2"/>
    </font>
    <font>
      <b/>
      <sz val="14"/>
      <color theme="1" tint="0.499984740745262"/>
      <name val="Arial"/>
      <family val="2"/>
    </font>
    <font>
      <b/>
      <sz val="10"/>
      <color theme="1" tint="0.34998626667073579"/>
      <name val="Arial"/>
      <family val="2"/>
    </font>
    <font>
      <sz val="11"/>
      <color theme="1" tint="0.499984740745262"/>
      <name val="Arial"/>
      <family val="2"/>
    </font>
    <font>
      <sz val="9"/>
      <color theme="1" tint="0.499984740745262"/>
      <name val="Arial"/>
      <family val="2"/>
    </font>
    <font>
      <b/>
      <sz val="10"/>
      <color theme="1" tint="0.499984740745262"/>
      <name val="Arial"/>
      <family val="2"/>
    </font>
    <font>
      <b/>
      <sz val="16"/>
      <color theme="9" tint="-0.249977111117893"/>
      <name val="Arial"/>
      <family val="2"/>
    </font>
    <font>
      <b/>
      <sz val="9"/>
      <color theme="1" tint="0.499984740745262"/>
      <name val="Arial"/>
      <family val="2"/>
    </font>
    <font>
      <sz val="8"/>
      <color theme="1" tint="0.499984740745262"/>
      <name val="Arial"/>
      <family val="2"/>
    </font>
    <font>
      <i/>
      <sz val="9"/>
      <color theme="1" tint="0.499984740745262"/>
      <name val="Arial"/>
      <family val="2"/>
    </font>
    <font>
      <b/>
      <sz val="8"/>
      <color theme="1" tint="0.499984740745262"/>
      <name val="Arial"/>
      <family val="2"/>
    </font>
    <font>
      <sz val="10"/>
      <color theme="1" tint="0.34998626667073579"/>
      <name val="Arial"/>
      <family val="2"/>
    </font>
    <font>
      <b/>
      <sz val="10"/>
      <color theme="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rgb="FFECECEC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22"/>
        <bgColor indexed="64"/>
      </patternFill>
    </fill>
  </fills>
  <borders count="144">
    <border>
      <left/>
      <right/>
      <top/>
      <bottom/>
      <diagonal/>
    </border>
    <border>
      <left/>
      <right/>
      <top style="medium">
        <color theme="9"/>
      </top>
      <bottom style="medium">
        <color theme="9"/>
      </bottom>
      <diagonal/>
    </border>
    <border>
      <left/>
      <right/>
      <top style="medium">
        <color theme="9"/>
      </top>
      <bottom/>
      <diagonal/>
    </border>
    <border>
      <left/>
      <right/>
      <top/>
      <bottom style="medium">
        <color theme="9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4659260841701"/>
      </left>
      <right style="medium">
        <color theme="0" tint="-0.24994659260841701"/>
      </right>
      <top/>
      <bottom/>
      <diagonal/>
    </border>
    <border>
      <left/>
      <right style="medium">
        <color indexed="9"/>
      </right>
      <top/>
      <bottom/>
      <diagonal/>
    </border>
    <border>
      <left style="medium">
        <color indexed="9"/>
      </left>
      <right/>
      <top/>
      <bottom/>
      <diagonal/>
    </border>
    <border>
      <left style="medium">
        <color indexed="9"/>
      </left>
      <right style="medium">
        <color theme="0" tint="-0.24994659260841701"/>
      </right>
      <top/>
      <bottom/>
      <diagonal/>
    </border>
    <border>
      <left style="medium">
        <color indexed="9"/>
      </left>
      <right style="medium">
        <color indexed="9"/>
      </right>
      <top/>
      <bottom/>
      <diagonal/>
    </border>
    <border>
      <left style="medium">
        <color theme="0" tint="-0.24994659260841701"/>
      </left>
      <right style="medium">
        <color indexed="9"/>
      </right>
      <top/>
      <bottom/>
      <diagonal/>
    </border>
    <border>
      <left style="medium">
        <color indexed="9"/>
      </left>
      <right/>
      <top style="medium">
        <color theme="9"/>
      </top>
      <bottom style="medium">
        <color theme="9"/>
      </bottom>
      <diagonal/>
    </border>
    <border>
      <left/>
      <right style="medium">
        <color indexed="9"/>
      </right>
      <top style="medium">
        <color theme="9"/>
      </top>
      <bottom style="medium">
        <color theme="9"/>
      </bottom>
      <diagonal/>
    </border>
    <border>
      <left style="medium">
        <color theme="0" tint="-0.24994659260841701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 style="medium">
        <color theme="0" tint="-0.24994659260841701"/>
      </right>
      <top/>
      <bottom style="thin">
        <color theme="0" tint="-4.9989318521683403E-2"/>
      </bottom>
      <diagonal/>
    </border>
    <border>
      <left/>
      <right/>
      <top style="medium">
        <color theme="0" tint="-4.9989318521683403E-2"/>
      </top>
      <bottom/>
      <diagonal/>
    </border>
    <border>
      <left style="medium">
        <color theme="0" tint="-0.24994659260841701"/>
      </left>
      <right style="thin">
        <color theme="0" tint="-4.9989318521683403E-2"/>
      </right>
      <top style="medium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medium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/>
      <top style="medium">
        <color theme="0" tint="-4.9989318521683403E-2"/>
      </top>
      <bottom style="thin">
        <color theme="0" tint="-4.9989318521683403E-2"/>
      </bottom>
      <diagonal/>
    </border>
    <border>
      <left style="medium">
        <color theme="0" tint="-0.24994659260841701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medium">
        <color theme="0" tint="-0.24994659260841701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/>
      <top style="thin">
        <color theme="0" tint="-4.9989318521683403E-2"/>
      </top>
      <bottom style="thin">
        <color theme="0" tint="-4.9989318521683403E-2"/>
      </bottom>
      <diagonal/>
    </border>
    <border>
      <left style="medium">
        <color theme="0" tint="-0.24994659260841701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medium">
        <color theme="0" tint="-0.24994659260841701"/>
      </left>
      <right style="thin">
        <color theme="0" tint="-4.9989318521683403E-2"/>
      </right>
      <top style="thin">
        <color theme="0" tint="-4.9989318521683403E-2"/>
      </top>
      <bottom style="medium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medium">
        <color theme="0" tint="-4.9989318521683403E-2"/>
      </bottom>
      <diagonal/>
    </border>
    <border>
      <left style="thin">
        <color theme="0" tint="-4.9989318521683403E-2"/>
      </left>
      <right/>
      <top style="thin">
        <color theme="0" tint="-4.9989318521683403E-2"/>
      </top>
      <bottom style="medium">
        <color theme="0" tint="-4.9989318521683403E-2"/>
      </bottom>
      <diagonal/>
    </border>
    <border>
      <left style="thin">
        <color theme="0" tint="-4.9989318521683403E-2"/>
      </left>
      <right style="medium">
        <color theme="0" tint="-0.24994659260841701"/>
      </right>
      <top style="medium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medium">
        <color theme="0" tint="-0.24994659260841701"/>
      </right>
      <top style="thin">
        <color theme="0" tint="-4.9989318521683403E-2"/>
      </top>
      <bottom style="medium">
        <color theme="0" tint="-4.9989318521683403E-2"/>
      </bottom>
      <diagonal/>
    </border>
    <border>
      <left style="medium">
        <color theme="0" tint="-0.24994659260841701"/>
      </left>
      <right style="thin">
        <color theme="0" tint="-4.9989318521683403E-2"/>
      </right>
      <top style="thin">
        <color theme="0" tint="-4.9989318521683403E-2"/>
      </top>
      <bottom style="medium">
        <color theme="0" tint="-0.24994659260841701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medium">
        <color theme="0" tint="-0.24994659260841701"/>
      </bottom>
      <diagonal/>
    </border>
    <border>
      <left style="thin">
        <color theme="0" tint="-4.9989318521683403E-2"/>
      </left>
      <right style="medium">
        <color theme="0" tint="-0.24994659260841701"/>
      </right>
      <top style="thin">
        <color theme="0" tint="-4.9989318521683403E-2"/>
      </top>
      <bottom style="medium">
        <color theme="0" tint="-0.24994659260841701"/>
      </bottom>
      <diagonal/>
    </border>
    <border>
      <left/>
      <right/>
      <top/>
      <bottom style="medium">
        <color theme="0" tint="-0.24994659260841701"/>
      </bottom>
      <diagonal/>
    </border>
    <border>
      <left style="thin">
        <color theme="0" tint="-4.9989318521683403E-2"/>
      </left>
      <right/>
      <top style="thin">
        <color theme="0" tint="-4.9989318521683403E-2"/>
      </top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medium">
        <color indexed="9"/>
      </left>
      <right/>
      <top style="medium">
        <color theme="0" tint="-0.24994659260841701"/>
      </top>
      <bottom style="medium">
        <color indexed="9"/>
      </bottom>
      <diagonal/>
    </border>
    <border>
      <left/>
      <right/>
      <top style="medium">
        <color theme="0" tint="-0.24994659260841701"/>
      </top>
      <bottom style="medium">
        <color indexed="9"/>
      </bottom>
      <diagonal/>
    </border>
    <border>
      <left/>
      <right style="medium">
        <color indexed="9"/>
      </right>
      <top style="medium">
        <color theme="0" tint="-0.24994659260841701"/>
      </top>
      <bottom style="medium">
        <color indexed="9"/>
      </bottom>
      <diagonal/>
    </border>
    <border>
      <left/>
      <right/>
      <top/>
      <bottom style="thin">
        <color theme="0" tint="-4.9989318521683403E-2"/>
      </bottom>
      <diagonal/>
    </border>
    <border>
      <left/>
      <right style="medium">
        <color indexed="9"/>
      </right>
      <top style="medium">
        <color theme="9"/>
      </top>
      <bottom/>
      <diagonal/>
    </border>
    <border>
      <left style="medium">
        <color indexed="9"/>
      </left>
      <right/>
      <top style="medium">
        <color indexed="9"/>
      </top>
      <bottom/>
      <diagonal/>
    </border>
    <border>
      <left/>
      <right/>
      <top style="medium">
        <color indexed="9"/>
      </top>
      <bottom/>
      <diagonal/>
    </border>
    <border>
      <left/>
      <right style="medium">
        <color indexed="9"/>
      </right>
      <top style="medium">
        <color indexed="9"/>
      </top>
      <bottom/>
      <diagonal/>
    </border>
    <border>
      <left style="medium">
        <color theme="0" tint="-0.24994659260841701"/>
      </left>
      <right/>
      <top style="medium">
        <color theme="9"/>
      </top>
      <bottom/>
      <diagonal/>
    </border>
    <border>
      <left/>
      <right style="medium">
        <color theme="0" tint="-0.24994659260841701"/>
      </right>
      <top style="medium">
        <color theme="9"/>
      </top>
      <bottom/>
      <diagonal/>
    </border>
    <border>
      <left style="thick">
        <color theme="0" tint="-0.14990691854609822"/>
      </left>
      <right style="thick">
        <color theme="0" tint="-0.14996795556505021"/>
      </right>
      <top style="thick">
        <color theme="0" tint="-0.14996795556505021"/>
      </top>
      <bottom/>
      <diagonal/>
    </border>
    <border>
      <left style="thick">
        <color theme="0" tint="-0.14996795556505021"/>
      </left>
      <right style="medium">
        <color rgb="FFECECEC"/>
      </right>
      <top style="thick">
        <color theme="0" tint="-0.14996795556505021"/>
      </top>
      <bottom style="medium">
        <color rgb="FFECECEC"/>
      </bottom>
      <diagonal/>
    </border>
    <border>
      <left style="medium">
        <color rgb="FFECECEC"/>
      </left>
      <right style="thick">
        <color theme="0" tint="-0.14996795556505021"/>
      </right>
      <top style="thick">
        <color theme="0" tint="-0.14996795556505021"/>
      </top>
      <bottom style="medium">
        <color rgb="FFECECEC"/>
      </bottom>
      <diagonal/>
    </border>
    <border>
      <left style="thick">
        <color theme="0" tint="-0.14990691854609822"/>
      </left>
      <right style="thick">
        <color theme="0" tint="-0.14996795556505021"/>
      </right>
      <top/>
      <bottom style="medium">
        <color theme="0" tint="-0.24994659260841701"/>
      </bottom>
      <diagonal/>
    </border>
    <border>
      <left style="thick">
        <color theme="0" tint="-0.14996795556505021"/>
      </left>
      <right style="medium">
        <color rgb="FFECECEC"/>
      </right>
      <top style="medium">
        <color rgb="FFECECEC"/>
      </top>
      <bottom/>
      <diagonal/>
    </border>
    <border>
      <left style="medium">
        <color rgb="FFECECEC"/>
      </left>
      <right style="thick">
        <color theme="0" tint="-0.14996795556505021"/>
      </right>
      <top style="medium">
        <color rgb="FFECECEC"/>
      </top>
      <bottom/>
      <diagonal/>
    </border>
    <border>
      <left style="thick">
        <color theme="0" tint="-0.14990691854609822"/>
      </left>
      <right/>
      <top style="medium">
        <color theme="0" tint="-0.24994659260841701"/>
      </top>
      <bottom style="medium">
        <color theme="0" tint="-0.24994659260841701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 style="medium">
        <color theme="0" tint="-0.24994659260841701"/>
      </bottom>
      <diagonal/>
    </border>
    <border>
      <left/>
      <right style="medium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thick">
        <color theme="0" tint="-0.14990691854609822"/>
      </left>
      <right/>
      <top/>
      <bottom style="medium">
        <color indexed="9"/>
      </bottom>
      <diagonal/>
    </border>
    <border>
      <left style="medium">
        <color theme="0" tint="-0.24994659260841701"/>
      </left>
      <right/>
      <top/>
      <bottom style="thin">
        <color theme="0" tint="-4.9989318521683403E-2"/>
      </bottom>
      <diagonal/>
    </border>
    <border>
      <left/>
      <right style="medium">
        <color theme="0" tint="-0.24994659260841701"/>
      </right>
      <top/>
      <bottom style="thin">
        <color theme="0" tint="-4.9989318521683403E-2"/>
      </bottom>
      <diagonal/>
    </border>
    <border>
      <left style="thick">
        <color theme="0" tint="-0.14990691854609822"/>
      </left>
      <right/>
      <top style="medium">
        <color indexed="9"/>
      </top>
      <bottom style="medium">
        <color indexed="9"/>
      </bottom>
      <diagonal/>
    </border>
    <border>
      <left style="medium">
        <color theme="0" tint="-0.24994659260841701"/>
      </left>
      <right/>
      <top style="thin">
        <color theme="0" tint="-4.9989318521683403E-2"/>
      </top>
      <bottom style="thin">
        <color theme="0" tint="-4.9989318521683403E-2"/>
      </bottom>
      <diagonal/>
    </border>
    <border>
      <left/>
      <right style="medium">
        <color theme="0" tint="-0.24994659260841701"/>
      </right>
      <top style="thin">
        <color theme="0" tint="-4.9989318521683403E-2"/>
      </top>
      <bottom style="thin">
        <color theme="0" tint="-4.9989318521683403E-2"/>
      </bottom>
      <diagonal/>
    </border>
    <border>
      <left style="medium">
        <color theme="0" tint="-0.24994659260841701"/>
      </left>
      <right/>
      <top style="thin">
        <color theme="0" tint="-4.9989318521683403E-2"/>
      </top>
      <bottom/>
      <diagonal/>
    </border>
    <border>
      <left/>
      <right style="medium">
        <color theme="0" tint="-0.24994659260841701"/>
      </right>
      <top style="thin">
        <color theme="0" tint="-4.9989318521683403E-2"/>
      </top>
      <bottom/>
      <diagonal/>
    </border>
    <border>
      <left style="thick">
        <color theme="0" tint="-0.14990691854609822"/>
      </left>
      <right/>
      <top style="medium">
        <color theme="0" tint="-0.24994659260841701"/>
      </top>
      <bottom/>
      <diagonal/>
    </border>
    <border>
      <left style="medium">
        <color theme="0" tint="-0.24994659260841701"/>
      </left>
      <right/>
      <top style="thick">
        <color theme="0" tint="-0.14993743705557422"/>
      </top>
      <bottom/>
      <diagonal/>
    </border>
    <border>
      <left/>
      <right style="medium">
        <color theme="0" tint="-0.24994659260841701"/>
      </right>
      <top style="thick">
        <color theme="0" tint="-0.14993743705557422"/>
      </top>
      <bottom/>
      <diagonal/>
    </border>
    <border>
      <left style="thick">
        <color theme="0" tint="-0.14990691854609822"/>
      </left>
      <right/>
      <top style="medium">
        <color theme="0" tint="-0.24994659260841701"/>
      </top>
      <bottom style="medium">
        <color theme="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 style="medium">
        <color theme="9"/>
      </bottom>
      <diagonal/>
    </border>
    <border>
      <left/>
      <right style="medium">
        <color theme="0" tint="-0.24994659260841701"/>
      </right>
      <top style="medium">
        <color theme="0" tint="-0.24994659260841701"/>
      </top>
      <bottom style="medium">
        <color theme="9"/>
      </bottom>
      <diagonal/>
    </border>
    <border>
      <left style="medium">
        <color indexed="9"/>
      </left>
      <right/>
      <top style="medium">
        <color indexed="9"/>
      </top>
      <bottom style="medium">
        <color indexed="9"/>
      </bottom>
      <diagonal/>
    </border>
    <border>
      <left/>
      <right/>
      <top style="medium">
        <color indexed="9"/>
      </top>
      <bottom style="medium">
        <color indexed="9"/>
      </bottom>
      <diagonal/>
    </border>
    <border>
      <left/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medium">
        <color indexed="9"/>
      </left>
      <right/>
      <top/>
      <bottom style="medium">
        <color indexed="9"/>
      </bottom>
      <diagonal/>
    </border>
    <border>
      <left/>
      <right style="medium">
        <color indexed="9"/>
      </right>
      <top/>
      <bottom style="medium">
        <color indexed="9"/>
      </bottom>
      <diagonal/>
    </border>
    <border>
      <left style="medium">
        <color indexed="9"/>
      </left>
      <right style="medium">
        <color indexed="9"/>
      </right>
      <top/>
      <bottom style="medium">
        <color indexed="9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medium">
        <color indexed="9"/>
      </left>
      <right/>
      <top style="medium">
        <color theme="9"/>
      </top>
      <bottom/>
      <diagonal/>
    </border>
    <border>
      <left style="medium">
        <color rgb="FFECECEC"/>
      </left>
      <right style="thick">
        <color theme="0" tint="-0.14990691854609822"/>
      </right>
      <top style="thick">
        <color theme="0" tint="-0.14996795556505021"/>
      </top>
      <bottom style="medium">
        <color rgb="FFECECEC"/>
      </bottom>
      <diagonal/>
    </border>
    <border>
      <left style="thick">
        <color theme="0" tint="-0.14996795556505021"/>
      </left>
      <right style="medium">
        <color rgb="FFECECEC"/>
      </right>
      <top style="medium">
        <color rgb="FFECECEC"/>
      </top>
      <bottom style="thick">
        <color theme="0" tint="-0.14996795556505021"/>
      </bottom>
      <diagonal/>
    </border>
    <border>
      <left style="medium">
        <color rgb="FFECECEC"/>
      </left>
      <right style="thick">
        <color theme="0" tint="-0.14996795556505021"/>
      </right>
      <top style="medium">
        <color rgb="FFECECEC"/>
      </top>
      <bottom style="thick">
        <color theme="0" tint="-0.14996795556505021"/>
      </bottom>
      <diagonal/>
    </border>
    <border>
      <left style="medium">
        <color rgb="FFECECEC"/>
      </left>
      <right style="thick">
        <color theme="0" tint="-0.14990691854609822"/>
      </right>
      <top style="medium">
        <color rgb="FFECECEC"/>
      </top>
      <bottom style="thick">
        <color theme="0" tint="-0.14996795556505021"/>
      </bottom>
      <diagonal/>
    </border>
    <border>
      <left style="medium">
        <color theme="0" tint="-0.24994659260841701"/>
      </left>
      <right style="medium">
        <color theme="0" tint="-4.9989318521683403E-2"/>
      </right>
      <top style="medium">
        <color theme="0" tint="-0.24994659260841701"/>
      </top>
      <bottom style="medium">
        <color theme="0" tint="-0.24994659260841701"/>
      </bottom>
      <diagonal/>
    </border>
    <border>
      <left style="medium">
        <color theme="0" tint="-4.9989318521683403E-2"/>
      </left>
      <right style="medium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medium">
        <color theme="0" tint="-4.9989318521683403E-2"/>
      </left>
      <right style="thick">
        <color theme="0" tint="-0.14990691854609822"/>
      </right>
      <top style="medium">
        <color theme="0" tint="-0.24994659260841701"/>
      </top>
      <bottom style="medium">
        <color theme="0" tint="-0.24994659260841701"/>
      </bottom>
      <diagonal/>
    </border>
    <border>
      <left style="medium">
        <color theme="0" tint="-0.24994659260841701"/>
      </left>
      <right style="medium">
        <color theme="0" tint="-4.9989318521683403E-2"/>
      </right>
      <top style="medium">
        <color indexed="9"/>
      </top>
      <bottom style="medium">
        <color indexed="9"/>
      </bottom>
      <diagonal/>
    </border>
    <border>
      <left style="medium">
        <color theme="0" tint="-4.9989318521683403E-2"/>
      </left>
      <right style="medium">
        <color theme="0" tint="-0.24994659260841701"/>
      </right>
      <top style="medium">
        <color indexed="9"/>
      </top>
      <bottom style="medium">
        <color indexed="9"/>
      </bottom>
      <diagonal/>
    </border>
    <border>
      <left style="medium">
        <color theme="0" tint="-4.9989318521683403E-2"/>
      </left>
      <right style="thick">
        <color theme="0" tint="-0.14990691854609822"/>
      </right>
      <top style="medium">
        <color indexed="9"/>
      </top>
      <bottom style="medium">
        <color indexed="9"/>
      </bottom>
      <diagonal/>
    </border>
    <border>
      <left style="medium">
        <color theme="0" tint="-0.24994659260841701"/>
      </left>
      <right style="medium">
        <color theme="0" tint="-4.9989318521683403E-2"/>
      </right>
      <top style="medium">
        <color theme="0" tint="-0.24994659260841701"/>
      </top>
      <bottom style="medium">
        <color theme="9"/>
      </bottom>
      <diagonal/>
    </border>
    <border>
      <left style="medium">
        <color theme="0" tint="-4.9989318521683403E-2"/>
      </left>
      <right style="medium">
        <color theme="0" tint="-0.24994659260841701"/>
      </right>
      <top style="medium">
        <color theme="0" tint="-0.24994659260841701"/>
      </top>
      <bottom style="medium">
        <color theme="9"/>
      </bottom>
      <diagonal/>
    </border>
    <border>
      <left style="medium">
        <color theme="0" tint="-4.9989318521683403E-2"/>
      </left>
      <right style="thick">
        <color theme="0" tint="-0.14990691854609822"/>
      </right>
      <top style="medium">
        <color theme="0" tint="-0.24994659260841701"/>
      </top>
      <bottom style="medium">
        <color theme="9"/>
      </bottom>
      <diagonal/>
    </border>
    <border>
      <left style="thick">
        <color theme="0" tint="-0.14990691854609822"/>
      </left>
      <right/>
      <top/>
      <bottom/>
      <diagonal/>
    </border>
    <border>
      <left style="thick">
        <color theme="0" tint="-4.9989318521683403E-2"/>
      </left>
      <right style="medium">
        <color theme="0" tint="-4.9989318521683403E-2"/>
      </right>
      <top/>
      <bottom style="thin">
        <color theme="0" tint="-4.9989318521683403E-2"/>
      </bottom>
      <diagonal/>
    </border>
    <border>
      <left style="medium">
        <color theme="0" tint="-4.9989318521683403E-2"/>
      </left>
      <right style="medium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ck">
        <color theme="0" tint="-4.9989318521683403E-2"/>
      </bottom>
      <diagonal/>
    </border>
    <border>
      <left style="medium">
        <color theme="0" tint="-4.9989318521683403E-2"/>
      </left>
      <right/>
      <top/>
      <bottom/>
      <diagonal/>
    </border>
    <border>
      <left/>
      <right style="thick">
        <color theme="0" tint="-4.9989318521683403E-2"/>
      </right>
      <top/>
      <bottom/>
      <diagonal/>
    </border>
    <border>
      <left/>
      <right style="thick">
        <color theme="0" tint="-0.14990691854609822"/>
      </right>
      <top/>
      <bottom/>
      <diagonal/>
    </border>
    <border>
      <left style="thick">
        <color theme="0" tint="-4.9989318521683403E-2"/>
      </left>
      <right style="medium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medium">
        <color theme="0" tint="-4.9989318521683403E-2"/>
      </left>
      <right style="medium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ck">
        <color theme="0" tint="-4.9989318521683403E-2"/>
      </left>
      <right style="medium">
        <color theme="0" tint="-4.9989318521683403E-2"/>
      </right>
      <top style="thin">
        <color theme="0" tint="-4.9989318521683403E-2"/>
      </top>
      <bottom style="thick">
        <color theme="0" tint="-4.9989318521683403E-2"/>
      </bottom>
      <diagonal/>
    </border>
    <border>
      <left style="medium">
        <color theme="0" tint="-4.9989318521683403E-2"/>
      </left>
      <right style="medium">
        <color theme="0" tint="-4.9989318521683403E-2"/>
      </right>
      <top style="thin">
        <color theme="0" tint="-4.9989318521683403E-2"/>
      </top>
      <bottom style="thick">
        <color theme="0" tint="-4.9989318521683403E-2"/>
      </bottom>
      <diagonal/>
    </border>
    <border>
      <left style="thick">
        <color theme="0" tint="-4.9989318521683403E-2"/>
      </left>
      <right style="medium">
        <color theme="0" tint="-4.9989318521683403E-2"/>
      </right>
      <top style="thick">
        <color theme="0" tint="-4.9989318521683403E-2"/>
      </top>
      <bottom style="thin">
        <color theme="0" tint="-4.9989318521683403E-2"/>
      </bottom>
      <diagonal/>
    </border>
    <border>
      <left style="medium">
        <color theme="0" tint="-4.9989318521683403E-2"/>
      </left>
      <right style="medium">
        <color theme="0" tint="-4.9989318521683403E-2"/>
      </right>
      <top style="thick">
        <color theme="0" tint="-4.9989318521683403E-2"/>
      </top>
      <bottom style="thin">
        <color theme="0" tint="-4.9989318521683403E-2"/>
      </bottom>
      <diagonal/>
    </border>
    <border>
      <left style="thick">
        <color theme="0" tint="-4.9989318521683403E-2"/>
      </left>
      <right style="medium">
        <color theme="0" tint="-4.9989318521683403E-2"/>
      </right>
      <top style="thin">
        <color theme="0" tint="-4.9989318521683403E-2"/>
      </top>
      <bottom/>
      <diagonal/>
    </border>
    <border>
      <left style="medium">
        <color theme="0" tint="-4.9989318521683403E-2"/>
      </left>
      <right style="medium">
        <color theme="0" tint="-4.9989318521683403E-2"/>
      </right>
      <top style="thin">
        <color theme="0" tint="-4.9989318521683403E-2"/>
      </top>
      <bottom/>
      <diagonal/>
    </border>
    <border>
      <left/>
      <right/>
      <top/>
      <bottom style="medium">
        <color indexed="9"/>
      </bottom>
      <diagonal/>
    </border>
    <border>
      <left style="thick">
        <color theme="0" tint="-4.9989318521683403E-2"/>
      </left>
      <right style="thin">
        <color theme="0" tint="-4.9989318521683403E-2"/>
      </right>
      <top/>
      <bottom style="thick">
        <color theme="0" tint="-4.9989318521683403E-2"/>
      </bottom>
      <diagonal/>
    </border>
    <border>
      <left style="thin">
        <color theme="0" tint="-4.9989318521683403E-2"/>
      </left>
      <right style="thick">
        <color theme="0" tint="-4.9989318521683403E-2"/>
      </right>
      <top/>
      <bottom style="thick">
        <color theme="0" tint="-4.9989318521683403E-2"/>
      </bottom>
      <diagonal/>
    </border>
    <border>
      <left style="thick">
        <color theme="0" tint="-4.9989318521683403E-2"/>
      </left>
      <right style="thin">
        <color theme="0" tint="-4.9989318521683403E-2"/>
      </right>
      <top style="thick">
        <color theme="0" tint="-4.9989318521683403E-2"/>
      </top>
      <bottom style="thick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ck">
        <color theme="0" tint="-4.9989318521683403E-2"/>
      </top>
      <bottom style="thick">
        <color theme="0" tint="-4.9989318521683403E-2"/>
      </bottom>
      <diagonal/>
    </border>
    <border>
      <left style="thin">
        <color theme="0" tint="-4.9989318521683403E-2"/>
      </left>
      <right style="thick">
        <color theme="0" tint="-4.9989318521683403E-2"/>
      </right>
      <top style="thick">
        <color theme="0" tint="-4.9989318521683403E-2"/>
      </top>
      <bottom style="thick">
        <color theme="0" tint="-4.9989318521683403E-2"/>
      </bottom>
      <diagonal/>
    </border>
    <border>
      <left style="thick">
        <color theme="0" tint="-0.14990691854609822"/>
      </left>
      <right style="medium">
        <color theme="0" tint="-4.9989318521683403E-2"/>
      </right>
      <top/>
      <bottom style="hair">
        <color theme="0" tint="-4.9989318521683403E-2"/>
      </bottom>
      <diagonal/>
    </border>
    <border>
      <left style="medium">
        <color theme="0" tint="-4.9989318521683403E-2"/>
      </left>
      <right style="medium">
        <color theme="0" tint="-4.9989318521683403E-2"/>
      </right>
      <top/>
      <bottom style="hair">
        <color theme="0" tint="-4.9989318521683403E-2"/>
      </bottom>
      <diagonal/>
    </border>
    <border>
      <left style="medium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 style="thick">
        <color theme="0" tint="-4.9989318521683403E-2"/>
      </right>
      <top/>
      <bottom style="thin">
        <color theme="0" tint="-4.9989318521683403E-2"/>
      </bottom>
      <diagonal/>
    </border>
    <border>
      <left style="thick">
        <color theme="0" tint="-0.14990691854609822"/>
      </left>
      <right style="medium">
        <color theme="0" tint="-4.9989318521683403E-2"/>
      </right>
      <top style="hair">
        <color theme="0" tint="-4.9989318521683403E-2"/>
      </top>
      <bottom style="hair">
        <color theme="0" tint="-4.9989318521683403E-2"/>
      </bottom>
      <diagonal/>
    </border>
    <border>
      <left style="medium">
        <color theme="0" tint="-4.9989318521683403E-2"/>
      </left>
      <right style="medium">
        <color theme="0" tint="-4.9989318521683403E-2"/>
      </right>
      <top style="hair">
        <color theme="0" tint="-4.9989318521683403E-2"/>
      </top>
      <bottom style="hair">
        <color theme="0" tint="-4.9989318521683403E-2"/>
      </bottom>
      <diagonal/>
    </border>
    <border>
      <left style="medium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ck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ck">
        <color theme="0" tint="-0.14990691854609822"/>
      </left>
      <right style="medium">
        <color theme="0" tint="-4.9989318521683403E-2"/>
      </right>
      <top style="hair">
        <color theme="0" tint="-4.9989318521683403E-2"/>
      </top>
      <bottom style="thick">
        <color theme="0" tint="-4.9989318521683403E-2"/>
      </bottom>
      <diagonal/>
    </border>
    <border>
      <left style="medium">
        <color theme="0" tint="-4.9989318521683403E-2"/>
      </left>
      <right style="medium">
        <color theme="0" tint="-4.9989318521683403E-2"/>
      </right>
      <top style="hair">
        <color theme="0" tint="-4.9989318521683403E-2"/>
      </top>
      <bottom style="thick">
        <color theme="0" tint="-4.9989318521683403E-2"/>
      </bottom>
      <diagonal/>
    </border>
    <border>
      <left style="medium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ck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ck">
        <color theme="0" tint="-4.9989318521683403E-2"/>
      </bottom>
      <diagonal/>
    </border>
    <border>
      <left style="thin">
        <color theme="0" tint="-4.9989318521683403E-2"/>
      </left>
      <right style="thick">
        <color theme="0" tint="-4.9989318521683403E-2"/>
      </right>
      <top style="thin">
        <color theme="0" tint="-4.9989318521683403E-2"/>
      </top>
      <bottom style="thick">
        <color theme="0" tint="-4.9989318521683403E-2"/>
      </bottom>
      <diagonal/>
    </border>
    <border>
      <left style="thick">
        <color theme="0" tint="-0.14990691854609822"/>
      </left>
      <right style="medium">
        <color theme="0" tint="-4.9989318521683403E-2"/>
      </right>
      <top style="thick">
        <color theme="0" tint="-4.9989318521683403E-2"/>
      </top>
      <bottom/>
      <diagonal/>
    </border>
    <border>
      <left style="medium">
        <color theme="0" tint="-4.9989318521683403E-2"/>
      </left>
      <right style="medium">
        <color theme="0" tint="-4.9989318521683403E-2"/>
      </right>
      <top style="thick">
        <color theme="0" tint="-4.9989318521683403E-2"/>
      </top>
      <bottom/>
      <diagonal/>
    </border>
    <border>
      <left style="medium">
        <color theme="0" tint="-4.9989318521683403E-2"/>
      </left>
      <right style="thin">
        <color theme="0" tint="-4.9989318521683403E-2"/>
      </right>
      <top style="thick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ck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ck">
        <color theme="0" tint="-4.9989318521683403E-2"/>
      </right>
      <top style="thick">
        <color theme="0" tint="-4.9989318521683403E-2"/>
      </top>
      <bottom style="thin">
        <color theme="0" tint="-4.9989318521683403E-2"/>
      </bottom>
      <diagonal/>
    </border>
    <border>
      <left style="thick">
        <color theme="0" tint="-0.14990691854609822"/>
      </left>
      <right style="medium">
        <color theme="0" tint="-4.9989318521683403E-2"/>
      </right>
      <top/>
      <bottom style="thick">
        <color theme="0" tint="-4.9989318521683403E-2"/>
      </bottom>
      <diagonal/>
    </border>
    <border>
      <left style="medium">
        <color theme="0" tint="-4.9989318521683403E-2"/>
      </left>
      <right style="medium">
        <color theme="0" tint="-4.9989318521683403E-2"/>
      </right>
      <top/>
      <bottom style="thick">
        <color theme="0" tint="-4.9989318521683403E-2"/>
      </bottom>
      <diagonal/>
    </border>
    <border>
      <left style="thick">
        <color theme="0" tint="-0.14990691854609822"/>
      </left>
      <right style="medium">
        <color theme="0" tint="-4.9989318521683403E-2"/>
      </right>
      <top/>
      <bottom/>
      <diagonal/>
    </border>
    <border>
      <left style="medium">
        <color theme="0" tint="-4.9989318521683403E-2"/>
      </left>
      <right style="medium">
        <color theme="0" tint="-4.9989318521683403E-2"/>
      </right>
      <top/>
      <bottom/>
      <diagonal/>
    </border>
    <border>
      <left style="thick">
        <color theme="0" tint="-0.14990691854609822"/>
      </left>
      <right style="medium">
        <color theme="0" tint="-4.9989318521683403E-2"/>
      </right>
      <top style="thick">
        <color theme="0" tint="-4.9989318521683403E-2"/>
      </top>
      <bottom style="hair">
        <color theme="0" tint="-4.9989318521683403E-2"/>
      </bottom>
      <diagonal/>
    </border>
    <border>
      <left style="medium">
        <color theme="0" tint="-4.9989318521683403E-2"/>
      </left>
      <right style="medium">
        <color theme="0" tint="-4.9989318521683403E-2"/>
      </right>
      <top style="thick">
        <color theme="0" tint="-4.9989318521683403E-2"/>
      </top>
      <bottom style="hair">
        <color theme="0" tint="-4.9989318521683403E-2"/>
      </bottom>
      <diagonal/>
    </border>
    <border>
      <left style="medium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 style="thick">
        <color theme="0" tint="-4.9989318521683403E-2"/>
      </right>
      <top style="thin">
        <color theme="0" tint="-4.9989318521683403E-2"/>
      </top>
      <bottom/>
      <diagonal/>
    </border>
    <border>
      <left style="medium">
        <color theme="0" tint="-4.9989318521683403E-2"/>
      </left>
      <right style="thin">
        <color theme="0" tint="-4.9989318521683403E-2"/>
      </right>
      <top/>
      <bottom style="thick">
        <color theme="0" tint="-4.9989318521683403E-2"/>
      </bottom>
      <diagonal/>
    </border>
    <border>
      <left style="medium">
        <color theme="0" tint="-4.9989318521683403E-2"/>
      </left>
      <right style="thin">
        <color theme="0" tint="-4.9989318521683403E-2"/>
      </right>
      <top style="thick">
        <color theme="0" tint="-4.9989318521683403E-2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ck">
        <color theme="0" tint="-4.9989318521683403E-2"/>
      </top>
      <bottom/>
      <diagonal/>
    </border>
    <border>
      <left style="thin">
        <color theme="0" tint="-4.9989318521683403E-2"/>
      </left>
      <right style="thick">
        <color theme="0" tint="-4.9989318521683403E-2"/>
      </right>
      <top style="thick">
        <color theme="0" tint="-4.9989318521683403E-2"/>
      </top>
      <bottom/>
      <diagonal/>
    </border>
    <border>
      <left/>
      <right/>
      <top style="thick">
        <color theme="0" tint="-0.1498458815271462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/>
  </cellStyleXfs>
  <cellXfs count="390">
    <xf numFmtId="0" fontId="0" fillId="0" borderId="0" xfId="0"/>
    <xf numFmtId="0" fontId="2" fillId="0" borderId="0" xfId="0" applyFont="1" applyFill="1" applyAlignment="1" applyProtection="1">
      <alignment vertical="center" wrapText="1"/>
      <protection hidden="1"/>
    </xf>
    <xf numFmtId="0" fontId="2" fillId="2" borderId="1" xfId="0" applyFont="1" applyFill="1" applyBorder="1" applyAlignment="1" applyProtection="1">
      <alignment vertical="center" wrapText="1"/>
      <protection hidden="1"/>
    </xf>
    <xf numFmtId="0" fontId="2" fillId="0" borderId="0" xfId="0" applyFont="1" applyAlignment="1" applyProtection="1">
      <alignment vertical="center" wrapText="1"/>
      <protection hidden="1"/>
    </xf>
    <xf numFmtId="0" fontId="2" fillId="0" borderId="0" xfId="0" applyFont="1" applyFill="1" applyBorder="1" applyAlignment="1" applyProtection="1">
      <alignment vertical="center" wrapText="1"/>
      <protection hidden="1"/>
    </xf>
    <xf numFmtId="0" fontId="5" fillId="3" borderId="2" xfId="0" applyFont="1" applyFill="1" applyBorder="1" applyAlignment="1" applyProtection="1">
      <alignment vertical="center" wrapText="1"/>
      <protection hidden="1"/>
    </xf>
    <xf numFmtId="0" fontId="5" fillId="3" borderId="3" xfId="0" applyFont="1" applyFill="1" applyBorder="1" applyAlignment="1" applyProtection="1">
      <alignment vertical="center" wrapText="1"/>
      <protection hidden="1"/>
    </xf>
    <xf numFmtId="0" fontId="2" fillId="0" borderId="4" xfId="0" applyFont="1" applyFill="1" applyBorder="1" applyAlignment="1" applyProtection="1">
      <alignment vertical="center" wrapText="1"/>
      <protection hidden="1"/>
    </xf>
    <xf numFmtId="17" fontId="6" fillId="0" borderId="0" xfId="0" applyNumberFormat="1" applyFont="1" applyFill="1" applyBorder="1" applyAlignment="1" applyProtection="1">
      <alignment horizontal="center" vertical="center" wrapText="1"/>
      <protection hidden="1"/>
    </xf>
    <xf numFmtId="17" fontId="6" fillId="0" borderId="5" xfId="0" applyNumberFormat="1" applyFont="1" applyFill="1" applyBorder="1" applyAlignment="1" applyProtection="1">
      <alignment horizontal="center" vertical="center" wrapText="1"/>
      <protection hidden="1"/>
    </xf>
    <xf numFmtId="0" fontId="5" fillId="3" borderId="6" xfId="0" applyFont="1" applyFill="1" applyBorder="1" applyAlignment="1" applyProtection="1">
      <alignment vertical="center" wrapText="1"/>
      <protection hidden="1"/>
    </xf>
    <xf numFmtId="17" fontId="6" fillId="0" borderId="4" xfId="0" applyNumberFormat="1" applyFont="1" applyFill="1" applyBorder="1" applyAlignment="1" applyProtection="1">
      <alignment horizontal="center" vertical="center" wrapText="1"/>
      <protection hidden="1"/>
    </xf>
    <xf numFmtId="17" fontId="6" fillId="0" borderId="7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8" xfId="0" applyFont="1" applyFill="1" applyBorder="1" applyAlignment="1" applyProtection="1">
      <alignment vertical="center" wrapText="1"/>
      <protection hidden="1"/>
    </xf>
    <xf numFmtId="0" fontId="2" fillId="0" borderId="9" xfId="0" applyFont="1" applyFill="1" applyBorder="1" applyAlignment="1" applyProtection="1">
      <alignment vertical="center" wrapText="1"/>
      <protection hidden="1"/>
    </xf>
    <xf numFmtId="0" fontId="6" fillId="4" borderId="10" xfId="0" applyFont="1" applyFill="1" applyBorder="1" applyAlignment="1" applyProtection="1">
      <alignment horizontal="center" vertical="center" wrapText="1"/>
      <protection hidden="1"/>
    </xf>
    <xf numFmtId="0" fontId="6" fillId="4" borderId="9" xfId="0" applyFont="1" applyFill="1" applyBorder="1" applyAlignment="1" applyProtection="1">
      <alignment horizontal="center" vertical="center" wrapText="1"/>
      <protection hidden="1"/>
    </xf>
    <xf numFmtId="0" fontId="2" fillId="3" borderId="6" xfId="0" applyFont="1" applyFill="1" applyBorder="1" applyAlignment="1" applyProtection="1">
      <alignment horizontal="center" vertical="center" wrapText="1"/>
      <protection hidden="1"/>
    </xf>
    <xf numFmtId="0" fontId="6" fillId="4" borderId="11" xfId="0" applyFont="1" applyFill="1" applyBorder="1" applyAlignment="1" applyProtection="1">
      <alignment horizontal="center" vertical="center" wrapText="1"/>
      <protection hidden="1"/>
    </xf>
    <xf numFmtId="0" fontId="2" fillId="0" borderId="0" xfId="0" applyFont="1" applyFill="1" applyBorder="1" applyAlignment="1" applyProtection="1">
      <alignment horizontal="center" vertical="center" wrapText="1"/>
      <protection hidden="1"/>
    </xf>
    <xf numFmtId="0" fontId="6" fillId="4" borderId="0" xfId="0" applyFont="1" applyFill="1" applyBorder="1" applyAlignment="1" applyProtection="1">
      <alignment horizontal="center" vertical="center" wrapText="1"/>
      <protection hidden="1"/>
    </xf>
    <xf numFmtId="0" fontId="6" fillId="4" borderId="2" xfId="0" applyFont="1" applyFill="1" applyBorder="1" applyAlignment="1" applyProtection="1">
      <alignment horizontal="center" vertical="center" wrapText="1"/>
      <protection hidden="1"/>
    </xf>
    <xf numFmtId="0" fontId="8" fillId="5" borderId="15" xfId="0" applyFont="1" applyFill="1" applyBorder="1" applyAlignment="1" applyProtection="1">
      <alignment horizontal="center" vertical="center" wrapText="1"/>
      <protection hidden="1"/>
    </xf>
    <xf numFmtId="3" fontId="9" fillId="5" borderId="15" xfId="0" applyNumberFormat="1" applyFont="1" applyFill="1" applyBorder="1" applyAlignment="1" applyProtection="1">
      <alignment horizontal="center" vertical="center" wrapText="1"/>
      <protection hidden="1"/>
    </xf>
    <xf numFmtId="164" fontId="10" fillId="6" borderId="16" xfId="1" applyNumberFormat="1" applyFont="1" applyFill="1" applyBorder="1" applyAlignment="1" applyProtection="1">
      <alignment horizontal="center" vertical="center" wrapText="1"/>
      <protection hidden="1"/>
    </xf>
    <xf numFmtId="0" fontId="11" fillId="3" borderId="17" xfId="0" applyFont="1" applyFill="1" applyBorder="1" applyAlignment="1" applyProtection="1">
      <alignment vertical="center" wrapText="1"/>
      <protection hidden="1"/>
    </xf>
    <xf numFmtId="0" fontId="8" fillId="5" borderId="19" xfId="0" applyFont="1" applyFill="1" applyBorder="1" applyAlignment="1" applyProtection="1">
      <alignment horizontal="center" vertical="center" wrapText="1"/>
      <protection hidden="1"/>
    </xf>
    <xf numFmtId="3" fontId="9" fillId="5" borderId="19" xfId="0" applyNumberFormat="1" applyFont="1" applyFill="1" applyBorder="1" applyAlignment="1" applyProtection="1">
      <alignment horizontal="center" vertical="center" wrapText="1"/>
      <protection hidden="1"/>
    </xf>
    <xf numFmtId="164" fontId="10" fillId="6" borderId="20" xfId="1" applyNumberFormat="1" applyFont="1" applyFill="1" applyBorder="1" applyAlignment="1" applyProtection="1">
      <alignment horizontal="center" vertical="center" wrapText="1"/>
      <protection hidden="1"/>
    </xf>
    <xf numFmtId="0" fontId="8" fillId="5" borderId="22" xfId="0" applyFont="1" applyFill="1" applyBorder="1" applyAlignment="1" applyProtection="1">
      <alignment horizontal="center" vertical="center" wrapText="1"/>
      <protection hidden="1"/>
    </xf>
    <xf numFmtId="3" fontId="9" fillId="5" borderId="22" xfId="0" applyNumberFormat="1" applyFont="1" applyFill="1" applyBorder="1" applyAlignment="1" applyProtection="1">
      <alignment horizontal="center" vertical="center" wrapText="1"/>
      <protection hidden="1"/>
    </xf>
    <xf numFmtId="164" fontId="10" fillId="6" borderId="23" xfId="1" applyNumberFormat="1" applyFont="1" applyFill="1" applyBorder="1" applyAlignment="1" applyProtection="1">
      <alignment horizontal="center" vertical="center" wrapText="1"/>
      <protection hidden="1"/>
    </xf>
    <xf numFmtId="0" fontId="11" fillId="3" borderId="0" xfId="0" applyFont="1" applyFill="1" applyBorder="1" applyAlignment="1" applyProtection="1">
      <alignment vertical="center" wrapText="1"/>
      <protection hidden="1"/>
    </xf>
    <xf numFmtId="164" fontId="10" fillId="6" borderId="24" xfId="1" applyNumberFormat="1" applyFont="1" applyFill="1" applyBorder="1" applyAlignment="1" applyProtection="1">
      <alignment horizontal="center" vertical="center" wrapText="1"/>
      <protection hidden="1"/>
    </xf>
    <xf numFmtId="0" fontId="8" fillId="5" borderId="26" xfId="0" applyFont="1" applyFill="1" applyBorder="1" applyAlignment="1" applyProtection="1">
      <alignment horizontal="center" vertical="center" wrapText="1"/>
      <protection hidden="1"/>
    </xf>
    <xf numFmtId="0" fontId="8" fillId="5" borderId="28" xfId="0" applyFont="1" applyFill="1" applyBorder="1" applyAlignment="1" applyProtection="1">
      <alignment horizontal="center" vertical="center" wrapText="1"/>
      <protection hidden="1"/>
    </xf>
    <xf numFmtId="3" fontId="9" fillId="5" borderId="28" xfId="0" applyNumberFormat="1" applyFont="1" applyFill="1" applyBorder="1" applyAlignment="1" applyProtection="1">
      <alignment horizontal="center" vertical="center" wrapText="1"/>
      <protection hidden="1"/>
    </xf>
    <xf numFmtId="164" fontId="10" fillId="6" borderId="29" xfId="1" applyNumberFormat="1" applyFont="1" applyFill="1" applyBorder="1" applyAlignment="1" applyProtection="1">
      <alignment horizontal="center" vertical="center" wrapText="1"/>
      <protection hidden="1"/>
    </xf>
    <xf numFmtId="0" fontId="12" fillId="0" borderId="19" xfId="0" applyFont="1" applyFill="1" applyBorder="1" applyAlignment="1" applyProtection="1">
      <alignment horizontal="center" vertical="center" wrapText="1"/>
      <protection hidden="1"/>
    </xf>
    <xf numFmtId="3" fontId="10" fillId="0" borderId="19" xfId="0" applyNumberFormat="1" applyFont="1" applyFill="1" applyBorder="1" applyAlignment="1" applyProtection="1">
      <alignment horizontal="center" vertical="center" wrapText="1"/>
      <protection hidden="1"/>
    </xf>
    <xf numFmtId="164" fontId="10" fillId="6" borderId="30" xfId="1" applyNumberFormat="1" applyFont="1" applyFill="1" applyBorder="1" applyAlignment="1" applyProtection="1">
      <alignment horizontal="center" vertical="center" wrapText="1"/>
      <protection hidden="1"/>
    </xf>
    <xf numFmtId="0" fontId="2" fillId="3" borderId="0" xfId="0" applyFont="1" applyFill="1" applyBorder="1" applyAlignment="1" applyProtection="1">
      <alignment vertical="center" wrapText="1"/>
      <protection hidden="1"/>
    </xf>
    <xf numFmtId="0" fontId="12" fillId="0" borderId="22" xfId="0" applyFont="1" applyFill="1" applyBorder="1" applyAlignment="1" applyProtection="1">
      <alignment horizontal="center" vertical="center" wrapText="1"/>
      <protection hidden="1"/>
    </xf>
    <xf numFmtId="3" fontId="10" fillId="0" borderId="22" xfId="0" applyNumberFormat="1" applyFont="1" applyFill="1" applyBorder="1" applyAlignment="1" applyProtection="1">
      <alignment horizontal="center" vertical="center" wrapText="1"/>
      <protection hidden="1"/>
    </xf>
    <xf numFmtId="0" fontId="12" fillId="0" borderId="28" xfId="0" applyFont="1" applyFill="1" applyBorder="1" applyAlignment="1" applyProtection="1">
      <alignment horizontal="center" vertical="center" wrapText="1"/>
      <protection hidden="1"/>
    </xf>
    <xf numFmtId="3" fontId="10" fillId="0" borderId="28" xfId="0" applyNumberFormat="1" applyFont="1" applyFill="1" applyBorder="1" applyAlignment="1" applyProtection="1">
      <alignment horizontal="center" vertical="center" wrapText="1"/>
      <protection hidden="1"/>
    </xf>
    <xf numFmtId="164" fontId="10" fillId="6" borderId="31" xfId="1" applyNumberFormat="1" applyFont="1" applyFill="1" applyBorder="1" applyAlignment="1" applyProtection="1">
      <alignment horizontal="center" vertical="center" wrapText="1"/>
      <protection hidden="1"/>
    </xf>
    <xf numFmtId="0" fontId="12" fillId="7" borderId="19" xfId="0" applyFont="1" applyFill="1" applyBorder="1" applyAlignment="1" applyProtection="1">
      <alignment horizontal="center" vertical="center" wrapText="1"/>
      <protection hidden="1"/>
    </xf>
    <xf numFmtId="3" fontId="10" fillId="7" borderId="19" xfId="0" applyNumberFormat="1" applyFont="1" applyFill="1" applyBorder="1" applyAlignment="1" applyProtection="1">
      <alignment horizontal="center" vertical="center" wrapText="1"/>
      <protection hidden="1"/>
    </xf>
    <xf numFmtId="0" fontId="12" fillId="7" borderId="22" xfId="0" applyFont="1" applyFill="1" applyBorder="1" applyAlignment="1" applyProtection="1">
      <alignment horizontal="center" vertical="center" wrapText="1"/>
      <protection hidden="1"/>
    </xf>
    <xf numFmtId="3" fontId="10" fillId="7" borderId="22" xfId="0" applyNumberFormat="1" applyFont="1" applyFill="1" applyBorder="1" applyAlignment="1" applyProtection="1">
      <alignment horizontal="center" vertical="center" wrapText="1"/>
      <protection hidden="1"/>
    </xf>
    <xf numFmtId="0" fontId="12" fillId="7" borderId="28" xfId="0" applyFont="1" applyFill="1" applyBorder="1" applyAlignment="1" applyProtection="1">
      <alignment horizontal="center" vertical="center" wrapText="1"/>
      <protection hidden="1"/>
    </xf>
    <xf numFmtId="3" fontId="10" fillId="7" borderId="28" xfId="0" applyNumberFormat="1" applyFont="1" applyFill="1" applyBorder="1" applyAlignment="1" applyProtection="1">
      <alignment horizontal="center" vertical="center" wrapText="1"/>
      <protection hidden="1"/>
    </xf>
    <xf numFmtId="0" fontId="12" fillId="6" borderId="19" xfId="0" applyFont="1" applyFill="1" applyBorder="1" applyAlignment="1" applyProtection="1">
      <alignment horizontal="center" vertical="center" wrapText="1"/>
      <protection hidden="1"/>
    </xf>
    <xf numFmtId="3" fontId="10" fillId="6" borderId="19" xfId="0" applyNumberFormat="1" applyFont="1" applyFill="1" applyBorder="1" applyAlignment="1" applyProtection="1">
      <alignment horizontal="center" vertical="center" wrapText="1"/>
      <protection hidden="1"/>
    </xf>
    <xf numFmtId="0" fontId="12" fillId="6" borderId="22" xfId="0" applyFont="1" applyFill="1" applyBorder="1" applyAlignment="1" applyProtection="1">
      <alignment horizontal="center" vertical="center" wrapText="1"/>
      <protection hidden="1"/>
    </xf>
    <xf numFmtId="3" fontId="10" fillId="6" borderId="22" xfId="0" applyNumberFormat="1" applyFont="1" applyFill="1" applyBorder="1" applyAlignment="1" applyProtection="1">
      <alignment horizontal="center" vertical="center" wrapText="1"/>
      <protection hidden="1"/>
    </xf>
    <xf numFmtId="0" fontId="12" fillId="6" borderId="28" xfId="0" applyFont="1" applyFill="1" applyBorder="1" applyAlignment="1" applyProtection="1">
      <alignment horizontal="center" vertical="center" wrapText="1"/>
      <protection hidden="1"/>
    </xf>
    <xf numFmtId="3" fontId="10" fillId="6" borderId="28" xfId="0" applyNumberFormat="1" applyFont="1" applyFill="1" applyBorder="1" applyAlignment="1" applyProtection="1">
      <alignment horizontal="center" vertical="center" wrapText="1"/>
      <protection hidden="1"/>
    </xf>
    <xf numFmtId="0" fontId="2" fillId="4" borderId="0" xfId="0" applyFont="1" applyFill="1" applyBorder="1" applyAlignment="1" applyProtection="1">
      <alignment horizontal="center" vertical="center" wrapText="1"/>
      <protection hidden="1"/>
    </xf>
    <xf numFmtId="0" fontId="6" fillId="4" borderId="7" xfId="0" applyFont="1" applyFill="1" applyBorder="1" applyAlignment="1" applyProtection="1">
      <alignment horizontal="center" vertical="center" wrapText="1"/>
      <protection hidden="1"/>
    </xf>
    <xf numFmtId="2" fontId="9" fillId="5" borderId="19" xfId="0" applyNumberFormat="1" applyFont="1" applyFill="1" applyBorder="1" applyAlignment="1" applyProtection="1">
      <alignment horizontal="center" vertical="center" wrapText="1"/>
      <protection hidden="1"/>
    </xf>
    <xf numFmtId="2" fontId="10" fillId="6" borderId="30" xfId="1" applyNumberFormat="1" applyFont="1" applyFill="1" applyBorder="1" applyAlignment="1" applyProtection="1">
      <alignment horizontal="center" vertical="center" wrapText="1"/>
      <protection hidden="1"/>
    </xf>
    <xf numFmtId="2" fontId="10" fillId="6" borderId="20" xfId="1" applyNumberFormat="1" applyFont="1" applyFill="1" applyBorder="1" applyAlignment="1" applyProtection="1">
      <alignment horizontal="center" vertical="center" wrapText="1"/>
      <protection hidden="1"/>
    </xf>
    <xf numFmtId="2" fontId="9" fillId="5" borderId="22" xfId="0" applyNumberFormat="1" applyFont="1" applyFill="1" applyBorder="1" applyAlignment="1" applyProtection="1">
      <alignment horizontal="center" vertical="center" wrapText="1"/>
      <protection hidden="1"/>
    </xf>
    <xf numFmtId="2" fontId="10" fillId="6" borderId="23" xfId="1" applyNumberFormat="1" applyFont="1" applyFill="1" applyBorder="1" applyAlignment="1" applyProtection="1">
      <alignment horizontal="center" vertical="center" wrapText="1"/>
      <protection hidden="1"/>
    </xf>
    <xf numFmtId="2" fontId="10" fillId="6" borderId="24" xfId="1" applyNumberFormat="1" applyFont="1" applyFill="1" applyBorder="1" applyAlignment="1" applyProtection="1">
      <alignment horizontal="center" vertical="center" wrapText="1"/>
      <protection hidden="1"/>
    </xf>
    <xf numFmtId="2" fontId="9" fillId="5" borderId="28" xfId="0" applyNumberFormat="1" applyFont="1" applyFill="1" applyBorder="1" applyAlignment="1" applyProtection="1">
      <alignment horizontal="center" vertical="center" wrapText="1"/>
      <protection hidden="1"/>
    </xf>
    <xf numFmtId="2" fontId="10" fillId="6" borderId="31" xfId="1" applyNumberFormat="1" applyFont="1" applyFill="1" applyBorder="1" applyAlignment="1" applyProtection="1">
      <alignment horizontal="center" vertical="center" wrapText="1"/>
      <protection hidden="1"/>
    </xf>
    <xf numFmtId="2" fontId="10" fillId="6" borderId="29" xfId="1" applyNumberFormat="1" applyFont="1" applyFill="1" applyBorder="1" applyAlignment="1" applyProtection="1">
      <alignment horizontal="center" vertical="center" wrapText="1"/>
      <protection hidden="1"/>
    </xf>
    <xf numFmtId="2" fontId="10" fillId="0" borderId="19" xfId="0" applyNumberFormat="1" applyFont="1" applyFill="1" applyBorder="1" applyAlignment="1" applyProtection="1">
      <alignment horizontal="center" vertical="center" wrapText="1"/>
      <protection hidden="1"/>
    </xf>
    <xf numFmtId="2" fontId="10" fillId="0" borderId="22" xfId="0" applyNumberFormat="1" applyFont="1" applyFill="1" applyBorder="1" applyAlignment="1" applyProtection="1">
      <alignment horizontal="center" vertical="center" wrapText="1"/>
      <protection hidden="1"/>
    </xf>
    <xf numFmtId="2" fontId="10" fillId="0" borderId="28" xfId="0" applyNumberFormat="1" applyFont="1" applyFill="1" applyBorder="1" applyAlignment="1" applyProtection="1">
      <alignment horizontal="center" vertical="center" wrapText="1"/>
      <protection hidden="1"/>
    </xf>
    <xf numFmtId="2" fontId="10" fillId="7" borderId="19" xfId="0" applyNumberFormat="1" applyFont="1" applyFill="1" applyBorder="1" applyAlignment="1" applyProtection="1">
      <alignment horizontal="center" vertical="center" wrapText="1"/>
      <protection hidden="1"/>
    </xf>
    <xf numFmtId="2" fontId="10" fillId="7" borderId="22" xfId="0" applyNumberFormat="1" applyFont="1" applyFill="1" applyBorder="1" applyAlignment="1" applyProtection="1">
      <alignment horizontal="center" vertical="center" wrapText="1"/>
      <protection hidden="1"/>
    </xf>
    <xf numFmtId="2" fontId="10" fillId="7" borderId="28" xfId="0" applyNumberFormat="1" applyFont="1" applyFill="1" applyBorder="1" applyAlignment="1" applyProtection="1">
      <alignment horizontal="center" vertical="center" wrapText="1"/>
      <protection hidden="1"/>
    </xf>
    <xf numFmtId="2" fontId="10" fillId="6" borderId="19" xfId="0" applyNumberFormat="1" applyFont="1" applyFill="1" applyBorder="1" applyAlignment="1" applyProtection="1">
      <alignment horizontal="center" vertical="center" wrapText="1"/>
      <protection hidden="1"/>
    </xf>
    <xf numFmtId="2" fontId="10" fillId="6" borderId="22" xfId="0" applyNumberFormat="1" applyFont="1" applyFill="1" applyBorder="1" applyAlignment="1" applyProtection="1">
      <alignment horizontal="center" vertical="center" wrapText="1"/>
      <protection hidden="1"/>
    </xf>
    <xf numFmtId="0" fontId="12" fillId="6" borderId="33" xfId="0" applyFont="1" applyFill="1" applyBorder="1" applyAlignment="1" applyProtection="1">
      <alignment horizontal="center" vertical="center" wrapText="1"/>
      <protection hidden="1"/>
    </xf>
    <xf numFmtId="2" fontId="10" fillId="6" borderId="33" xfId="0" applyNumberFormat="1" applyFont="1" applyFill="1" applyBorder="1" applyAlignment="1" applyProtection="1">
      <alignment horizontal="center" vertical="center" wrapText="1"/>
      <protection hidden="1"/>
    </xf>
    <xf numFmtId="2" fontId="10" fillId="6" borderId="34" xfId="1" applyNumberFormat="1" applyFont="1" applyFill="1" applyBorder="1" applyAlignment="1" applyProtection="1">
      <alignment horizontal="center" vertical="center" wrapText="1"/>
      <protection hidden="1"/>
    </xf>
    <xf numFmtId="0" fontId="2" fillId="3" borderId="35" xfId="0" applyFont="1" applyFill="1" applyBorder="1" applyAlignment="1" applyProtection="1">
      <alignment vertical="center" wrapText="1"/>
      <protection hidden="1"/>
    </xf>
    <xf numFmtId="2" fontId="10" fillId="6" borderId="36" xfId="1" applyNumberFormat="1" applyFont="1" applyFill="1" applyBorder="1" applyAlignment="1" applyProtection="1">
      <alignment horizontal="center" vertical="center" wrapText="1"/>
      <protection hidden="1"/>
    </xf>
    <xf numFmtId="0" fontId="2" fillId="2" borderId="3" xfId="0" applyFont="1" applyFill="1" applyBorder="1" applyAlignment="1" applyProtection="1">
      <alignment vertical="center" wrapText="1"/>
      <protection hidden="1"/>
    </xf>
    <xf numFmtId="164" fontId="9" fillId="5" borderId="19" xfId="1" applyNumberFormat="1" applyFont="1" applyFill="1" applyBorder="1" applyAlignment="1" applyProtection="1">
      <alignment horizontal="center" vertical="center" wrapText="1"/>
      <protection hidden="1"/>
    </xf>
    <xf numFmtId="164" fontId="9" fillId="5" borderId="22" xfId="1" applyNumberFormat="1" applyFont="1" applyFill="1" applyBorder="1" applyAlignment="1" applyProtection="1">
      <alignment horizontal="center" vertical="center" wrapText="1"/>
      <protection hidden="1"/>
    </xf>
    <xf numFmtId="164" fontId="9" fillId="5" borderId="28" xfId="1" applyNumberFormat="1" applyFont="1" applyFill="1" applyBorder="1" applyAlignment="1" applyProtection="1">
      <alignment horizontal="center" vertical="center" wrapText="1"/>
      <protection hidden="1"/>
    </xf>
    <xf numFmtId="164" fontId="10" fillId="0" borderId="19" xfId="1" applyNumberFormat="1" applyFont="1" applyFill="1" applyBorder="1" applyAlignment="1" applyProtection="1">
      <alignment horizontal="center" vertical="center" wrapText="1"/>
      <protection hidden="1"/>
    </xf>
    <xf numFmtId="164" fontId="10" fillId="0" borderId="22" xfId="1" applyNumberFormat="1" applyFont="1" applyFill="1" applyBorder="1" applyAlignment="1" applyProtection="1">
      <alignment horizontal="center" vertical="center" wrapText="1"/>
      <protection hidden="1"/>
    </xf>
    <xf numFmtId="164" fontId="10" fillId="0" borderId="28" xfId="1" applyNumberFormat="1" applyFont="1" applyFill="1" applyBorder="1" applyAlignment="1" applyProtection="1">
      <alignment horizontal="center" vertical="center" wrapText="1"/>
      <protection hidden="1"/>
    </xf>
    <xf numFmtId="164" fontId="10" fillId="7" borderId="19" xfId="1" applyNumberFormat="1" applyFont="1" applyFill="1" applyBorder="1" applyAlignment="1" applyProtection="1">
      <alignment horizontal="center" vertical="center" wrapText="1"/>
      <protection hidden="1"/>
    </xf>
    <xf numFmtId="164" fontId="10" fillId="7" borderId="22" xfId="1" applyNumberFormat="1" applyFont="1" applyFill="1" applyBorder="1" applyAlignment="1" applyProtection="1">
      <alignment horizontal="center" vertical="center" wrapText="1"/>
      <protection hidden="1"/>
    </xf>
    <xf numFmtId="164" fontId="10" fillId="7" borderId="28" xfId="1" applyNumberFormat="1" applyFont="1" applyFill="1" applyBorder="1" applyAlignment="1" applyProtection="1">
      <alignment horizontal="center" vertical="center" wrapText="1"/>
      <protection hidden="1"/>
    </xf>
    <xf numFmtId="164" fontId="10" fillId="6" borderId="19" xfId="1" applyNumberFormat="1" applyFont="1" applyFill="1" applyBorder="1" applyAlignment="1" applyProtection="1">
      <alignment horizontal="center" vertical="center" wrapText="1"/>
      <protection hidden="1"/>
    </xf>
    <xf numFmtId="164" fontId="10" fillId="6" borderId="22" xfId="1" applyNumberFormat="1" applyFont="1" applyFill="1" applyBorder="1" applyAlignment="1" applyProtection="1">
      <alignment horizontal="center" vertical="center" wrapText="1"/>
      <protection hidden="1"/>
    </xf>
    <xf numFmtId="164" fontId="10" fillId="6" borderId="28" xfId="1" applyNumberFormat="1" applyFont="1" applyFill="1" applyBorder="1" applyAlignment="1" applyProtection="1">
      <alignment horizontal="center" vertical="center" wrapText="1"/>
      <protection hidden="1"/>
    </xf>
    <xf numFmtId="0" fontId="6" fillId="4" borderId="8" xfId="0" applyFont="1" applyFill="1" applyBorder="1" applyAlignment="1" applyProtection="1">
      <alignment horizontal="center" vertical="center" wrapText="1"/>
      <protection hidden="1"/>
    </xf>
    <xf numFmtId="0" fontId="2" fillId="3" borderId="17" xfId="0" applyFont="1" applyFill="1" applyBorder="1" applyAlignment="1" applyProtection="1">
      <alignment vertical="center" wrapText="1"/>
      <protection hidden="1"/>
    </xf>
    <xf numFmtId="0" fontId="2" fillId="3" borderId="41" xfId="0" applyFont="1" applyFill="1" applyBorder="1" applyAlignment="1" applyProtection="1">
      <alignment vertical="center" wrapText="1"/>
      <protection hidden="1"/>
    </xf>
    <xf numFmtId="0" fontId="13" fillId="0" borderId="0" xfId="0" applyFont="1" applyAlignment="1" applyProtection="1">
      <alignment vertical="center" wrapText="1"/>
      <protection hidden="1"/>
    </xf>
    <xf numFmtId="4" fontId="10" fillId="0" borderId="19" xfId="0" applyNumberFormat="1" applyFont="1" applyFill="1" applyBorder="1" applyAlignment="1" applyProtection="1">
      <alignment horizontal="center" vertical="center" wrapText="1"/>
      <protection hidden="1"/>
    </xf>
    <xf numFmtId="4" fontId="10" fillId="7" borderId="22" xfId="0" applyNumberFormat="1" applyFont="1" applyFill="1" applyBorder="1" applyAlignment="1" applyProtection="1">
      <alignment horizontal="center" vertical="center" wrapText="1"/>
      <protection hidden="1"/>
    </xf>
    <xf numFmtId="4" fontId="10" fillId="0" borderId="22" xfId="0" applyNumberFormat="1" applyFont="1" applyFill="1" applyBorder="1" applyAlignment="1" applyProtection="1">
      <alignment horizontal="center" vertical="center" wrapText="1"/>
      <protection hidden="1"/>
    </xf>
    <xf numFmtId="2" fontId="2" fillId="0" borderId="0" xfId="0" applyNumberFormat="1" applyFont="1" applyAlignment="1" applyProtection="1">
      <alignment vertical="center" wrapText="1"/>
      <protection hidden="1"/>
    </xf>
    <xf numFmtId="4" fontId="10" fillId="0" borderId="28" xfId="0" applyNumberFormat="1" applyFont="1" applyFill="1" applyBorder="1" applyAlignment="1" applyProtection="1">
      <alignment horizontal="center" vertical="center" wrapText="1"/>
      <protection hidden="1"/>
    </xf>
    <xf numFmtId="0" fontId="6" fillId="4" borderId="42" xfId="0" applyFont="1" applyFill="1" applyBorder="1" applyAlignment="1" applyProtection="1">
      <alignment horizontal="center" vertical="center" wrapText="1"/>
      <protection hidden="1"/>
    </xf>
    <xf numFmtId="0" fontId="13" fillId="4" borderId="0" xfId="0" applyFont="1" applyFill="1" applyBorder="1" applyAlignment="1" applyProtection="1">
      <alignment horizontal="center" vertical="center" wrapText="1"/>
      <protection hidden="1"/>
    </xf>
    <xf numFmtId="164" fontId="6" fillId="4" borderId="0" xfId="1" applyNumberFormat="1" applyFont="1" applyFill="1" applyBorder="1" applyAlignment="1" applyProtection="1">
      <alignment horizontal="center" vertical="center" wrapText="1"/>
      <protection hidden="1"/>
    </xf>
    <xf numFmtId="165" fontId="6" fillId="4" borderId="0" xfId="0" applyNumberFormat="1" applyFont="1" applyFill="1" applyBorder="1" applyAlignment="1" applyProtection="1">
      <alignment horizontal="center" vertical="center" wrapText="1"/>
      <protection hidden="1"/>
    </xf>
    <xf numFmtId="0" fontId="2" fillId="4" borderId="0" xfId="0" applyFont="1" applyFill="1" applyBorder="1" applyAlignment="1" applyProtection="1">
      <alignment vertical="center" wrapText="1"/>
      <protection hidden="1"/>
    </xf>
    <xf numFmtId="0" fontId="13" fillId="4" borderId="7" xfId="0" applyFont="1" applyFill="1" applyBorder="1" applyAlignment="1" applyProtection="1">
      <alignment horizontal="center" vertical="center" wrapText="1"/>
      <protection hidden="1"/>
    </xf>
    <xf numFmtId="0" fontId="2" fillId="0" borderId="43" xfId="0" applyFont="1" applyFill="1" applyBorder="1" applyAlignment="1" applyProtection="1">
      <alignment vertical="center" wrapText="1"/>
      <protection hidden="1"/>
    </xf>
    <xf numFmtId="0" fontId="2" fillId="0" borderId="44" xfId="0" applyFont="1" applyFill="1" applyBorder="1" applyAlignment="1" applyProtection="1">
      <alignment vertical="center" wrapText="1"/>
      <protection hidden="1"/>
    </xf>
    <xf numFmtId="0" fontId="14" fillId="0" borderId="44" xfId="0" applyFont="1" applyFill="1" applyBorder="1" applyAlignment="1" applyProtection="1">
      <alignment horizontal="center" vertical="center" wrapText="1"/>
      <protection hidden="1"/>
    </xf>
    <xf numFmtId="0" fontId="2" fillId="0" borderId="45" xfId="0" applyFont="1" applyFill="1" applyBorder="1" applyAlignment="1" applyProtection="1">
      <alignment vertical="center" wrapText="1"/>
      <protection hidden="1"/>
    </xf>
    <xf numFmtId="0" fontId="14" fillId="0" borderId="4" xfId="0" applyFont="1" applyFill="1" applyBorder="1" applyAlignment="1" applyProtection="1">
      <alignment horizontal="center" vertical="center" wrapText="1"/>
      <protection hidden="1"/>
    </xf>
    <xf numFmtId="0" fontId="14" fillId="0" borderId="0" xfId="0" applyFont="1" applyFill="1" applyBorder="1" applyAlignment="1" applyProtection="1">
      <alignment horizontal="center" vertical="center" wrapText="1"/>
      <protection hidden="1"/>
    </xf>
    <xf numFmtId="0" fontId="14" fillId="0" borderId="5" xfId="0" applyFont="1" applyFill="1" applyBorder="1" applyAlignment="1" applyProtection="1">
      <alignment horizontal="center" vertical="center" wrapText="1"/>
      <protection hidden="1"/>
    </xf>
    <xf numFmtId="0" fontId="14" fillId="0" borderId="8" xfId="0" applyFont="1" applyFill="1" applyBorder="1" applyAlignment="1" applyProtection="1">
      <alignment horizontal="center" vertical="center" wrapText="1"/>
      <protection hidden="1"/>
    </xf>
    <xf numFmtId="0" fontId="6" fillId="0" borderId="0" xfId="0" applyFont="1" applyFill="1" applyBorder="1" applyAlignment="1" applyProtection="1">
      <alignment horizontal="center" vertical="center" wrapText="1"/>
      <protection hidden="1"/>
    </xf>
    <xf numFmtId="0" fontId="14" fillId="0" borderId="7" xfId="0" applyFont="1" applyFill="1" applyBorder="1" applyAlignment="1" applyProtection="1">
      <alignment horizontal="center" vertical="center" wrapText="1"/>
      <protection hidden="1"/>
    </xf>
    <xf numFmtId="0" fontId="2" fillId="4" borderId="48" xfId="0" applyFont="1" applyFill="1" applyBorder="1" applyAlignment="1" applyProtection="1">
      <alignment vertical="center" wrapText="1"/>
      <protection hidden="1"/>
    </xf>
    <xf numFmtId="0" fontId="2" fillId="4" borderId="51" xfId="0" applyFont="1" applyFill="1" applyBorder="1" applyAlignment="1" applyProtection="1">
      <alignment vertical="center" wrapText="1"/>
      <protection hidden="1"/>
    </xf>
    <xf numFmtId="0" fontId="5" fillId="4" borderId="52" xfId="0" applyFont="1" applyFill="1" applyBorder="1" applyAlignment="1" applyProtection="1">
      <alignment horizontal="center" vertical="center" wrapText="1"/>
      <protection hidden="1"/>
    </xf>
    <xf numFmtId="0" fontId="5" fillId="4" borderId="53" xfId="0" applyFont="1" applyFill="1" applyBorder="1" applyAlignment="1" applyProtection="1">
      <alignment horizontal="center" vertical="center" wrapText="1"/>
      <protection hidden="1"/>
    </xf>
    <xf numFmtId="0" fontId="6" fillId="0" borderId="54" xfId="0" applyFont="1" applyFill="1" applyBorder="1" applyAlignment="1" applyProtection="1">
      <alignment horizontal="left" vertical="center" wrapText="1"/>
      <protection hidden="1"/>
    </xf>
    <xf numFmtId="3" fontId="10" fillId="0" borderId="55" xfId="0" applyNumberFormat="1" applyFont="1" applyFill="1" applyBorder="1" applyAlignment="1" applyProtection="1">
      <alignment horizontal="right" vertical="center" wrapText="1" indent="1"/>
      <protection hidden="1"/>
    </xf>
    <xf numFmtId="164" fontId="10" fillId="6" borderId="56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57" xfId="0" applyFont="1" applyFill="1" applyBorder="1" applyAlignment="1" applyProtection="1">
      <alignment horizontal="right" vertical="center" wrapText="1"/>
      <protection hidden="1"/>
    </xf>
    <xf numFmtId="3" fontId="10" fillId="0" borderId="58" xfId="0" applyNumberFormat="1" applyFont="1" applyFill="1" applyBorder="1" applyAlignment="1" applyProtection="1">
      <alignment horizontal="right" vertical="center" wrapText="1" indent="1"/>
      <protection hidden="1"/>
    </xf>
    <xf numFmtId="164" fontId="10" fillId="6" borderId="59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60" xfId="0" applyFont="1" applyFill="1" applyBorder="1" applyAlignment="1" applyProtection="1">
      <alignment horizontal="right" vertical="center" wrapText="1"/>
      <protection hidden="1"/>
    </xf>
    <xf numFmtId="3" fontId="10" fillId="0" borderId="61" xfId="0" applyNumberFormat="1" applyFont="1" applyFill="1" applyBorder="1" applyAlignment="1" applyProtection="1">
      <alignment horizontal="right" vertical="center" wrapText="1" indent="1"/>
      <protection hidden="1"/>
    </xf>
    <xf numFmtId="164" fontId="10" fillId="6" borderId="62" xfId="1" applyNumberFormat="1" applyFont="1" applyFill="1" applyBorder="1" applyAlignment="1" applyProtection="1">
      <alignment horizontal="center" vertical="center" wrapText="1"/>
      <protection hidden="1"/>
    </xf>
    <xf numFmtId="3" fontId="14" fillId="7" borderId="57" xfId="0" applyNumberFormat="1" applyFont="1" applyFill="1" applyBorder="1" applyAlignment="1" applyProtection="1">
      <alignment horizontal="left" vertical="center" wrapText="1"/>
      <protection hidden="1"/>
    </xf>
    <xf numFmtId="3" fontId="10" fillId="7" borderId="61" xfId="0" applyNumberFormat="1" applyFont="1" applyFill="1" applyBorder="1" applyAlignment="1" applyProtection="1">
      <alignment horizontal="right" vertical="center" wrapText="1" indent="1"/>
      <protection hidden="1"/>
    </xf>
    <xf numFmtId="0" fontId="2" fillId="0" borderId="60" xfId="0" applyFont="1" applyFill="1" applyBorder="1" applyAlignment="1" applyProtection="1">
      <alignment horizontal="left" vertical="center" wrapText="1"/>
      <protection hidden="1"/>
    </xf>
    <xf numFmtId="3" fontId="14" fillId="7" borderId="57" xfId="0" applyNumberFormat="1" applyFont="1" applyFill="1" applyBorder="1" applyAlignment="1" applyProtection="1">
      <alignment horizontal="right" vertical="center" wrapText="1"/>
      <protection hidden="1"/>
    </xf>
    <xf numFmtId="3" fontId="10" fillId="0" borderId="63" xfId="0" applyNumberFormat="1" applyFont="1" applyFill="1" applyBorder="1" applyAlignment="1" applyProtection="1">
      <alignment horizontal="right" vertical="center" wrapText="1" indent="1"/>
      <protection hidden="1"/>
    </xf>
    <xf numFmtId="164" fontId="10" fillId="6" borderId="64" xfId="1" applyNumberFormat="1" applyFont="1" applyFill="1" applyBorder="1" applyAlignment="1" applyProtection="1">
      <alignment horizontal="center" vertical="center" wrapText="1"/>
      <protection hidden="1"/>
    </xf>
    <xf numFmtId="3" fontId="6" fillId="4" borderId="65" xfId="0" applyNumberFormat="1" applyFont="1" applyFill="1" applyBorder="1" applyAlignment="1" applyProtection="1">
      <alignment horizontal="left" vertical="center" wrapText="1"/>
      <protection hidden="1"/>
    </xf>
    <xf numFmtId="3" fontId="10" fillId="4" borderId="66" xfId="0" applyNumberFormat="1" applyFont="1" applyFill="1" applyBorder="1" applyAlignment="1" applyProtection="1">
      <alignment horizontal="right" vertical="center" wrapText="1" indent="1"/>
      <protection hidden="1"/>
    </xf>
    <xf numFmtId="164" fontId="10" fillId="6" borderId="67" xfId="1" applyNumberFormat="1" applyFont="1" applyFill="1" applyBorder="1" applyAlignment="1" applyProtection="1">
      <alignment horizontal="center" vertical="center" wrapText="1"/>
      <protection hidden="1"/>
    </xf>
    <xf numFmtId="0" fontId="9" fillId="5" borderId="68" xfId="0" applyFont="1" applyFill="1" applyBorder="1" applyAlignment="1" applyProtection="1">
      <alignment horizontal="left" vertical="center" wrapText="1"/>
      <protection hidden="1"/>
    </xf>
    <xf numFmtId="3" fontId="9" fillId="5" borderId="69" xfId="0" applyNumberFormat="1" applyFont="1" applyFill="1" applyBorder="1" applyAlignment="1" applyProtection="1">
      <alignment horizontal="right" vertical="center" wrapText="1" indent="1"/>
      <protection hidden="1"/>
    </xf>
    <xf numFmtId="164" fontId="10" fillId="6" borderId="70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7" xfId="0" applyFont="1" applyFill="1" applyBorder="1" applyAlignment="1" applyProtection="1">
      <alignment vertical="center" wrapText="1"/>
      <protection hidden="1"/>
    </xf>
    <xf numFmtId="0" fontId="6" fillId="0" borderId="45" xfId="0" applyFont="1" applyFill="1" applyBorder="1" applyAlignment="1" applyProtection="1">
      <alignment horizontal="center" vertical="center" wrapText="1"/>
      <protection hidden="1"/>
    </xf>
    <xf numFmtId="0" fontId="2" fillId="9" borderId="10" xfId="0" applyFont="1" applyFill="1" applyBorder="1" applyAlignment="1" applyProtection="1">
      <alignment vertical="center" wrapText="1"/>
      <protection hidden="1"/>
    </xf>
    <xf numFmtId="0" fontId="17" fillId="8" borderId="76" xfId="0" applyFont="1" applyFill="1" applyBorder="1" applyAlignment="1" applyProtection="1">
      <alignment horizontal="center" vertical="center" wrapText="1"/>
      <protection hidden="1"/>
    </xf>
    <xf numFmtId="0" fontId="13" fillId="9" borderId="77" xfId="0" applyFont="1" applyFill="1" applyBorder="1" applyAlignment="1" applyProtection="1">
      <alignment horizontal="center" vertical="center" wrapText="1"/>
      <protection hidden="1"/>
    </xf>
    <xf numFmtId="10" fontId="6" fillId="0" borderId="77" xfId="1" applyNumberFormat="1" applyFont="1" applyBorder="1" applyAlignment="1" applyProtection="1">
      <alignment horizontal="center" vertical="center" wrapText="1"/>
      <protection hidden="1"/>
    </xf>
    <xf numFmtId="3" fontId="6" fillId="9" borderId="77" xfId="0" applyNumberFormat="1" applyFont="1" applyFill="1" applyBorder="1" applyAlignment="1" applyProtection="1">
      <alignment horizontal="center" vertical="center" wrapText="1"/>
      <protection hidden="1"/>
    </xf>
    <xf numFmtId="0" fontId="18" fillId="9" borderId="77" xfId="0" applyFont="1" applyFill="1" applyBorder="1" applyAlignment="1" applyProtection="1">
      <alignment horizontal="right" vertical="center" wrapText="1"/>
      <protection hidden="1"/>
    </xf>
    <xf numFmtId="0" fontId="14" fillId="0" borderId="75" xfId="0" applyFont="1" applyFill="1" applyBorder="1" applyAlignment="1" applyProtection="1">
      <alignment horizontal="center" vertical="center" wrapText="1"/>
      <protection hidden="1"/>
    </xf>
    <xf numFmtId="0" fontId="14" fillId="0" borderId="78" xfId="0" applyFont="1" applyFill="1" applyBorder="1" applyAlignment="1" applyProtection="1">
      <alignment horizontal="center" vertical="center" wrapText="1"/>
      <protection hidden="1"/>
    </xf>
    <xf numFmtId="0" fontId="14" fillId="0" borderId="2" xfId="0" applyFont="1" applyFill="1" applyBorder="1" applyAlignment="1" applyProtection="1">
      <alignment horizontal="center" vertical="center" wrapText="1"/>
      <protection hidden="1"/>
    </xf>
    <xf numFmtId="0" fontId="6" fillId="0" borderId="2" xfId="0" applyFont="1" applyFill="1" applyBorder="1" applyAlignment="1" applyProtection="1">
      <alignment horizontal="center" vertical="center" wrapText="1"/>
      <protection hidden="1"/>
    </xf>
    <xf numFmtId="0" fontId="14" fillId="0" borderId="42" xfId="0" applyFont="1" applyFill="1" applyBorder="1" applyAlignment="1" applyProtection="1">
      <alignment horizontal="center" vertical="center" wrapText="1"/>
      <protection hidden="1"/>
    </xf>
    <xf numFmtId="0" fontId="5" fillId="4" borderId="80" xfId="0" applyFont="1" applyFill="1" applyBorder="1" applyAlignment="1" applyProtection="1">
      <alignment horizontal="center" vertical="center" wrapText="1"/>
      <protection hidden="1"/>
    </xf>
    <xf numFmtId="0" fontId="5" fillId="4" borderId="81" xfId="0" applyFont="1" applyFill="1" applyBorder="1" applyAlignment="1" applyProtection="1">
      <alignment horizontal="center" vertical="center" wrapText="1"/>
      <protection hidden="1"/>
    </xf>
    <xf numFmtId="0" fontId="5" fillId="4" borderId="82" xfId="0" applyFont="1" applyFill="1" applyBorder="1" applyAlignment="1" applyProtection="1">
      <alignment horizontal="center" vertical="center" wrapText="1"/>
      <protection hidden="1"/>
    </xf>
    <xf numFmtId="164" fontId="10" fillId="0" borderId="83" xfId="1" applyNumberFormat="1" applyFont="1" applyFill="1" applyBorder="1" applyAlignment="1" applyProtection="1">
      <alignment horizontal="center" vertical="center" wrapText="1"/>
      <protection hidden="1"/>
    </xf>
    <xf numFmtId="164" fontId="10" fillId="0" borderId="84" xfId="0" applyNumberFormat="1" applyFont="1" applyFill="1" applyBorder="1" applyAlignment="1" applyProtection="1">
      <alignment horizontal="center" vertical="center" wrapText="1"/>
      <protection hidden="1"/>
    </xf>
    <xf numFmtId="164" fontId="10" fillId="0" borderId="85" xfId="0" applyNumberFormat="1" applyFont="1" applyFill="1" applyBorder="1" applyAlignment="1" applyProtection="1">
      <alignment horizontal="center" vertical="center" wrapText="1"/>
      <protection hidden="1"/>
    </xf>
    <xf numFmtId="164" fontId="2" fillId="0" borderId="60" xfId="0" applyNumberFormat="1" applyFont="1" applyFill="1" applyBorder="1" applyAlignment="1" applyProtection="1">
      <alignment horizontal="right" vertical="center" wrapText="1"/>
      <protection hidden="1"/>
    </xf>
    <xf numFmtId="164" fontId="10" fillId="0" borderId="86" xfId="1" applyNumberFormat="1" applyFont="1" applyFill="1" applyBorder="1" applyAlignment="1" applyProtection="1">
      <alignment horizontal="center" vertical="center" wrapText="1"/>
      <protection hidden="1"/>
    </xf>
    <xf numFmtId="164" fontId="10" fillId="0" borderId="87" xfId="0" applyNumberFormat="1" applyFont="1" applyFill="1" applyBorder="1" applyAlignment="1" applyProtection="1">
      <alignment horizontal="center" vertical="center" wrapText="1"/>
      <protection hidden="1"/>
    </xf>
    <xf numFmtId="164" fontId="10" fillId="0" borderId="88" xfId="0" applyNumberFormat="1" applyFont="1" applyFill="1" applyBorder="1" applyAlignment="1" applyProtection="1">
      <alignment horizontal="center" vertical="center" wrapText="1"/>
      <protection hidden="1"/>
    </xf>
    <xf numFmtId="164" fontId="14" fillId="7" borderId="57" xfId="0" applyNumberFormat="1" applyFont="1" applyFill="1" applyBorder="1" applyAlignment="1" applyProtection="1">
      <alignment horizontal="left" vertical="center" wrapText="1"/>
      <protection hidden="1"/>
    </xf>
    <xf numFmtId="164" fontId="10" fillId="7" borderId="86" xfId="1" applyNumberFormat="1" applyFont="1" applyFill="1" applyBorder="1" applyAlignment="1" applyProtection="1">
      <alignment horizontal="center" vertical="center" wrapText="1"/>
      <protection hidden="1"/>
    </xf>
    <xf numFmtId="164" fontId="10" fillId="7" borderId="87" xfId="0" applyNumberFormat="1" applyFont="1" applyFill="1" applyBorder="1" applyAlignment="1" applyProtection="1">
      <alignment horizontal="center" vertical="center" wrapText="1"/>
      <protection hidden="1"/>
    </xf>
    <xf numFmtId="164" fontId="10" fillId="7" borderId="88" xfId="0" applyNumberFormat="1" applyFont="1" applyFill="1" applyBorder="1" applyAlignment="1" applyProtection="1">
      <alignment horizontal="center" vertical="center" wrapText="1"/>
      <protection hidden="1"/>
    </xf>
    <xf numFmtId="164" fontId="2" fillId="0" borderId="60" xfId="0" applyNumberFormat="1" applyFont="1" applyFill="1" applyBorder="1" applyAlignment="1" applyProtection="1">
      <alignment horizontal="left" vertical="center" wrapText="1"/>
      <protection hidden="1"/>
    </xf>
    <xf numFmtId="164" fontId="14" fillId="7" borderId="57" xfId="0" applyNumberFormat="1" applyFont="1" applyFill="1" applyBorder="1" applyAlignment="1" applyProtection="1">
      <alignment horizontal="right" vertical="center" wrapText="1"/>
      <protection hidden="1"/>
    </xf>
    <xf numFmtId="3" fontId="6" fillId="7" borderId="54" xfId="0" applyNumberFormat="1" applyFont="1" applyFill="1" applyBorder="1" applyAlignment="1" applyProtection="1">
      <alignment horizontal="left" vertical="center" wrapText="1"/>
      <protection hidden="1"/>
    </xf>
    <xf numFmtId="164" fontId="10" fillId="7" borderId="83" xfId="1" applyNumberFormat="1" applyFont="1" applyFill="1" applyBorder="1" applyAlignment="1" applyProtection="1">
      <alignment horizontal="center" vertical="center" wrapText="1"/>
      <protection hidden="1"/>
    </xf>
    <xf numFmtId="164" fontId="10" fillId="7" borderId="84" xfId="0" applyNumberFormat="1" applyFont="1" applyFill="1" applyBorder="1" applyAlignment="1" applyProtection="1">
      <alignment horizontal="center" vertical="center" wrapText="1"/>
      <protection hidden="1"/>
    </xf>
    <xf numFmtId="164" fontId="10" fillId="7" borderId="85" xfId="0" applyNumberFormat="1" applyFont="1" applyFill="1" applyBorder="1" applyAlignment="1" applyProtection="1">
      <alignment horizontal="center" vertical="center" wrapText="1"/>
      <protection hidden="1"/>
    </xf>
    <xf numFmtId="164" fontId="9" fillId="5" borderId="68" xfId="0" applyNumberFormat="1" applyFont="1" applyFill="1" applyBorder="1" applyAlignment="1" applyProtection="1">
      <alignment horizontal="left" vertical="center" wrapText="1"/>
      <protection hidden="1"/>
    </xf>
    <xf numFmtId="164" fontId="9" fillId="5" borderId="89" xfId="1" applyNumberFormat="1" applyFont="1" applyFill="1" applyBorder="1" applyAlignment="1" applyProtection="1">
      <alignment horizontal="center" vertical="center" wrapText="1"/>
      <protection hidden="1"/>
    </xf>
    <xf numFmtId="164" fontId="9" fillId="5" borderId="90" xfId="0" applyNumberFormat="1" applyFont="1" applyFill="1" applyBorder="1" applyAlignment="1" applyProtection="1">
      <alignment horizontal="center" vertical="center" wrapText="1"/>
      <protection hidden="1"/>
    </xf>
    <xf numFmtId="164" fontId="9" fillId="5" borderId="91" xfId="0" applyNumberFormat="1" applyFont="1" applyFill="1" applyBorder="1" applyAlignment="1" applyProtection="1">
      <alignment horizontal="center" vertical="center" wrapText="1"/>
      <protection hidden="1"/>
    </xf>
    <xf numFmtId="0" fontId="17" fillId="0" borderId="0" xfId="0" applyFont="1" applyFill="1" applyBorder="1" applyAlignment="1" applyProtection="1">
      <alignment horizontal="center" vertical="center" wrapText="1"/>
      <protection hidden="1"/>
    </xf>
    <xf numFmtId="10" fontId="19" fillId="0" borderId="0" xfId="1" applyNumberFormat="1" applyFont="1" applyFill="1" applyBorder="1" applyAlignment="1" applyProtection="1">
      <alignment horizontal="center" vertical="center" wrapText="1"/>
      <protection hidden="1"/>
    </xf>
    <xf numFmtId="164" fontId="19" fillId="0" borderId="0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0" xfId="0" applyFont="1" applyBorder="1" applyAlignment="1" applyProtection="1">
      <alignment vertical="center" wrapText="1"/>
      <protection hidden="1"/>
    </xf>
    <xf numFmtId="0" fontId="12" fillId="7" borderId="94" xfId="0" applyFont="1" applyFill="1" applyBorder="1" applyAlignment="1" applyProtection="1">
      <alignment horizontal="center" vertical="center" wrapText="1"/>
      <protection hidden="1"/>
    </xf>
    <xf numFmtId="3" fontId="10" fillId="7" borderId="94" xfId="0" applyNumberFormat="1" applyFont="1" applyFill="1" applyBorder="1" applyAlignment="1" applyProtection="1">
      <alignment horizontal="center" vertical="center" wrapText="1"/>
      <protection hidden="1"/>
    </xf>
    <xf numFmtId="164" fontId="10" fillId="6" borderId="95" xfId="1" applyNumberFormat="1" applyFont="1" applyFill="1" applyBorder="1" applyAlignment="1" applyProtection="1">
      <alignment horizontal="center" vertical="center" wrapText="1"/>
      <protection hidden="1"/>
    </xf>
    <xf numFmtId="0" fontId="12" fillId="7" borderId="100" xfId="0" applyFont="1" applyFill="1" applyBorder="1" applyAlignment="1" applyProtection="1">
      <alignment horizontal="center" vertical="center" wrapText="1"/>
      <protection hidden="1"/>
    </xf>
    <xf numFmtId="3" fontId="10" fillId="7" borderId="100" xfId="0" applyNumberFormat="1" applyFont="1" applyFill="1" applyBorder="1" applyAlignment="1" applyProtection="1">
      <alignment horizontal="center" vertical="center" wrapText="1"/>
      <protection hidden="1"/>
    </xf>
    <xf numFmtId="0" fontId="12" fillId="7" borderId="102" xfId="0" applyFont="1" applyFill="1" applyBorder="1" applyAlignment="1" applyProtection="1">
      <alignment horizontal="center" vertical="center" wrapText="1"/>
      <protection hidden="1"/>
    </xf>
    <xf numFmtId="3" fontId="10" fillId="7" borderId="102" xfId="0" applyNumberFormat="1" applyFont="1" applyFill="1" applyBorder="1" applyAlignment="1" applyProtection="1">
      <alignment horizontal="center" vertical="center" wrapText="1"/>
      <protection hidden="1"/>
    </xf>
    <xf numFmtId="0" fontId="12" fillId="0" borderId="104" xfId="0" applyFont="1" applyFill="1" applyBorder="1" applyAlignment="1" applyProtection="1">
      <alignment horizontal="center" vertical="center" wrapText="1"/>
      <protection hidden="1"/>
    </xf>
    <xf numFmtId="3" fontId="10" fillId="0" borderId="104" xfId="0" applyNumberFormat="1" applyFont="1" applyFill="1" applyBorder="1" applyAlignment="1" applyProtection="1">
      <alignment horizontal="center" vertical="center" wrapText="1"/>
      <protection hidden="1"/>
    </xf>
    <xf numFmtId="0" fontId="12" fillId="0" borderId="100" xfId="0" applyFont="1" applyFill="1" applyBorder="1" applyAlignment="1" applyProtection="1">
      <alignment horizontal="center" vertical="center" wrapText="1"/>
      <protection hidden="1"/>
    </xf>
    <xf numFmtId="3" fontId="10" fillId="0" borderId="100" xfId="0" applyNumberFormat="1" applyFont="1" applyFill="1" applyBorder="1" applyAlignment="1" applyProtection="1">
      <alignment horizontal="center" vertical="center" wrapText="1"/>
      <protection hidden="1"/>
    </xf>
    <xf numFmtId="0" fontId="12" fillId="0" borderId="106" xfId="0" applyFont="1" applyFill="1" applyBorder="1" applyAlignment="1" applyProtection="1">
      <alignment horizontal="center" vertical="center" wrapText="1"/>
      <protection hidden="1"/>
    </xf>
    <xf numFmtId="3" fontId="10" fillId="0" borderId="106" xfId="0" applyNumberFormat="1" applyFont="1" applyFill="1" applyBorder="1" applyAlignment="1" applyProtection="1">
      <alignment horizontal="center" vertical="center" wrapText="1"/>
      <protection hidden="1"/>
    </xf>
    <xf numFmtId="0" fontId="6" fillId="4" borderId="107" xfId="0" applyFont="1" applyFill="1" applyBorder="1" applyAlignment="1" applyProtection="1">
      <alignment horizontal="center" vertical="center" wrapText="1"/>
      <protection hidden="1"/>
    </xf>
    <xf numFmtId="0" fontId="6" fillId="4" borderId="75" xfId="0" applyFont="1" applyFill="1" applyBorder="1" applyAlignment="1" applyProtection="1">
      <alignment horizontal="center" vertical="center" wrapText="1"/>
      <protection hidden="1"/>
    </xf>
    <xf numFmtId="0" fontId="12" fillId="5" borderId="108" xfId="0" applyFont="1" applyFill="1" applyBorder="1" applyAlignment="1" applyProtection="1">
      <alignment horizontal="center" vertical="center" wrapText="1"/>
      <protection hidden="1"/>
    </xf>
    <xf numFmtId="3" fontId="10" fillId="5" borderId="95" xfId="0" applyNumberFormat="1" applyFont="1" applyFill="1" applyBorder="1" applyAlignment="1" applyProtection="1">
      <alignment horizontal="center" vertical="center" wrapText="1"/>
      <protection hidden="1"/>
    </xf>
    <xf numFmtId="164" fontId="2" fillId="0" borderId="0" xfId="1" applyNumberFormat="1" applyFont="1"/>
    <xf numFmtId="0" fontId="12" fillId="0" borderId="110" xfId="0" applyFont="1" applyFill="1" applyBorder="1" applyAlignment="1" applyProtection="1">
      <alignment horizontal="center" vertical="center" wrapText="1"/>
      <protection hidden="1"/>
    </xf>
    <xf numFmtId="3" fontId="10" fillId="0" borderId="111" xfId="0" applyNumberFormat="1" applyFont="1" applyFill="1" applyBorder="1" applyAlignment="1" applyProtection="1">
      <alignment horizontal="center" vertical="center" wrapText="1"/>
      <protection hidden="1"/>
    </xf>
    <xf numFmtId="164" fontId="10" fillId="6" borderId="111" xfId="1" applyNumberFormat="1" applyFont="1" applyFill="1" applyBorder="1" applyAlignment="1" applyProtection="1">
      <alignment horizontal="center" vertical="center" wrapText="1"/>
      <protection hidden="1"/>
    </xf>
    <xf numFmtId="164" fontId="13" fillId="0" borderId="0" xfId="1" applyNumberFormat="1" applyFont="1" applyAlignment="1" applyProtection="1">
      <alignment vertical="center" wrapText="1"/>
      <protection hidden="1"/>
    </xf>
    <xf numFmtId="0" fontId="12" fillId="7" borderId="110" xfId="0" applyFont="1" applyFill="1" applyBorder="1" applyAlignment="1" applyProtection="1">
      <alignment horizontal="center" vertical="center" wrapText="1"/>
      <protection hidden="1"/>
    </xf>
    <xf numFmtId="3" fontId="10" fillId="7" borderId="111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0" xfId="0" applyFont="1" applyFill="1" applyBorder="1" applyProtection="1">
      <protection hidden="1"/>
    </xf>
    <xf numFmtId="0" fontId="13" fillId="0" borderId="0" xfId="0" applyFont="1" applyFill="1" applyAlignment="1" applyProtection="1">
      <alignment vertical="center" wrapText="1"/>
      <protection hidden="1"/>
    </xf>
    <xf numFmtId="0" fontId="8" fillId="5" borderId="115" xfId="0" applyFont="1" applyFill="1" applyBorder="1" applyAlignment="1" applyProtection="1">
      <alignment horizontal="center" vertical="center" wrapText="1"/>
      <protection hidden="1"/>
    </xf>
    <xf numFmtId="164" fontId="10" fillId="6" borderId="15" xfId="1" applyNumberFormat="1" applyFont="1" applyFill="1" applyBorder="1" applyAlignment="1" applyProtection="1">
      <alignment horizontal="center" vertical="center" wrapText="1"/>
      <protection hidden="1"/>
    </xf>
    <xf numFmtId="0" fontId="8" fillId="5" borderId="119" xfId="0" applyFont="1" applyFill="1" applyBorder="1" applyAlignment="1" applyProtection="1">
      <alignment horizontal="center" vertical="center" wrapText="1"/>
      <protection hidden="1"/>
    </xf>
    <xf numFmtId="0" fontId="8" fillId="5" borderId="123" xfId="0" applyFont="1" applyFill="1" applyBorder="1" applyAlignment="1" applyProtection="1">
      <alignment horizontal="center" vertical="center" wrapText="1"/>
      <protection hidden="1"/>
    </xf>
    <xf numFmtId="3" fontId="9" fillId="5" borderId="124" xfId="0" applyNumberFormat="1" applyFont="1" applyFill="1" applyBorder="1" applyAlignment="1" applyProtection="1">
      <alignment horizontal="center" vertical="center" wrapText="1"/>
      <protection hidden="1"/>
    </xf>
    <xf numFmtId="164" fontId="10" fillId="6" borderId="124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0" xfId="2" applyFont="1"/>
    <xf numFmtId="0" fontId="12" fillId="0" borderId="128" xfId="0" applyFont="1" applyFill="1" applyBorder="1" applyAlignment="1" applyProtection="1">
      <alignment horizontal="center" vertical="center" wrapText="1"/>
      <protection hidden="1"/>
    </xf>
    <xf numFmtId="3" fontId="10" fillId="0" borderId="129" xfId="0" applyNumberFormat="1" applyFont="1" applyFill="1" applyBorder="1" applyAlignment="1" applyProtection="1">
      <alignment horizontal="center" vertical="center" wrapText="1"/>
      <protection hidden="1"/>
    </xf>
    <xf numFmtId="164" fontId="10" fillId="6" borderId="129" xfId="1" applyNumberFormat="1" applyFont="1" applyFill="1" applyBorder="1" applyAlignment="1" applyProtection="1">
      <alignment horizontal="center" vertical="center" wrapText="1"/>
      <protection hidden="1"/>
    </xf>
    <xf numFmtId="0" fontId="12" fillId="0" borderId="123" xfId="0" applyFont="1" applyFill="1" applyBorder="1" applyAlignment="1" applyProtection="1">
      <alignment horizontal="center" vertical="center" wrapText="1"/>
      <protection hidden="1"/>
    </xf>
    <xf numFmtId="3" fontId="10" fillId="0" borderId="124" xfId="0" applyNumberFormat="1" applyFont="1" applyFill="1" applyBorder="1" applyAlignment="1" applyProtection="1">
      <alignment horizontal="center" vertical="center" wrapText="1"/>
      <protection hidden="1"/>
    </xf>
    <xf numFmtId="0" fontId="12" fillId="7" borderId="128" xfId="0" applyFont="1" applyFill="1" applyBorder="1" applyAlignment="1" applyProtection="1">
      <alignment horizontal="center" vertical="center" wrapText="1"/>
      <protection hidden="1"/>
    </xf>
    <xf numFmtId="3" fontId="10" fillId="7" borderId="129" xfId="0" applyNumberFormat="1" applyFont="1" applyFill="1" applyBorder="1" applyAlignment="1" applyProtection="1">
      <alignment horizontal="center" vertical="center" wrapText="1"/>
      <protection hidden="1"/>
    </xf>
    <xf numFmtId="0" fontId="12" fillId="7" borderId="119" xfId="0" applyFont="1" applyFill="1" applyBorder="1" applyAlignment="1" applyProtection="1">
      <alignment horizontal="center" vertical="center" wrapText="1"/>
      <protection hidden="1"/>
    </xf>
    <xf numFmtId="0" fontId="12" fillId="7" borderId="123" xfId="0" applyFont="1" applyFill="1" applyBorder="1" applyAlignment="1" applyProtection="1">
      <alignment horizontal="center" vertical="center" wrapText="1"/>
      <protection hidden="1"/>
    </xf>
    <xf numFmtId="3" fontId="10" fillId="7" borderId="124" xfId="0" applyNumberFormat="1" applyFont="1" applyFill="1" applyBorder="1" applyAlignment="1" applyProtection="1">
      <alignment horizontal="center" vertical="center" wrapText="1"/>
      <protection hidden="1"/>
    </xf>
    <xf numFmtId="0" fontId="12" fillId="0" borderId="119" xfId="0" applyFont="1" applyFill="1" applyBorder="1" applyAlignment="1" applyProtection="1">
      <alignment horizontal="center" vertical="center" wrapText="1"/>
      <protection hidden="1"/>
    </xf>
    <xf numFmtId="0" fontId="12" fillId="6" borderId="128" xfId="0" applyFont="1" applyFill="1" applyBorder="1" applyAlignment="1" applyProtection="1">
      <alignment horizontal="center" vertical="center" wrapText="1"/>
      <protection hidden="1"/>
    </xf>
    <xf numFmtId="3" fontId="10" fillId="6" borderId="129" xfId="0" applyNumberFormat="1" applyFont="1" applyFill="1" applyBorder="1" applyAlignment="1" applyProtection="1">
      <alignment horizontal="center" vertical="center" wrapText="1"/>
      <protection hidden="1"/>
    </xf>
    <xf numFmtId="0" fontId="12" fillId="6" borderId="119" xfId="0" applyFont="1" applyFill="1" applyBorder="1" applyAlignment="1" applyProtection="1">
      <alignment horizontal="center" vertical="center" wrapText="1"/>
      <protection hidden="1"/>
    </xf>
    <xf numFmtId="0" fontId="12" fillId="6" borderId="137" xfId="0" applyFont="1" applyFill="1" applyBorder="1" applyAlignment="1" applyProtection="1">
      <alignment horizontal="center" vertical="center" wrapText="1"/>
      <protection hidden="1"/>
    </xf>
    <xf numFmtId="3" fontId="10" fillId="6" borderId="26" xfId="0" applyNumberFormat="1" applyFont="1" applyFill="1" applyBorder="1" applyAlignment="1" applyProtection="1">
      <alignment horizontal="center" vertical="center" wrapText="1"/>
      <protection hidden="1"/>
    </xf>
    <xf numFmtId="164" fontId="10" fillId="6" borderId="26" xfId="1" applyNumberFormat="1" applyFont="1" applyFill="1" applyBorder="1" applyAlignment="1" applyProtection="1">
      <alignment horizontal="center" vertical="center" wrapText="1"/>
      <protection hidden="1"/>
    </xf>
    <xf numFmtId="0" fontId="12" fillId="0" borderId="139" xfId="0" applyFont="1" applyFill="1" applyBorder="1" applyAlignment="1" applyProtection="1">
      <alignment horizontal="center" vertical="center" wrapText="1"/>
      <protection hidden="1"/>
    </xf>
    <xf numFmtId="3" fontId="10" fillId="0" borderId="95" xfId="0" applyNumberFormat="1" applyFont="1" applyFill="1" applyBorder="1" applyAlignment="1" applyProtection="1">
      <alignment horizontal="center" vertical="center" wrapText="1"/>
      <protection hidden="1"/>
    </xf>
    <xf numFmtId="0" fontId="12" fillId="7" borderId="140" xfId="0" applyFont="1" applyFill="1" applyBorder="1" applyAlignment="1" applyProtection="1">
      <alignment horizontal="center" vertical="center" wrapText="1"/>
      <protection hidden="1"/>
    </xf>
    <xf numFmtId="3" fontId="10" fillId="7" borderId="141" xfId="0" applyNumberFormat="1" applyFont="1" applyFill="1" applyBorder="1" applyAlignment="1" applyProtection="1">
      <alignment horizontal="center" vertical="center" wrapText="1"/>
      <protection hidden="1"/>
    </xf>
    <xf numFmtId="164" fontId="10" fillId="6" borderId="141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143" xfId="0" applyFont="1" applyFill="1" applyBorder="1" applyAlignment="1" applyProtection="1">
      <alignment vertical="center" wrapText="1"/>
      <protection hidden="1"/>
    </xf>
    <xf numFmtId="0" fontId="2" fillId="0" borderId="143" xfId="0" applyFont="1" applyBorder="1" applyAlignment="1" applyProtection="1">
      <alignment vertical="center" wrapText="1"/>
      <protection hidden="1"/>
    </xf>
    <xf numFmtId="0" fontId="2" fillId="0" borderId="0" xfId="0" applyFont="1"/>
    <xf numFmtId="0" fontId="21" fillId="2" borderId="0" xfId="0" applyFont="1" applyFill="1" applyAlignment="1" applyProtection="1">
      <alignment horizontal="center" vertical="center" wrapText="1"/>
      <protection hidden="1"/>
    </xf>
    <xf numFmtId="0" fontId="12" fillId="6" borderId="126" xfId="0" applyFont="1" applyFill="1" applyBorder="1" applyAlignment="1" applyProtection="1">
      <alignment horizontal="center" vertical="center" wrapText="1"/>
      <protection hidden="1"/>
    </xf>
    <xf numFmtId="0" fontId="12" fillId="6" borderId="127" xfId="0" applyFont="1" applyFill="1" applyBorder="1" applyAlignment="1" applyProtection="1">
      <alignment horizontal="center" vertical="center" wrapText="1"/>
      <protection hidden="1"/>
    </xf>
    <xf numFmtId="0" fontId="12" fillId="6" borderId="133" xfId="0" applyFont="1" applyFill="1" applyBorder="1" applyAlignment="1" applyProtection="1">
      <alignment horizontal="center" vertical="center" wrapText="1"/>
      <protection hidden="1"/>
    </xf>
    <xf numFmtId="0" fontId="12" fillId="6" borderId="134" xfId="0" applyFont="1" applyFill="1" applyBorder="1" applyAlignment="1" applyProtection="1">
      <alignment horizontal="center" vertical="center" wrapText="1"/>
      <protection hidden="1"/>
    </xf>
    <xf numFmtId="0" fontId="2" fillId="7" borderId="129" xfId="0" applyFont="1" applyFill="1" applyBorder="1" applyAlignment="1" applyProtection="1">
      <alignment horizontal="justify" vertical="center" wrapText="1"/>
      <protection hidden="1"/>
    </xf>
    <xf numFmtId="0" fontId="2" fillId="7" borderId="130" xfId="0" applyFont="1" applyFill="1" applyBorder="1" applyAlignment="1" applyProtection="1">
      <alignment horizontal="justify" vertical="center" wrapText="1"/>
      <protection hidden="1"/>
    </xf>
    <xf numFmtId="0" fontId="2" fillId="7" borderId="22" xfId="0" applyFont="1" applyFill="1" applyBorder="1" applyAlignment="1" applyProtection="1">
      <alignment horizontal="justify" vertical="center" wrapText="1"/>
      <protection hidden="1"/>
    </xf>
    <xf numFmtId="0" fontId="2" fillId="7" borderId="120" xfId="0" applyFont="1" applyFill="1" applyBorder="1" applyAlignment="1" applyProtection="1">
      <alignment horizontal="justify" vertical="center" wrapText="1"/>
      <protection hidden="1"/>
    </xf>
    <xf numFmtId="0" fontId="2" fillId="7" borderId="26" xfId="0" applyFont="1" applyFill="1" applyBorder="1" applyAlignment="1" applyProtection="1">
      <alignment horizontal="justify" vertical="center" wrapText="1"/>
      <protection hidden="1"/>
    </xf>
    <xf numFmtId="0" fontId="2" fillId="7" borderId="138" xfId="0" applyFont="1" applyFill="1" applyBorder="1" applyAlignment="1" applyProtection="1">
      <alignment horizontal="justify" vertical="center" wrapText="1"/>
      <protection hidden="1"/>
    </xf>
    <xf numFmtId="0" fontId="7" fillId="0" borderId="12" xfId="0" applyFont="1" applyFill="1" applyBorder="1" applyAlignment="1" applyProtection="1">
      <alignment horizontal="center" vertical="center" wrapText="1"/>
      <protection hidden="1"/>
    </xf>
    <xf numFmtId="0" fontId="7" fillId="0" borderId="1" xfId="0" applyFont="1" applyFill="1" applyBorder="1" applyAlignment="1" applyProtection="1">
      <alignment horizontal="center" vertical="center" wrapText="1"/>
      <protection hidden="1"/>
    </xf>
    <xf numFmtId="0" fontId="7" fillId="0" borderId="13" xfId="0" applyFont="1" applyFill="1" applyBorder="1" applyAlignment="1" applyProtection="1">
      <alignment horizontal="center" vertical="center" wrapText="1"/>
      <protection hidden="1"/>
    </xf>
    <xf numFmtId="0" fontId="12" fillId="0" borderId="133" xfId="0" applyFont="1" applyFill="1" applyBorder="1" applyAlignment="1" applyProtection="1">
      <alignment horizontal="center" vertical="center" wrapText="1"/>
      <protection hidden="1"/>
    </xf>
    <xf numFmtId="0" fontId="12" fillId="0" borderId="96" xfId="0" applyFont="1" applyFill="1" applyBorder="1" applyAlignment="1" applyProtection="1">
      <alignment horizontal="center" vertical="center" wrapText="1"/>
      <protection hidden="1"/>
    </xf>
    <xf numFmtId="0" fontId="2" fillId="0" borderId="95" xfId="0" applyFont="1" applyFill="1" applyBorder="1" applyAlignment="1" applyProtection="1">
      <alignment horizontal="justify" vertical="center" wrapText="1"/>
      <protection hidden="1"/>
    </xf>
    <xf numFmtId="0" fontId="2" fillId="0" borderId="109" xfId="0" applyFont="1" applyFill="1" applyBorder="1" applyAlignment="1" applyProtection="1">
      <alignment horizontal="justify" vertical="center" wrapText="1"/>
      <protection hidden="1"/>
    </xf>
    <xf numFmtId="0" fontId="12" fillId="0" borderId="98" xfId="0" applyFont="1" applyFill="1" applyBorder="1" applyAlignment="1" applyProtection="1">
      <alignment horizontal="center" vertical="center" wrapText="1"/>
      <protection hidden="1"/>
    </xf>
    <xf numFmtId="0" fontId="2" fillId="7" borderId="141" xfId="0" applyFont="1" applyFill="1" applyBorder="1" applyAlignment="1" applyProtection="1">
      <alignment horizontal="justify" vertical="center" wrapText="1"/>
      <protection hidden="1"/>
    </xf>
    <xf numFmtId="0" fontId="2" fillId="7" borderId="142" xfId="0" applyFont="1" applyFill="1" applyBorder="1" applyAlignment="1" applyProtection="1">
      <alignment horizontal="justify" vertical="center" wrapText="1"/>
      <protection hidden="1"/>
    </xf>
    <xf numFmtId="0" fontId="2" fillId="7" borderId="124" xfId="0" applyFont="1" applyFill="1" applyBorder="1" applyAlignment="1" applyProtection="1">
      <alignment horizontal="justify" vertical="center" wrapText="1"/>
      <protection hidden="1"/>
    </xf>
    <xf numFmtId="0" fontId="2" fillId="7" borderId="125" xfId="0" applyFont="1" applyFill="1" applyBorder="1" applyAlignment="1" applyProtection="1">
      <alignment horizontal="justify" vertical="center" wrapText="1"/>
      <protection hidden="1"/>
    </xf>
    <xf numFmtId="0" fontId="12" fillId="0" borderId="135" xfId="0" applyFont="1" applyFill="1" applyBorder="1" applyAlignment="1" applyProtection="1">
      <alignment horizontal="center" vertical="center" wrapText="1"/>
      <protection hidden="1"/>
    </xf>
    <xf numFmtId="0" fontId="12" fillId="0" borderId="136" xfId="0" applyFont="1" applyFill="1" applyBorder="1" applyAlignment="1" applyProtection="1">
      <alignment horizontal="center" vertical="center" wrapText="1"/>
      <protection hidden="1"/>
    </xf>
    <xf numFmtId="0" fontId="12" fillId="0" borderId="117" xfId="0" applyFont="1" applyFill="1" applyBorder="1" applyAlignment="1" applyProtection="1">
      <alignment horizontal="center" vertical="center" wrapText="1"/>
      <protection hidden="1"/>
    </xf>
    <xf numFmtId="0" fontId="12" fillId="0" borderId="118" xfId="0" applyFont="1" applyFill="1" applyBorder="1" applyAlignment="1" applyProtection="1">
      <alignment horizontal="center" vertical="center" wrapText="1"/>
      <protection hidden="1"/>
    </xf>
    <xf numFmtId="0" fontId="12" fillId="0" borderId="121" xfId="0" applyFont="1" applyFill="1" applyBorder="1" applyAlignment="1" applyProtection="1">
      <alignment horizontal="center" vertical="center" wrapText="1"/>
      <protection hidden="1"/>
    </xf>
    <xf numFmtId="0" fontId="12" fillId="0" borderId="122" xfId="0" applyFont="1" applyFill="1" applyBorder="1" applyAlignment="1" applyProtection="1">
      <alignment horizontal="center" vertical="center" wrapText="1"/>
      <protection hidden="1"/>
    </xf>
    <xf numFmtId="0" fontId="2" fillId="0" borderId="129" xfId="0" applyFont="1" applyFill="1" applyBorder="1" applyAlignment="1" applyProtection="1">
      <alignment horizontal="justify" vertical="center" wrapText="1"/>
      <protection hidden="1"/>
    </xf>
    <xf numFmtId="0" fontId="2" fillId="0" borderId="130" xfId="0" applyFont="1" applyFill="1" applyBorder="1" applyAlignment="1" applyProtection="1">
      <alignment horizontal="justify" vertical="center" wrapText="1"/>
      <protection hidden="1"/>
    </xf>
    <xf numFmtId="0" fontId="2" fillId="0" borderId="22" xfId="0" applyFont="1" applyFill="1" applyBorder="1" applyAlignment="1" applyProtection="1">
      <alignment horizontal="justify" vertical="center" wrapText="1"/>
      <protection hidden="1"/>
    </xf>
    <xf numFmtId="0" fontId="2" fillId="0" borderId="120" xfId="0" applyFont="1" applyFill="1" applyBorder="1" applyAlignment="1" applyProtection="1">
      <alignment horizontal="justify" vertical="center" wrapText="1"/>
      <protection hidden="1"/>
    </xf>
    <xf numFmtId="0" fontId="2" fillId="0" borderId="124" xfId="0" applyFont="1" applyFill="1" applyBorder="1" applyAlignment="1" applyProtection="1">
      <alignment horizontal="justify" vertical="center" wrapText="1"/>
      <protection hidden="1"/>
    </xf>
    <xf numFmtId="0" fontId="2" fillId="0" borderId="125" xfId="0" applyFont="1" applyFill="1" applyBorder="1" applyAlignment="1" applyProtection="1">
      <alignment horizontal="justify" vertical="center" wrapText="1"/>
      <protection hidden="1"/>
    </xf>
    <xf numFmtId="0" fontId="3" fillId="2" borderId="1" xfId="0" applyFont="1" applyFill="1" applyBorder="1" applyAlignment="1" applyProtection="1">
      <alignment horizontal="center" vertical="center" wrapText="1"/>
      <protection hidden="1"/>
    </xf>
    <xf numFmtId="0" fontId="6" fillId="0" borderId="43" xfId="0" applyFont="1" applyFill="1" applyBorder="1" applyAlignment="1" applyProtection="1">
      <alignment horizontal="center" vertical="center" wrapText="1"/>
      <protection hidden="1"/>
    </xf>
    <xf numFmtId="0" fontId="6" fillId="0" borderId="44" xfId="0" applyFont="1" applyFill="1" applyBorder="1" applyAlignment="1" applyProtection="1">
      <alignment horizontal="center" vertical="center" wrapText="1"/>
      <protection hidden="1"/>
    </xf>
    <xf numFmtId="0" fontId="6" fillId="0" borderId="45" xfId="0" applyFont="1" applyFill="1" applyBorder="1" applyAlignment="1" applyProtection="1">
      <alignment horizontal="center" vertical="center" wrapText="1"/>
      <protection hidden="1"/>
    </xf>
    <xf numFmtId="0" fontId="8" fillId="5" borderId="113" xfId="0" applyFont="1" applyFill="1" applyBorder="1" applyAlignment="1" applyProtection="1">
      <alignment horizontal="center" vertical="center" wrapText="1"/>
      <protection hidden="1"/>
    </xf>
    <xf numFmtId="0" fontId="8" fillId="5" borderId="114" xfId="0" applyFont="1" applyFill="1" applyBorder="1" applyAlignment="1" applyProtection="1">
      <alignment horizontal="center" vertical="center" wrapText="1"/>
      <protection hidden="1"/>
    </xf>
    <xf numFmtId="0" fontId="8" fillId="5" borderId="117" xfId="0" applyFont="1" applyFill="1" applyBorder="1" applyAlignment="1" applyProtection="1">
      <alignment horizontal="center" vertical="center" wrapText="1"/>
      <protection hidden="1"/>
    </xf>
    <xf numFmtId="0" fontId="8" fillId="5" borderId="118" xfId="0" applyFont="1" applyFill="1" applyBorder="1" applyAlignment="1" applyProtection="1">
      <alignment horizontal="center" vertical="center" wrapText="1"/>
      <protection hidden="1"/>
    </xf>
    <xf numFmtId="0" fontId="8" fillId="5" borderId="121" xfId="0" applyFont="1" applyFill="1" applyBorder="1" applyAlignment="1" applyProtection="1">
      <alignment horizontal="center" vertical="center" wrapText="1"/>
      <protection hidden="1"/>
    </xf>
    <xf numFmtId="0" fontId="8" fillId="5" borderId="122" xfId="0" applyFont="1" applyFill="1" applyBorder="1" applyAlignment="1" applyProtection="1">
      <alignment horizontal="center" vertical="center" wrapText="1"/>
      <protection hidden="1"/>
    </xf>
    <xf numFmtId="0" fontId="20" fillId="5" borderId="15" xfId="0" applyFont="1" applyFill="1" applyBorder="1" applyAlignment="1" applyProtection="1">
      <alignment horizontal="justify" vertical="center" wrapText="1"/>
      <protection hidden="1"/>
    </xf>
    <xf numFmtId="0" fontId="20" fillId="5" borderId="116" xfId="0" applyFont="1" applyFill="1" applyBorder="1" applyAlignment="1" applyProtection="1">
      <alignment horizontal="justify" vertical="center" wrapText="1"/>
      <protection hidden="1"/>
    </xf>
    <xf numFmtId="0" fontId="20" fillId="5" borderId="22" xfId="0" applyFont="1" applyFill="1" applyBorder="1" applyAlignment="1" applyProtection="1">
      <alignment horizontal="justify" vertical="center" wrapText="1"/>
      <protection hidden="1"/>
    </xf>
    <xf numFmtId="0" fontId="20" fillId="5" borderId="120" xfId="0" applyFont="1" applyFill="1" applyBorder="1" applyAlignment="1" applyProtection="1">
      <alignment horizontal="justify" vertical="center" wrapText="1"/>
      <protection hidden="1"/>
    </xf>
    <xf numFmtId="0" fontId="20" fillId="5" borderId="124" xfId="0" applyFont="1" applyFill="1" applyBorder="1" applyAlignment="1" applyProtection="1">
      <alignment horizontal="justify" vertical="center" wrapText="1"/>
      <protection hidden="1"/>
    </xf>
    <xf numFmtId="0" fontId="20" fillId="5" borderId="125" xfId="0" applyFont="1" applyFill="1" applyBorder="1" applyAlignment="1" applyProtection="1">
      <alignment horizontal="justify" vertical="center" wrapText="1"/>
      <protection hidden="1"/>
    </xf>
    <xf numFmtId="0" fontId="12" fillId="0" borderId="126" xfId="0" applyFont="1" applyFill="1" applyBorder="1" applyAlignment="1" applyProtection="1">
      <alignment horizontal="center" vertical="center" wrapText="1"/>
      <protection hidden="1"/>
    </xf>
    <xf numFmtId="0" fontId="12" fillId="0" borderId="127" xfId="0" applyFont="1" applyFill="1" applyBorder="1" applyAlignment="1" applyProtection="1">
      <alignment horizontal="center" vertical="center" wrapText="1"/>
      <protection hidden="1"/>
    </xf>
    <xf numFmtId="0" fontId="12" fillId="0" borderId="131" xfId="0" applyFont="1" applyFill="1" applyBorder="1" applyAlignment="1" applyProtection="1">
      <alignment horizontal="center" vertical="center" wrapText="1"/>
      <protection hidden="1"/>
    </xf>
    <xf numFmtId="0" fontId="12" fillId="0" borderId="132" xfId="0" applyFont="1" applyFill="1" applyBorder="1" applyAlignment="1" applyProtection="1">
      <alignment horizontal="center" vertical="center" wrapText="1"/>
      <protection hidden="1"/>
    </xf>
    <xf numFmtId="0" fontId="12" fillId="7" borderId="126" xfId="0" applyFont="1" applyFill="1" applyBorder="1" applyAlignment="1" applyProtection="1">
      <alignment horizontal="center" vertical="center" wrapText="1"/>
      <protection hidden="1"/>
    </xf>
    <xf numFmtId="0" fontId="12" fillId="7" borderId="127" xfId="0" applyFont="1" applyFill="1" applyBorder="1" applyAlignment="1" applyProtection="1">
      <alignment horizontal="center" vertical="center" wrapText="1"/>
      <protection hidden="1"/>
    </xf>
    <xf numFmtId="0" fontId="12" fillId="7" borderId="133" xfId="0" applyFont="1" applyFill="1" applyBorder="1" applyAlignment="1" applyProtection="1">
      <alignment horizontal="center" vertical="center" wrapText="1"/>
      <protection hidden="1"/>
    </xf>
    <xf numFmtId="0" fontId="12" fillId="7" borderId="134" xfId="0" applyFont="1" applyFill="1" applyBorder="1" applyAlignment="1" applyProtection="1">
      <alignment horizontal="center" vertical="center" wrapText="1"/>
      <protection hidden="1"/>
    </xf>
    <xf numFmtId="0" fontId="12" fillId="7" borderId="131" xfId="0" applyFont="1" applyFill="1" applyBorder="1" applyAlignment="1" applyProtection="1">
      <alignment horizontal="center" vertical="center" wrapText="1"/>
      <protection hidden="1"/>
    </xf>
    <xf numFmtId="0" fontId="12" fillId="7" borderId="132" xfId="0" applyFont="1" applyFill="1" applyBorder="1" applyAlignment="1" applyProtection="1">
      <alignment horizontal="center" vertical="center" wrapText="1"/>
      <protection hidden="1"/>
    </xf>
    <xf numFmtId="0" fontId="2" fillId="0" borderId="96" xfId="0" applyFont="1" applyFill="1" applyBorder="1" applyAlignment="1" applyProtection="1">
      <alignment horizontal="left" vertical="center" wrapText="1"/>
      <protection hidden="1"/>
    </xf>
    <xf numFmtId="0" fontId="2" fillId="0" borderId="0" xfId="0" applyFont="1" applyFill="1" applyBorder="1" applyAlignment="1" applyProtection="1">
      <alignment horizontal="left" vertical="center" wrapText="1"/>
      <protection hidden="1"/>
    </xf>
    <xf numFmtId="0" fontId="2" fillId="0" borderId="97" xfId="0" applyFont="1" applyFill="1" applyBorder="1" applyAlignment="1" applyProtection="1">
      <alignment horizontal="left" vertical="center" wrapText="1"/>
      <protection hidden="1"/>
    </xf>
    <xf numFmtId="0" fontId="12" fillId="0" borderId="92" xfId="0" applyFont="1" applyFill="1" applyBorder="1" applyAlignment="1" applyProtection="1">
      <alignment horizontal="center" vertical="center" wrapText="1"/>
      <protection hidden="1"/>
    </xf>
    <xf numFmtId="0" fontId="12" fillId="0" borderId="0" xfId="0" applyFont="1" applyFill="1" applyBorder="1" applyAlignment="1" applyProtection="1">
      <alignment horizontal="center" vertical="center" wrapText="1"/>
      <protection hidden="1"/>
    </xf>
    <xf numFmtId="0" fontId="2" fillId="5" borderId="95" xfId="0" applyFont="1" applyFill="1" applyBorder="1" applyAlignment="1" applyProtection="1">
      <alignment horizontal="left" vertical="center" wrapText="1"/>
      <protection hidden="1"/>
    </xf>
    <xf numFmtId="0" fontId="2" fillId="5" borderId="109" xfId="0" applyFont="1" applyFill="1" applyBorder="1" applyAlignment="1" applyProtection="1">
      <alignment horizontal="left" vertical="center" wrapText="1"/>
      <protection hidden="1"/>
    </xf>
    <xf numFmtId="0" fontId="2" fillId="0" borderId="111" xfId="0" applyFont="1" applyFill="1" applyBorder="1" applyAlignment="1" applyProtection="1">
      <alignment horizontal="left" vertical="center" wrapText="1"/>
      <protection hidden="1"/>
    </xf>
    <xf numFmtId="0" fontId="0" fillId="0" borderId="111" xfId="0" applyBorder="1" applyAlignment="1">
      <alignment horizontal="left" vertical="center" wrapText="1"/>
    </xf>
    <xf numFmtId="0" fontId="0" fillId="0" borderId="112" xfId="0" applyBorder="1" applyAlignment="1">
      <alignment horizontal="left" vertical="center" wrapText="1"/>
    </xf>
    <xf numFmtId="0" fontId="2" fillId="7" borderId="111" xfId="0" applyFont="1" applyFill="1" applyBorder="1" applyAlignment="1" applyProtection="1">
      <alignment horizontal="left" vertical="center" wrapText="1"/>
      <protection hidden="1"/>
    </xf>
    <xf numFmtId="0" fontId="12" fillId="7" borderId="93" xfId="0" applyFont="1" applyFill="1" applyBorder="1" applyAlignment="1" applyProtection="1">
      <alignment horizontal="center" vertical="center" wrapText="1"/>
      <protection hidden="1"/>
    </xf>
    <xf numFmtId="0" fontId="12" fillId="7" borderId="99" xfId="0" applyFont="1" applyFill="1" applyBorder="1" applyAlignment="1" applyProtection="1">
      <alignment horizontal="center" vertical="center" wrapText="1"/>
      <protection hidden="1"/>
    </xf>
    <xf numFmtId="0" fontId="12" fillId="7" borderId="101" xfId="0" applyFont="1" applyFill="1" applyBorder="1" applyAlignment="1" applyProtection="1">
      <alignment horizontal="center" vertical="center" wrapText="1"/>
      <protection hidden="1"/>
    </xf>
    <xf numFmtId="0" fontId="2" fillId="7" borderId="96" xfId="0" applyFont="1" applyFill="1" applyBorder="1" applyAlignment="1" applyProtection="1">
      <alignment horizontal="left" vertical="center" wrapText="1"/>
      <protection hidden="1"/>
    </xf>
    <xf numFmtId="0" fontId="2" fillId="7" borderId="0" xfId="0" applyFont="1" applyFill="1" applyBorder="1" applyAlignment="1" applyProtection="1">
      <alignment horizontal="left" vertical="center" wrapText="1"/>
      <protection hidden="1"/>
    </xf>
    <xf numFmtId="0" fontId="2" fillId="7" borderId="97" xfId="0" applyFont="1" applyFill="1" applyBorder="1" applyAlignment="1" applyProtection="1">
      <alignment horizontal="left" vertical="center" wrapText="1"/>
      <protection hidden="1"/>
    </xf>
    <xf numFmtId="0" fontId="12" fillId="0" borderId="103" xfId="0" applyFont="1" applyFill="1" applyBorder="1" applyAlignment="1" applyProtection="1">
      <alignment horizontal="center" vertical="center" wrapText="1"/>
      <protection hidden="1"/>
    </xf>
    <xf numFmtId="0" fontId="12" fillId="0" borderId="99" xfId="0" applyFont="1" applyFill="1" applyBorder="1" applyAlignment="1" applyProtection="1">
      <alignment horizontal="center" vertical="center" wrapText="1"/>
      <protection hidden="1"/>
    </xf>
    <xf numFmtId="0" fontId="12" fillId="0" borderId="105" xfId="0" applyFont="1" applyFill="1" applyBorder="1" applyAlignment="1" applyProtection="1">
      <alignment horizontal="center" vertical="center" wrapText="1"/>
      <protection hidden="1"/>
    </xf>
    <xf numFmtId="0" fontId="6" fillId="4" borderId="49" xfId="0" applyFont="1" applyFill="1" applyBorder="1" applyAlignment="1" applyProtection="1">
      <alignment horizontal="center" vertical="center" wrapText="1"/>
      <protection hidden="1"/>
    </xf>
    <xf numFmtId="0" fontId="6" fillId="4" borderId="50" xfId="0" applyFont="1" applyFill="1" applyBorder="1" applyAlignment="1" applyProtection="1">
      <alignment horizontal="center" vertical="center" wrapText="1"/>
      <protection hidden="1"/>
    </xf>
    <xf numFmtId="0" fontId="6" fillId="4" borderId="79" xfId="0" applyFont="1" applyFill="1" applyBorder="1" applyAlignment="1" applyProtection="1">
      <alignment horizontal="center" vertical="center" wrapText="1"/>
      <protection hidden="1"/>
    </xf>
    <xf numFmtId="0" fontId="16" fillId="5" borderId="74" xfId="0" applyFont="1" applyFill="1" applyBorder="1" applyAlignment="1" applyProtection="1">
      <alignment horizontal="center" vertical="center"/>
      <protection hidden="1"/>
    </xf>
    <xf numFmtId="0" fontId="16" fillId="5" borderId="75" xfId="0" applyFont="1" applyFill="1" applyBorder="1" applyAlignment="1" applyProtection="1">
      <alignment horizontal="center" vertical="center"/>
      <protection hidden="1"/>
    </xf>
    <xf numFmtId="0" fontId="6" fillId="8" borderId="8" xfId="0" applyFont="1" applyFill="1" applyBorder="1" applyAlignment="1" applyProtection="1">
      <alignment horizontal="center" vertical="center" wrapText="1"/>
      <protection hidden="1"/>
    </xf>
    <xf numFmtId="0" fontId="6" fillId="8" borderId="0" xfId="0" applyFont="1" applyFill="1" applyBorder="1" applyAlignment="1" applyProtection="1">
      <alignment horizontal="center" vertical="center" wrapText="1"/>
      <protection hidden="1"/>
    </xf>
    <xf numFmtId="3" fontId="6" fillId="8" borderId="8" xfId="0" applyNumberFormat="1" applyFont="1" applyFill="1" applyBorder="1" applyAlignment="1" applyProtection="1">
      <alignment horizontal="center" vertical="center" wrapText="1"/>
      <protection hidden="1"/>
    </xf>
    <xf numFmtId="3" fontId="6" fillId="8" borderId="0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43" xfId="0" applyFont="1" applyFill="1" applyBorder="1" applyAlignment="1" applyProtection="1">
      <alignment vertical="center" wrapText="1"/>
      <protection hidden="1"/>
    </xf>
    <xf numFmtId="0" fontId="2" fillId="0" borderId="44" xfId="0" applyFont="1" applyFill="1" applyBorder="1" applyAlignment="1" applyProtection="1">
      <alignment vertical="center" wrapText="1"/>
      <protection hidden="1"/>
    </xf>
    <xf numFmtId="0" fontId="2" fillId="0" borderId="45" xfId="0" applyFont="1" applyFill="1" applyBorder="1" applyAlignment="1" applyProtection="1">
      <alignment vertical="center" wrapText="1"/>
      <protection hidden="1"/>
    </xf>
    <xf numFmtId="0" fontId="6" fillId="8" borderId="71" xfId="0" applyFont="1" applyFill="1" applyBorder="1" applyAlignment="1" applyProtection="1">
      <alignment horizontal="center" vertical="center" wrapText="1"/>
      <protection hidden="1"/>
    </xf>
    <xf numFmtId="0" fontId="6" fillId="8" borderId="72" xfId="0" applyFont="1" applyFill="1" applyBorder="1" applyAlignment="1" applyProtection="1">
      <alignment horizontal="center" vertical="center" wrapText="1"/>
      <protection hidden="1"/>
    </xf>
    <xf numFmtId="0" fontId="6" fillId="8" borderId="73" xfId="0" applyFont="1" applyFill="1" applyBorder="1" applyAlignment="1" applyProtection="1">
      <alignment horizontal="center" vertical="center" wrapText="1"/>
      <protection hidden="1"/>
    </xf>
    <xf numFmtId="17" fontId="6" fillId="8" borderId="8" xfId="0" applyNumberFormat="1" applyFont="1" applyFill="1" applyBorder="1" applyAlignment="1" applyProtection="1">
      <alignment horizontal="center" vertical="center" wrapText="1"/>
      <protection hidden="1"/>
    </xf>
    <xf numFmtId="17" fontId="6" fillId="8" borderId="0" xfId="0" applyNumberFormat="1" applyFont="1" applyFill="1" applyBorder="1" applyAlignment="1" applyProtection="1">
      <alignment horizontal="center" vertical="center" wrapText="1"/>
      <protection hidden="1"/>
    </xf>
    <xf numFmtId="0" fontId="6" fillId="0" borderId="46" xfId="0" applyFont="1" applyFill="1" applyBorder="1" applyAlignment="1" applyProtection="1">
      <alignment horizontal="center" vertical="center" wrapText="1"/>
      <protection hidden="1"/>
    </xf>
    <xf numFmtId="0" fontId="6" fillId="0" borderId="2" xfId="0" applyFont="1" applyFill="1" applyBorder="1" applyAlignment="1" applyProtection="1">
      <alignment horizontal="center" vertical="center" wrapText="1"/>
      <protection hidden="1"/>
    </xf>
    <xf numFmtId="0" fontId="6" fillId="0" borderId="47" xfId="0" applyFont="1" applyFill="1" applyBorder="1" applyAlignment="1" applyProtection="1">
      <alignment horizontal="center" vertical="center" wrapText="1"/>
      <protection hidden="1"/>
    </xf>
    <xf numFmtId="0" fontId="15" fillId="0" borderId="43" xfId="0" applyFont="1" applyFill="1" applyBorder="1" applyAlignment="1" applyProtection="1">
      <alignment horizontal="center" vertical="center" wrapText="1"/>
      <protection hidden="1"/>
    </xf>
    <xf numFmtId="0" fontId="15" fillId="0" borderId="44" xfId="0" applyFont="1" applyFill="1" applyBorder="1" applyAlignment="1" applyProtection="1">
      <alignment horizontal="center" vertical="center" wrapText="1"/>
      <protection hidden="1"/>
    </xf>
    <xf numFmtId="0" fontId="12" fillId="0" borderId="18" xfId="0" applyFont="1" applyFill="1" applyBorder="1" applyAlignment="1" applyProtection="1">
      <alignment horizontal="center" vertical="center" wrapText="1"/>
      <protection hidden="1"/>
    </xf>
    <xf numFmtId="0" fontId="12" fillId="0" borderId="19" xfId="0" applyFont="1" applyFill="1" applyBorder="1" applyAlignment="1" applyProtection="1">
      <alignment horizontal="center" vertical="center" wrapText="1"/>
      <protection hidden="1"/>
    </xf>
    <xf numFmtId="0" fontId="12" fillId="0" borderId="21" xfId="0" applyFont="1" applyFill="1" applyBorder="1" applyAlignment="1" applyProtection="1">
      <alignment horizontal="center" vertical="center" wrapText="1"/>
      <protection hidden="1"/>
    </xf>
    <xf numFmtId="0" fontId="12" fillId="0" borderId="22" xfId="0" applyFont="1" applyFill="1" applyBorder="1" applyAlignment="1" applyProtection="1">
      <alignment horizontal="center" vertical="center" wrapText="1"/>
      <protection hidden="1"/>
    </xf>
    <xf numFmtId="0" fontId="12" fillId="0" borderId="27" xfId="0" applyFont="1" applyFill="1" applyBorder="1" applyAlignment="1" applyProtection="1">
      <alignment horizontal="center" vertical="center" wrapText="1"/>
      <protection hidden="1"/>
    </xf>
    <xf numFmtId="0" fontId="12" fillId="0" borderId="28" xfId="0" applyFont="1" applyFill="1" applyBorder="1" applyAlignment="1" applyProtection="1">
      <alignment horizontal="center" vertical="center" wrapText="1"/>
      <protection hidden="1"/>
    </xf>
    <xf numFmtId="0" fontId="12" fillId="0" borderId="5" xfId="0" applyFont="1" applyFill="1" applyBorder="1" applyAlignment="1" applyProtection="1">
      <alignment horizontal="center" vertical="center" wrapText="1"/>
      <protection hidden="1"/>
    </xf>
    <xf numFmtId="0" fontId="12" fillId="7" borderId="18" xfId="0" applyFont="1" applyFill="1" applyBorder="1" applyAlignment="1" applyProtection="1">
      <alignment horizontal="center" vertical="center" wrapText="1"/>
      <protection hidden="1"/>
    </xf>
    <xf numFmtId="0" fontId="12" fillId="7" borderId="21" xfId="0" applyFont="1" applyFill="1" applyBorder="1" applyAlignment="1" applyProtection="1">
      <alignment horizontal="center" vertical="center" wrapText="1"/>
      <protection hidden="1"/>
    </xf>
    <xf numFmtId="0" fontId="12" fillId="7" borderId="27" xfId="0" applyFont="1" applyFill="1" applyBorder="1" applyAlignment="1" applyProtection="1">
      <alignment horizontal="center" vertical="center" wrapText="1"/>
      <protection hidden="1"/>
    </xf>
    <xf numFmtId="0" fontId="12" fillId="6" borderId="18" xfId="0" applyFont="1" applyFill="1" applyBorder="1" applyAlignment="1" applyProtection="1">
      <alignment horizontal="center" vertical="center" wrapText="1"/>
      <protection hidden="1"/>
    </xf>
    <xf numFmtId="0" fontId="12" fillId="6" borderId="19" xfId="0" applyFont="1" applyFill="1" applyBorder="1" applyAlignment="1" applyProtection="1">
      <alignment horizontal="center" vertical="center" wrapText="1"/>
      <protection hidden="1"/>
    </xf>
    <xf numFmtId="0" fontId="12" fillId="6" borderId="21" xfId="0" applyFont="1" applyFill="1" applyBorder="1" applyAlignment="1" applyProtection="1">
      <alignment horizontal="center" vertical="center" wrapText="1"/>
      <protection hidden="1"/>
    </xf>
    <xf numFmtId="0" fontId="12" fillId="6" borderId="22" xfId="0" applyFont="1" applyFill="1" applyBorder="1" applyAlignment="1" applyProtection="1">
      <alignment horizontal="center" vertical="center" wrapText="1"/>
      <protection hidden="1"/>
    </xf>
    <xf numFmtId="0" fontId="12" fillId="6" borderId="27" xfId="0" applyFont="1" applyFill="1" applyBorder="1" applyAlignment="1" applyProtection="1">
      <alignment horizontal="center" vertical="center" wrapText="1"/>
      <protection hidden="1"/>
    </xf>
    <xf numFmtId="0" fontId="12" fillId="6" borderId="28" xfId="0" applyFont="1" applyFill="1" applyBorder="1" applyAlignment="1" applyProtection="1">
      <alignment horizontal="center" vertical="center" wrapText="1"/>
      <protection hidden="1"/>
    </xf>
    <xf numFmtId="0" fontId="4" fillId="0" borderId="2" xfId="0" applyFont="1" applyFill="1" applyBorder="1" applyAlignment="1" applyProtection="1">
      <alignment horizontal="center" vertical="center" wrapText="1"/>
      <protection hidden="1"/>
    </xf>
    <xf numFmtId="0" fontId="4" fillId="0" borderId="3" xfId="0" applyFont="1" applyFill="1" applyBorder="1" applyAlignment="1" applyProtection="1">
      <alignment horizontal="center" vertical="center" wrapText="1"/>
      <protection hidden="1"/>
    </xf>
    <xf numFmtId="17" fontId="4" fillId="0" borderId="2" xfId="0" applyNumberFormat="1" applyFont="1" applyFill="1" applyBorder="1" applyAlignment="1" applyProtection="1">
      <alignment horizontal="center" vertical="center" wrapText="1"/>
      <protection hidden="1"/>
    </xf>
    <xf numFmtId="17" fontId="4" fillId="0" borderId="3" xfId="0" applyNumberFormat="1" applyFont="1" applyFill="1" applyBorder="1" applyAlignment="1" applyProtection="1">
      <alignment horizontal="center" vertical="center" wrapText="1"/>
      <protection hidden="1"/>
    </xf>
    <xf numFmtId="0" fontId="6" fillId="4" borderId="4" xfId="0" applyFont="1" applyFill="1" applyBorder="1" applyAlignment="1" applyProtection="1">
      <alignment horizontal="center" vertical="center" wrapText="1"/>
      <protection hidden="1"/>
    </xf>
    <xf numFmtId="0" fontId="6" fillId="4" borderId="7" xfId="0" applyFont="1" applyFill="1" applyBorder="1" applyAlignment="1" applyProtection="1">
      <alignment horizontal="center" vertical="center" wrapText="1"/>
      <protection hidden="1"/>
    </xf>
    <xf numFmtId="0" fontId="8" fillId="5" borderId="18" xfId="0" applyFont="1" applyFill="1" applyBorder="1" applyAlignment="1" applyProtection="1">
      <alignment horizontal="center" vertical="center" wrapText="1"/>
      <protection hidden="1"/>
    </xf>
    <xf numFmtId="0" fontId="8" fillId="5" borderId="19" xfId="0" applyFont="1" applyFill="1" applyBorder="1" applyAlignment="1" applyProtection="1">
      <alignment horizontal="center" vertical="center" wrapText="1"/>
      <protection hidden="1"/>
    </xf>
    <xf numFmtId="0" fontId="8" fillId="5" borderId="21" xfId="0" applyFont="1" applyFill="1" applyBorder="1" applyAlignment="1" applyProtection="1">
      <alignment horizontal="center" vertical="center" wrapText="1"/>
      <protection hidden="1"/>
    </xf>
    <xf numFmtId="0" fontId="8" fillId="5" borderId="22" xfId="0" applyFont="1" applyFill="1" applyBorder="1" applyAlignment="1" applyProtection="1">
      <alignment horizontal="center" vertical="center" wrapText="1"/>
      <protection hidden="1"/>
    </xf>
    <xf numFmtId="0" fontId="8" fillId="5" borderId="27" xfId="0" applyFont="1" applyFill="1" applyBorder="1" applyAlignment="1" applyProtection="1">
      <alignment horizontal="center" vertical="center" wrapText="1"/>
      <protection hidden="1"/>
    </xf>
    <xf numFmtId="0" fontId="8" fillId="5" borderId="28" xfId="0" applyFont="1" applyFill="1" applyBorder="1" applyAlignment="1" applyProtection="1">
      <alignment horizontal="center" vertical="center" wrapText="1"/>
      <protection hidden="1"/>
    </xf>
    <xf numFmtId="0" fontId="12" fillId="7" borderId="19" xfId="0" applyFont="1" applyFill="1" applyBorder="1" applyAlignment="1" applyProtection="1">
      <alignment horizontal="center" vertical="center" wrapText="1"/>
      <protection hidden="1"/>
    </xf>
    <xf numFmtId="0" fontId="12" fillId="7" borderId="22" xfId="0" applyFont="1" applyFill="1" applyBorder="1" applyAlignment="1" applyProtection="1">
      <alignment horizontal="center" vertical="center" wrapText="1"/>
      <protection hidden="1"/>
    </xf>
    <xf numFmtId="0" fontId="12" fillId="7" borderId="28" xfId="0" applyFont="1" applyFill="1" applyBorder="1" applyAlignment="1" applyProtection="1">
      <alignment horizontal="center" vertical="center" wrapText="1"/>
      <protection hidden="1"/>
    </xf>
    <xf numFmtId="0" fontId="12" fillId="6" borderId="32" xfId="0" applyFont="1" applyFill="1" applyBorder="1" applyAlignment="1" applyProtection="1">
      <alignment horizontal="center" vertical="center" wrapText="1"/>
      <protection hidden="1"/>
    </xf>
    <xf numFmtId="0" fontId="12" fillId="6" borderId="33" xfId="0" applyFont="1" applyFill="1" applyBorder="1" applyAlignment="1" applyProtection="1">
      <alignment horizontal="center" vertical="center" wrapText="1"/>
      <protection hidden="1"/>
    </xf>
    <xf numFmtId="0" fontId="2" fillId="0" borderId="38" xfId="0" applyFont="1" applyFill="1" applyBorder="1" applyAlignment="1" applyProtection="1">
      <alignment horizontal="center" vertical="center" wrapText="1"/>
      <protection hidden="1"/>
    </xf>
    <xf numFmtId="0" fontId="2" fillId="0" borderId="39" xfId="0" applyFont="1" applyFill="1" applyBorder="1" applyAlignment="1" applyProtection="1">
      <alignment horizontal="center" vertical="center" wrapText="1"/>
      <protection hidden="1"/>
    </xf>
    <xf numFmtId="0" fontId="2" fillId="0" borderId="40" xfId="0" applyFont="1" applyFill="1" applyBorder="1" applyAlignment="1" applyProtection="1">
      <alignment horizontal="center" vertical="center" wrapText="1"/>
      <protection hidden="1"/>
    </xf>
    <xf numFmtId="0" fontId="3" fillId="2" borderId="3" xfId="0" applyFont="1" applyFill="1" applyBorder="1" applyAlignment="1" applyProtection="1">
      <alignment horizontal="center" vertical="center" wrapText="1"/>
      <protection hidden="1"/>
    </xf>
    <xf numFmtId="0" fontId="12" fillId="0" borderId="37" xfId="0" applyFont="1" applyFill="1" applyBorder="1" applyAlignment="1" applyProtection="1">
      <alignment horizontal="center" vertical="center" wrapText="1"/>
      <protection hidden="1"/>
    </xf>
    <xf numFmtId="0" fontId="8" fillId="5" borderId="14" xfId="0" applyFont="1" applyFill="1" applyBorder="1" applyAlignment="1" applyProtection="1">
      <alignment horizontal="center" vertical="center" wrapText="1"/>
      <protection hidden="1"/>
    </xf>
    <xf numFmtId="0" fontId="8" fillId="5" borderId="15" xfId="0" applyFont="1" applyFill="1" applyBorder="1" applyAlignment="1" applyProtection="1">
      <alignment horizontal="center" vertical="center" wrapText="1"/>
      <protection hidden="1"/>
    </xf>
    <xf numFmtId="0" fontId="8" fillId="5" borderId="25" xfId="0" applyFont="1" applyFill="1" applyBorder="1" applyAlignment="1" applyProtection="1">
      <alignment horizontal="center" vertical="center" wrapText="1"/>
      <protection hidden="1"/>
    </xf>
    <xf numFmtId="0" fontId="8" fillId="5" borderId="26" xfId="0" applyFont="1" applyFill="1" applyBorder="1" applyAlignment="1" applyProtection="1">
      <alignment horizontal="center" vertical="center" wrapText="1"/>
      <protection hidden="1"/>
    </xf>
  </cellXfs>
  <cellStyles count="3">
    <cellStyle name="Normal" xfId="0" builtinId="0"/>
    <cellStyle name="Normal 2" xfId="2"/>
    <cellStyle name="Porcentaje" xfId="1" builtinId="5"/>
  </cellStyles>
  <dxfs count="288"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0" tint="-4.9989318521683403E-2"/>
      </font>
      <fill>
        <patternFill>
          <bgColor theme="4" tint="-0.2499465926084170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0" tint="-4.9989318521683403E-2"/>
      </font>
      <fill>
        <patternFill>
          <bgColor theme="4" tint="-0.2499465926084170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0" tint="-4.9989318521683403E-2"/>
      </font>
      <fill>
        <patternFill>
          <bgColor theme="4" tint="-0.2499465926084170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0" tint="-4.9989318521683403E-2"/>
      </font>
      <fill>
        <patternFill>
          <bgColor theme="4" tint="-0.2499465926084170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0" tint="-4.9989318521683403E-2"/>
      </font>
      <fill>
        <patternFill>
          <bgColor theme="4" tint="-0.2499465926084170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0" tint="-4.9989318521683403E-2"/>
      </font>
      <fill>
        <patternFill>
          <bgColor theme="4" tint="-0.2499465926084170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0" tint="-4.9989318521683403E-2"/>
      </font>
      <fill>
        <patternFill>
          <bgColor theme="4" tint="-0.2499465926084170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0" tint="-4.9989318521683403E-2"/>
      </font>
      <fill>
        <patternFill>
          <bgColor theme="4" tint="-0.2499465926084170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0" tint="-4.9989318521683403E-2"/>
      </font>
      <fill>
        <patternFill>
          <bgColor theme="4" tint="-0.2499465926084170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0" tint="-4.9989318521683403E-2"/>
      </font>
      <fill>
        <patternFill>
          <bgColor theme="4" tint="-0.2499465926084170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0" tint="-4.9989318521683403E-2"/>
      </font>
      <fill>
        <patternFill>
          <bgColor theme="4" tint="-0.2499465926084170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0" tint="-4.9989318521683403E-2"/>
      </font>
      <fill>
        <patternFill>
          <bgColor theme="4" tint="-0.2499465926084170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180976</xdr:colOff>
      <xdr:row>0</xdr:row>
      <xdr:rowOff>0</xdr:rowOff>
    </xdr:from>
    <xdr:to>
      <xdr:col>2</xdr:col>
      <xdr:colOff>1190625</xdr:colOff>
      <xdr:row>1</xdr:row>
      <xdr:rowOff>16754</xdr:rowOff>
    </xdr:to>
    <xdr:pic>
      <xdr:nvPicPr>
        <xdr:cNvPr id="2" name="7 Imagen">
          <a:extLst>
            <a:ext uri="{FF2B5EF4-FFF2-40B4-BE49-F238E27FC236}">
              <a16:creationId xmlns:a16="http://schemas.microsoft.com/office/drawing/2014/main" id="{EC6ADE35-4F9F-4880-BE5F-129C0FFF53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1476" y="0"/>
          <a:ext cx="1200149" cy="654929"/>
        </a:xfrm>
        <a:prstGeom prst="rect">
          <a:avLst/>
        </a:prstGeom>
      </xdr:spPr>
    </xdr:pic>
    <xdr:clientData/>
  </xdr:twoCellAnchor>
  <xdr:twoCellAnchor editAs="oneCell">
    <xdr:from>
      <xdr:col>1</xdr:col>
      <xdr:colOff>180975</xdr:colOff>
      <xdr:row>60</xdr:row>
      <xdr:rowOff>0</xdr:rowOff>
    </xdr:from>
    <xdr:to>
      <xdr:col>2</xdr:col>
      <xdr:colOff>1190624</xdr:colOff>
      <xdr:row>61</xdr:row>
      <xdr:rowOff>16754</xdr:rowOff>
    </xdr:to>
    <xdr:pic>
      <xdr:nvPicPr>
        <xdr:cNvPr id="3" name="2294 Imagen">
          <a:extLst>
            <a:ext uri="{FF2B5EF4-FFF2-40B4-BE49-F238E27FC236}">
              <a16:creationId xmlns:a16="http://schemas.microsoft.com/office/drawing/2014/main" id="{0C1EB151-0622-42D4-9EF5-3AF4911E0B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1475" y="16602075"/>
          <a:ext cx="1200149" cy="654929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116</xdr:row>
      <xdr:rowOff>0</xdr:rowOff>
    </xdr:from>
    <xdr:to>
      <xdr:col>2</xdr:col>
      <xdr:colOff>1200149</xdr:colOff>
      <xdr:row>117</xdr:row>
      <xdr:rowOff>16753</xdr:rowOff>
    </xdr:to>
    <xdr:pic>
      <xdr:nvPicPr>
        <xdr:cNvPr id="4" name="2296 Imagen">
          <a:extLst>
            <a:ext uri="{FF2B5EF4-FFF2-40B4-BE49-F238E27FC236}">
              <a16:creationId xmlns:a16="http://schemas.microsoft.com/office/drawing/2014/main" id="{F9F13BFA-4BDE-45AE-BC76-DCE262D087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0" y="33766125"/>
          <a:ext cx="1200149" cy="654928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241</xdr:row>
      <xdr:rowOff>0</xdr:rowOff>
    </xdr:from>
    <xdr:to>
      <xdr:col>2</xdr:col>
      <xdr:colOff>1200149</xdr:colOff>
      <xdr:row>242</xdr:row>
      <xdr:rowOff>16753</xdr:rowOff>
    </xdr:to>
    <xdr:pic>
      <xdr:nvPicPr>
        <xdr:cNvPr id="5" name="2297 Imagen">
          <a:extLst>
            <a:ext uri="{FF2B5EF4-FFF2-40B4-BE49-F238E27FC236}">
              <a16:creationId xmlns:a16="http://schemas.microsoft.com/office/drawing/2014/main" id="{06C972F3-1ED3-4A4E-A071-88672EC033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0" y="54435375"/>
          <a:ext cx="1200149" cy="654928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1200149</xdr:colOff>
      <xdr:row>295</xdr:row>
      <xdr:rowOff>16755</xdr:rowOff>
    </xdr:to>
    <xdr:pic>
      <xdr:nvPicPr>
        <xdr:cNvPr id="6" name="2298 Imagen">
          <a:extLst>
            <a:ext uri="{FF2B5EF4-FFF2-40B4-BE49-F238E27FC236}">
              <a16:creationId xmlns:a16="http://schemas.microsoft.com/office/drawing/2014/main" id="{C29642D9-3765-4361-BB36-6BC4B23B7C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0" y="72628125"/>
          <a:ext cx="1200149" cy="654930"/>
        </a:xfrm>
        <a:prstGeom prst="rect">
          <a:avLst/>
        </a:prstGeom>
      </xdr:spPr>
    </xdr:pic>
    <xdr:clientData/>
  </xdr:twoCellAnchor>
  <xdr:twoCellAnchor editAs="oneCell">
    <xdr:from>
      <xdr:col>4</xdr:col>
      <xdr:colOff>723900</xdr:colOff>
      <xdr:row>317</xdr:row>
      <xdr:rowOff>47625</xdr:rowOff>
    </xdr:from>
    <xdr:to>
      <xdr:col>9</xdr:col>
      <xdr:colOff>390525</xdr:colOff>
      <xdr:row>318</xdr:row>
      <xdr:rowOff>314325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EEDE48E7-4912-4B4A-A84D-07F2A759D55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81400" y="81210150"/>
          <a:ext cx="5076825" cy="4381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ites/INVESTIGACION/Documentos%20compartidos/General/BOLETIN%20ESTAD&#205;STICO%20SPET/INDICADORES%20TURISTICOS%20DE%20TENERIFE/Indicadores%20Tur&#237;sticos%20Plantilla%20(bbdd%20sql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UALIZACIÓN"/>
      <sheetName val="Ind turísticos (vinculo)"/>
      <sheetName val="TTDD DATOS"/>
      <sheetName val="gasto"/>
      <sheetName val="Hoja1"/>
      <sheetName val="Hoja2"/>
      <sheetName val="plazas autorizadas"/>
      <sheetName val="cruceros"/>
      <sheetName val="Ind turísticos invierno"/>
      <sheetName val="TTDD invierno"/>
      <sheetName val="Ind turísticos verano"/>
      <sheetName val="TTDD verano"/>
      <sheetName val="TTDD DATOS (2)"/>
      <sheetName val="para grafico de cam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B1" t="e">
            <v>#REF!</v>
          </cell>
          <cell r="C1" t="e">
            <v>#REF!</v>
          </cell>
          <cell r="D1" t="e">
            <v>#REF!</v>
          </cell>
          <cell r="E1" t="e">
            <v>#REF!</v>
          </cell>
          <cell r="F1" t="e">
            <v>#REF!</v>
          </cell>
          <cell r="G1" t="e">
            <v>#REF!</v>
          </cell>
          <cell r="H1" t="e">
            <v>#REF!</v>
          </cell>
          <cell r="I1" t="e">
            <v>#REF!</v>
          </cell>
          <cell r="J1" t="e">
            <v>#REF!</v>
          </cell>
          <cell r="K1" t="e">
            <v>#REF!</v>
          </cell>
        </row>
        <row r="2">
          <cell r="B2" t="e">
            <v>#REF!</v>
          </cell>
          <cell r="C2" t="e">
            <v>#REF!</v>
          </cell>
          <cell r="D2" t="e">
            <v>#REF!</v>
          </cell>
          <cell r="E2" t="e">
            <v>#REF!</v>
          </cell>
          <cell r="F2" t="e">
            <v>#REF!</v>
          </cell>
          <cell r="G2" t="e">
            <v>#REF!</v>
          </cell>
          <cell r="H2" t="e">
            <v>#REF!</v>
          </cell>
          <cell r="I2" t="e">
            <v>#REF!</v>
          </cell>
          <cell r="J2" t="e">
            <v>#REF!</v>
          </cell>
          <cell r="K2" t="e">
            <v>#REF!</v>
          </cell>
        </row>
        <row r="3">
          <cell r="B3" t="e">
            <v>#REF!</v>
          </cell>
          <cell r="C3" t="e">
            <v>#REF!</v>
          </cell>
          <cell r="D3" t="e">
            <v>#REF!</v>
          </cell>
          <cell r="E3" t="e">
            <v>#REF!</v>
          </cell>
          <cell r="F3" t="e">
            <v>#REF!</v>
          </cell>
          <cell r="G3" t="e">
            <v>#REF!</v>
          </cell>
          <cell r="H3" t="e">
            <v>#REF!</v>
          </cell>
          <cell r="I3" t="e">
            <v>#REF!</v>
          </cell>
          <cell r="J3" t="e">
            <v>#REF!</v>
          </cell>
          <cell r="K3" t="e">
            <v>#REF!</v>
          </cell>
        </row>
        <row r="4">
          <cell r="B4" t="e">
            <v>#REF!</v>
          </cell>
          <cell r="C4" t="e">
            <v>#REF!</v>
          </cell>
          <cell r="D4" t="e">
            <v>#REF!</v>
          </cell>
          <cell r="E4" t="e">
            <v>#REF!</v>
          </cell>
          <cell r="F4" t="e">
            <v>#REF!</v>
          </cell>
          <cell r="G4" t="e">
            <v>#REF!</v>
          </cell>
          <cell r="H4" t="e">
            <v>#REF!</v>
          </cell>
          <cell r="I4" t="e">
            <v>#REF!</v>
          </cell>
          <cell r="J4" t="e">
            <v>#REF!</v>
          </cell>
          <cell r="K4" t="e">
            <v>#REF!</v>
          </cell>
        </row>
        <row r="5">
          <cell r="B5" t="e">
            <v>#REF!</v>
          </cell>
          <cell r="C5" t="e">
            <v>#REF!</v>
          </cell>
          <cell r="D5" t="e">
            <v>#REF!</v>
          </cell>
          <cell r="E5" t="e">
            <v>#REF!</v>
          </cell>
          <cell r="F5" t="e">
            <v>#REF!</v>
          </cell>
          <cell r="G5" t="e">
            <v>#REF!</v>
          </cell>
          <cell r="H5" t="e">
            <v>#REF!</v>
          </cell>
          <cell r="I5" t="e">
            <v>#REF!</v>
          </cell>
          <cell r="J5" t="e">
            <v>#REF!</v>
          </cell>
          <cell r="K5" t="e">
            <v>#REF!</v>
          </cell>
        </row>
        <row r="6">
          <cell r="B6" t="e">
            <v>#REF!</v>
          </cell>
          <cell r="C6" t="e">
            <v>#REF!</v>
          </cell>
          <cell r="D6" t="e">
            <v>#REF!</v>
          </cell>
          <cell r="E6" t="e">
            <v>#REF!</v>
          </cell>
          <cell r="F6" t="e">
            <v>#REF!</v>
          </cell>
          <cell r="G6" t="e">
            <v>#REF!</v>
          </cell>
          <cell r="H6" t="e">
            <v>#REF!</v>
          </cell>
          <cell r="I6" t="e">
            <v>#REF!</v>
          </cell>
          <cell r="J6" t="e">
            <v>#REF!</v>
          </cell>
          <cell r="K6" t="e">
            <v>#REF!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codeName="Hoja2">
    <tabColor theme="5" tint="0.39997558519241921"/>
  </sheetPr>
  <dimension ref="B1:T333"/>
  <sheetViews>
    <sheetView showGridLines="0" tabSelected="1" showRuler="0" zoomScaleNormal="100" workbookViewId="0">
      <selection activeCell="E1" sqref="E1:K1"/>
    </sheetView>
  </sheetViews>
  <sheetFormatPr baseColWidth="10" defaultRowHeight="12.75" x14ac:dyDescent="0.2"/>
  <cols>
    <col min="1" max="1" width="2.85546875" style="3" customWidth="1"/>
    <col min="2" max="2" width="2.85546875" style="1" customWidth="1"/>
    <col min="3" max="3" width="20.7109375" style="1" customWidth="1"/>
    <col min="4" max="4" width="16.42578125" style="3" customWidth="1"/>
    <col min="5" max="5" width="16.140625" style="3" customWidth="1"/>
    <col min="6" max="6" width="16" style="3" customWidth="1"/>
    <col min="7" max="7" width="16.7109375" style="3" customWidth="1"/>
    <col min="8" max="9" width="16.140625" style="3" customWidth="1"/>
    <col min="10" max="10" width="16.7109375" style="3" customWidth="1"/>
    <col min="11" max="11" width="16.140625" style="3" customWidth="1"/>
    <col min="12" max="13" width="15.7109375" style="3" customWidth="1"/>
    <col min="14" max="14" width="12.140625" style="3" bestFit="1" customWidth="1"/>
    <col min="15" max="17" width="8.85546875" style="3" customWidth="1"/>
    <col min="18" max="18" width="23.28515625" style="3" customWidth="1"/>
    <col min="19" max="19" width="2.7109375" style="3" customWidth="1"/>
    <col min="20" max="20" width="23.28515625" style="3" customWidth="1"/>
    <col min="21" max="21" width="2.7109375" style="3" customWidth="1"/>
    <col min="22" max="22" width="23.28515625" style="3" customWidth="1"/>
    <col min="23" max="16384" width="11.42578125" style="3"/>
  </cols>
  <sheetData>
    <row r="1" spans="2:13" ht="50.25" customHeight="1" thickBot="1" x14ac:dyDescent="0.25">
      <c r="C1" s="2"/>
      <c r="D1" s="2"/>
      <c r="E1" s="280" t="s">
        <v>92</v>
      </c>
      <c r="F1" s="280"/>
      <c r="G1" s="280"/>
      <c r="H1" s="280"/>
      <c r="I1" s="280"/>
      <c r="J1" s="280"/>
      <c r="K1" s="280"/>
      <c r="L1" s="2"/>
      <c r="M1" s="2"/>
    </row>
    <row r="2" spans="2:13" ht="15" customHeight="1" x14ac:dyDescent="0.2">
      <c r="B2" s="4"/>
      <c r="C2" s="364" t="s">
        <v>93</v>
      </c>
      <c r="D2" s="364"/>
      <c r="E2" s="364"/>
      <c r="F2" s="364"/>
      <c r="G2" s="364"/>
      <c r="H2" s="5"/>
      <c r="I2" s="366" t="s">
        <v>113</v>
      </c>
      <c r="J2" s="366"/>
      <c r="K2" s="366"/>
      <c r="L2" s="366"/>
      <c r="M2" s="366"/>
    </row>
    <row r="3" spans="2:13" ht="16.5" customHeight="1" thickBot="1" x14ac:dyDescent="0.25">
      <c r="B3" s="4"/>
      <c r="C3" s="365"/>
      <c r="D3" s="365"/>
      <c r="E3" s="365"/>
      <c r="F3" s="365"/>
      <c r="G3" s="365"/>
      <c r="H3" s="6"/>
      <c r="I3" s="367"/>
      <c r="J3" s="367"/>
      <c r="K3" s="367"/>
      <c r="L3" s="367"/>
      <c r="M3" s="367"/>
    </row>
    <row r="4" spans="2:13" ht="5.25" customHeight="1" x14ac:dyDescent="0.2">
      <c r="B4" s="4"/>
      <c r="C4" s="7"/>
      <c r="D4" s="4"/>
      <c r="E4" s="8"/>
      <c r="F4" s="8"/>
      <c r="G4" s="9"/>
      <c r="H4" s="10"/>
      <c r="I4" s="11"/>
      <c r="J4" s="8"/>
      <c r="K4" s="12"/>
      <c r="L4" s="13"/>
      <c r="M4" s="14"/>
    </row>
    <row r="5" spans="2:13" ht="81.75" customHeight="1" x14ac:dyDescent="0.2">
      <c r="C5" s="368" t="s">
        <v>0</v>
      </c>
      <c r="D5" s="369"/>
      <c r="E5" s="15" t="s">
        <v>1</v>
      </c>
      <c r="F5" s="15" t="s">
        <v>2</v>
      </c>
      <c r="G5" s="16" t="s">
        <v>3</v>
      </c>
      <c r="H5" s="17"/>
      <c r="I5" s="18" t="s">
        <v>0</v>
      </c>
      <c r="J5" s="15" t="s">
        <v>1</v>
      </c>
      <c r="K5" s="15" t="s">
        <v>4</v>
      </c>
      <c r="L5" s="15" t="s">
        <v>3</v>
      </c>
      <c r="M5" s="16" t="s">
        <v>5</v>
      </c>
    </row>
    <row r="6" spans="2:13" s="4" customFormat="1" ht="5.25" customHeight="1" thickBot="1" x14ac:dyDescent="0.25"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</row>
    <row r="7" spans="2:13" ht="18.75" thickBot="1" x14ac:dyDescent="0.25">
      <c r="C7" s="256" t="s">
        <v>6</v>
      </c>
      <c r="D7" s="257"/>
      <c r="E7" s="257"/>
      <c r="F7" s="257"/>
      <c r="G7" s="257"/>
      <c r="H7" s="257"/>
      <c r="I7" s="257"/>
      <c r="J7" s="257"/>
      <c r="K7" s="257"/>
      <c r="L7" s="257"/>
      <c r="M7" s="258"/>
    </row>
    <row r="8" spans="2:13" ht="5.25" customHeight="1" thickBot="1" x14ac:dyDescent="0.25">
      <c r="C8" s="20"/>
      <c r="D8" s="20"/>
      <c r="E8" s="20"/>
      <c r="F8" s="20"/>
      <c r="G8" s="20"/>
      <c r="H8" s="20"/>
      <c r="I8" s="20"/>
      <c r="J8" s="20"/>
      <c r="K8" s="20"/>
      <c r="L8" s="20"/>
      <c r="M8" s="21"/>
    </row>
    <row r="9" spans="2:13" ht="24.75" customHeight="1" x14ac:dyDescent="0.2">
      <c r="C9" s="386" t="s">
        <v>7</v>
      </c>
      <c r="D9" s="387"/>
      <c r="E9" s="22" t="s">
        <v>8</v>
      </c>
      <c r="F9" s="23">
        <v>463424</v>
      </c>
      <c r="G9" s="24">
        <v>-8.6287530462077155E-2</v>
      </c>
      <c r="H9" s="25"/>
      <c r="I9" s="370" t="s">
        <v>7</v>
      </c>
      <c r="J9" s="26" t="s">
        <v>8</v>
      </c>
      <c r="K9" s="27">
        <v>1823459</v>
      </c>
      <c r="L9" s="28">
        <v>-5.2512567611431304E-3</v>
      </c>
      <c r="M9" s="354" t="s">
        <v>9</v>
      </c>
    </row>
    <row r="10" spans="2:13" ht="24.75" customHeight="1" x14ac:dyDescent="0.2">
      <c r="C10" s="372"/>
      <c r="D10" s="373"/>
      <c r="E10" s="29" t="s">
        <v>10</v>
      </c>
      <c r="F10" s="30">
        <v>313774</v>
      </c>
      <c r="G10" s="31">
        <v>-9.1363473144061791E-2</v>
      </c>
      <c r="H10" s="32"/>
      <c r="I10" s="372"/>
      <c r="J10" s="29" t="s">
        <v>10</v>
      </c>
      <c r="K10" s="30">
        <v>1231579</v>
      </c>
      <c r="L10" s="33">
        <v>-2.0507967058093657E-2</v>
      </c>
      <c r="M10" s="354"/>
    </row>
    <row r="11" spans="2:13" ht="24.75" customHeight="1" thickBot="1" x14ac:dyDescent="0.25">
      <c r="C11" s="388"/>
      <c r="D11" s="389"/>
      <c r="E11" s="34" t="s">
        <v>11</v>
      </c>
      <c r="F11" s="23">
        <v>149650</v>
      </c>
      <c r="G11" s="24">
        <v>-7.5458409528987302E-2</v>
      </c>
      <c r="H11" s="32"/>
      <c r="I11" s="374"/>
      <c r="J11" s="35" t="s">
        <v>11</v>
      </c>
      <c r="K11" s="36">
        <v>591880</v>
      </c>
      <c r="L11" s="37">
        <v>2.8069200305704145E-2</v>
      </c>
      <c r="M11" s="354"/>
    </row>
    <row r="12" spans="2:13" ht="24.75" hidden="1" customHeight="1" x14ac:dyDescent="0.2">
      <c r="C12" s="348" t="s">
        <v>12</v>
      </c>
      <c r="D12" s="349"/>
      <c r="E12" s="38" t="s">
        <v>8</v>
      </c>
      <c r="F12" s="39">
        <v>18690</v>
      </c>
      <c r="G12" s="40">
        <v>-3.0802738021157405E-2</v>
      </c>
      <c r="H12" s="41"/>
      <c r="I12" s="348" t="s">
        <v>12</v>
      </c>
      <c r="J12" s="38" t="s">
        <v>8</v>
      </c>
      <c r="K12" s="39">
        <v>81630</v>
      </c>
      <c r="L12" s="28">
        <v>-4.1822684962379508E-2</v>
      </c>
      <c r="M12" s="354"/>
    </row>
    <row r="13" spans="2:13" ht="46.5" customHeight="1" thickBot="1" x14ac:dyDescent="0.25">
      <c r="C13" s="350"/>
      <c r="D13" s="351"/>
      <c r="E13" s="42" t="s">
        <v>10</v>
      </c>
      <c r="F13" s="43">
        <v>18690</v>
      </c>
      <c r="G13" s="31">
        <v>-3.0802738021157405E-2</v>
      </c>
      <c r="H13" s="41"/>
      <c r="I13" s="350"/>
      <c r="J13" s="42" t="s">
        <v>10</v>
      </c>
      <c r="K13" s="43">
        <v>81630</v>
      </c>
      <c r="L13" s="33">
        <v>-4.1822684962379508E-2</v>
      </c>
      <c r="M13" s="354"/>
    </row>
    <row r="14" spans="2:13" ht="24.75" hidden="1" customHeight="1" x14ac:dyDescent="0.2">
      <c r="C14" s="352"/>
      <c r="D14" s="353"/>
      <c r="E14" s="44" t="s">
        <v>11</v>
      </c>
      <c r="F14" s="45">
        <v>0</v>
      </c>
      <c r="G14" s="46" t="s">
        <v>38</v>
      </c>
      <c r="H14" s="41"/>
      <c r="I14" s="352"/>
      <c r="J14" s="44" t="s">
        <v>11</v>
      </c>
      <c r="K14" s="45">
        <v>0</v>
      </c>
      <c r="L14" s="37" t="s">
        <v>38</v>
      </c>
      <c r="M14" s="354"/>
    </row>
    <row r="15" spans="2:13" ht="24.75" customHeight="1" x14ac:dyDescent="0.2">
      <c r="C15" s="355" t="s">
        <v>13</v>
      </c>
      <c r="D15" s="376"/>
      <c r="E15" s="47" t="s">
        <v>8</v>
      </c>
      <c r="F15" s="48">
        <v>5737</v>
      </c>
      <c r="G15" s="40">
        <v>0.44910330891639294</v>
      </c>
      <c r="H15" s="41"/>
      <c r="I15" s="355" t="s">
        <v>13</v>
      </c>
      <c r="J15" s="47" t="s">
        <v>8</v>
      </c>
      <c r="K15" s="48">
        <v>23888</v>
      </c>
      <c r="L15" s="28">
        <v>0.45366031765350212</v>
      </c>
      <c r="M15" s="354"/>
    </row>
    <row r="16" spans="2:13" ht="24.75" customHeight="1" x14ac:dyDescent="0.2">
      <c r="C16" s="356"/>
      <c r="D16" s="377"/>
      <c r="E16" s="49" t="s">
        <v>10</v>
      </c>
      <c r="F16" s="50">
        <v>4306</v>
      </c>
      <c r="G16" s="31">
        <v>0.50087138375740681</v>
      </c>
      <c r="H16" s="41"/>
      <c r="I16" s="356"/>
      <c r="J16" s="49" t="s">
        <v>10</v>
      </c>
      <c r="K16" s="50">
        <v>18816</v>
      </c>
      <c r="L16" s="33">
        <v>0.54876944604494193</v>
      </c>
      <c r="M16" s="354"/>
    </row>
    <row r="17" spans="3:13" ht="24.75" customHeight="1" thickBot="1" x14ac:dyDescent="0.25">
      <c r="C17" s="357"/>
      <c r="D17" s="378"/>
      <c r="E17" s="51" t="s">
        <v>11</v>
      </c>
      <c r="F17" s="52">
        <v>1431</v>
      </c>
      <c r="G17" s="46">
        <v>0.31284403669724781</v>
      </c>
      <c r="H17" s="41"/>
      <c r="I17" s="357"/>
      <c r="J17" s="51" t="s">
        <v>11</v>
      </c>
      <c r="K17" s="52">
        <v>5072</v>
      </c>
      <c r="L17" s="37">
        <v>0.18394024276377219</v>
      </c>
      <c r="M17" s="354"/>
    </row>
    <row r="18" spans="3:13" ht="24.75" customHeight="1" x14ac:dyDescent="0.2">
      <c r="C18" s="348" t="s">
        <v>14</v>
      </c>
      <c r="D18" s="349"/>
      <c r="E18" s="38" t="s">
        <v>8</v>
      </c>
      <c r="F18" s="39">
        <v>89222</v>
      </c>
      <c r="G18" s="40">
        <v>-3.499967552834804E-2</v>
      </c>
      <c r="H18" s="41"/>
      <c r="I18" s="348" t="s">
        <v>14</v>
      </c>
      <c r="J18" s="38" t="s">
        <v>8</v>
      </c>
      <c r="K18" s="39">
        <v>333366</v>
      </c>
      <c r="L18" s="28">
        <v>4.5077891945641824E-3</v>
      </c>
      <c r="M18" s="354"/>
    </row>
    <row r="19" spans="3:13" ht="24.75" customHeight="1" x14ac:dyDescent="0.2">
      <c r="C19" s="350"/>
      <c r="D19" s="351"/>
      <c r="E19" s="42" t="s">
        <v>10</v>
      </c>
      <c r="F19" s="43">
        <v>64832</v>
      </c>
      <c r="G19" s="31">
        <v>-5.6206600381407124E-2</v>
      </c>
      <c r="H19" s="41"/>
      <c r="I19" s="350"/>
      <c r="J19" s="42" t="s">
        <v>10</v>
      </c>
      <c r="K19" s="43">
        <v>245299</v>
      </c>
      <c r="L19" s="33">
        <v>-2.0050495769381338E-2</v>
      </c>
      <c r="M19" s="354"/>
    </row>
    <row r="20" spans="3:13" ht="24.75" customHeight="1" thickBot="1" x14ac:dyDescent="0.25">
      <c r="C20" s="352"/>
      <c r="D20" s="353"/>
      <c r="E20" s="44" t="s">
        <v>11</v>
      </c>
      <c r="F20" s="45">
        <v>24390</v>
      </c>
      <c r="G20" s="46">
        <v>2.6299179465600675E-2</v>
      </c>
      <c r="H20" s="41"/>
      <c r="I20" s="352"/>
      <c r="J20" s="44" t="s">
        <v>11</v>
      </c>
      <c r="K20" s="45">
        <v>88067</v>
      </c>
      <c r="L20" s="37">
        <v>7.9887679026878544E-2</v>
      </c>
      <c r="M20" s="354"/>
    </row>
    <row r="21" spans="3:13" ht="24.75" customHeight="1" x14ac:dyDescent="0.2">
      <c r="C21" s="358" t="s">
        <v>15</v>
      </c>
      <c r="D21" s="359"/>
      <c r="E21" s="53" t="s">
        <v>8</v>
      </c>
      <c r="F21" s="54">
        <v>349775</v>
      </c>
      <c r="G21" s="40">
        <v>-0.10654759928171309</v>
      </c>
      <c r="H21" s="41"/>
      <c r="I21" s="358" t="s">
        <v>15</v>
      </c>
      <c r="J21" s="53" t="s">
        <v>8</v>
      </c>
      <c r="K21" s="54">
        <v>1384575</v>
      </c>
      <c r="L21" s="28">
        <v>-1.0727434982698458E-2</v>
      </c>
      <c r="M21" s="354"/>
    </row>
    <row r="22" spans="3:13" ht="24.75" customHeight="1" x14ac:dyDescent="0.2">
      <c r="C22" s="360"/>
      <c r="D22" s="361"/>
      <c r="E22" s="55" t="s">
        <v>10</v>
      </c>
      <c r="F22" s="56">
        <v>225946</v>
      </c>
      <c r="G22" s="31">
        <v>-0.1121197117236068</v>
      </c>
      <c r="H22" s="41"/>
      <c r="I22" s="360"/>
      <c r="J22" s="55" t="s">
        <v>10</v>
      </c>
      <c r="K22" s="56">
        <v>885834</v>
      </c>
      <c r="L22" s="33">
        <v>-2.6240374626939511E-2</v>
      </c>
      <c r="M22" s="354"/>
    </row>
    <row r="23" spans="3:13" ht="24.75" customHeight="1" thickBot="1" x14ac:dyDescent="0.25">
      <c r="C23" s="362"/>
      <c r="D23" s="363"/>
      <c r="E23" s="57" t="s">
        <v>11</v>
      </c>
      <c r="F23" s="58">
        <v>123829</v>
      </c>
      <c r="G23" s="46">
        <v>-9.6198059981461026E-2</v>
      </c>
      <c r="H23" s="41"/>
      <c r="I23" s="362"/>
      <c r="J23" s="57" t="s">
        <v>11</v>
      </c>
      <c r="K23" s="58">
        <v>498741</v>
      </c>
      <c r="L23" s="37">
        <v>1.80797903177079E-2</v>
      </c>
      <c r="M23" s="354"/>
    </row>
    <row r="24" spans="3:13" ht="5.25" customHeight="1" thickBot="1" x14ac:dyDescent="0.25">
      <c r="C24" s="59"/>
      <c r="D24" s="59"/>
      <c r="E24" s="59"/>
      <c r="F24" s="59"/>
      <c r="G24" s="59"/>
      <c r="H24" s="59"/>
      <c r="I24" s="59"/>
      <c r="J24" s="59"/>
      <c r="K24" s="59"/>
      <c r="L24" s="59"/>
      <c r="M24" s="59"/>
    </row>
    <row r="25" spans="3:13" ht="20.100000000000001" customHeight="1" thickBot="1" x14ac:dyDescent="0.25">
      <c r="C25" s="256" t="s">
        <v>16</v>
      </c>
      <c r="D25" s="257"/>
      <c r="E25" s="257"/>
      <c r="F25" s="257"/>
      <c r="G25" s="257"/>
      <c r="H25" s="257"/>
      <c r="I25" s="257"/>
      <c r="J25" s="257"/>
      <c r="K25" s="257"/>
      <c r="L25" s="257"/>
      <c r="M25" s="258"/>
    </row>
    <row r="26" spans="3:13" ht="5.25" customHeight="1" thickBot="1" x14ac:dyDescent="0.25"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60"/>
    </row>
    <row r="27" spans="3:13" ht="24.95" customHeight="1" x14ac:dyDescent="0.2">
      <c r="C27" s="370" t="s">
        <v>7</v>
      </c>
      <c r="D27" s="371"/>
      <c r="E27" s="26" t="s">
        <v>8</v>
      </c>
      <c r="F27" s="23">
        <v>3227151</v>
      </c>
      <c r="G27" s="24">
        <v>-6.2826594151173198E-2</v>
      </c>
      <c r="H27" s="25"/>
      <c r="I27" s="370" t="s">
        <v>7</v>
      </c>
      <c r="J27" s="26" t="s">
        <v>8</v>
      </c>
      <c r="K27" s="27">
        <v>13545592</v>
      </c>
      <c r="L27" s="28">
        <v>-2.0324503235102265E-2</v>
      </c>
      <c r="M27" s="354" t="s">
        <v>9</v>
      </c>
    </row>
    <row r="28" spans="3:13" ht="24.95" customHeight="1" x14ac:dyDescent="0.2">
      <c r="C28" s="372"/>
      <c r="D28" s="373"/>
      <c r="E28" s="29" t="s">
        <v>10</v>
      </c>
      <c r="F28" s="30">
        <v>2078606</v>
      </c>
      <c r="G28" s="31">
        <v>-6.0463556342643665E-2</v>
      </c>
      <c r="H28" s="32"/>
      <c r="I28" s="372"/>
      <c r="J28" s="29" t="s">
        <v>10</v>
      </c>
      <c r="K28" s="30">
        <v>8547205</v>
      </c>
      <c r="L28" s="33">
        <v>-3.8939501303984048E-2</v>
      </c>
      <c r="M28" s="354"/>
    </row>
    <row r="29" spans="3:13" ht="24.95" customHeight="1" thickBot="1" x14ac:dyDescent="0.25">
      <c r="C29" s="374"/>
      <c r="D29" s="375"/>
      <c r="E29" s="35" t="s">
        <v>11</v>
      </c>
      <c r="F29" s="23">
        <v>1148545</v>
      </c>
      <c r="G29" s="24">
        <v>-6.7073071674572771E-2</v>
      </c>
      <c r="H29" s="32"/>
      <c r="I29" s="374"/>
      <c r="J29" s="35" t="s">
        <v>11</v>
      </c>
      <c r="K29" s="36">
        <v>4998387</v>
      </c>
      <c r="L29" s="37">
        <v>1.3235093491978711E-2</v>
      </c>
      <c r="M29" s="354"/>
    </row>
    <row r="30" spans="3:13" ht="24.95" hidden="1" customHeight="1" x14ac:dyDescent="0.2">
      <c r="C30" s="348" t="s">
        <v>12</v>
      </c>
      <c r="D30" s="349"/>
      <c r="E30" s="38" t="s">
        <v>8</v>
      </c>
      <c r="F30" s="39">
        <v>39802</v>
      </c>
      <c r="G30" s="40">
        <v>-0.1309606986899563</v>
      </c>
      <c r="H30" s="41"/>
      <c r="I30" s="348" t="s">
        <v>12</v>
      </c>
      <c r="J30" s="38" t="s">
        <v>8</v>
      </c>
      <c r="K30" s="39">
        <v>189275</v>
      </c>
      <c r="L30" s="28">
        <v>-8.489416633628899E-2</v>
      </c>
      <c r="M30" s="354"/>
    </row>
    <row r="31" spans="3:13" ht="48" customHeight="1" thickBot="1" x14ac:dyDescent="0.25">
      <c r="C31" s="350"/>
      <c r="D31" s="351"/>
      <c r="E31" s="42" t="s">
        <v>10</v>
      </c>
      <c r="F31" s="43">
        <v>39802</v>
      </c>
      <c r="G31" s="31">
        <v>-0.1309606986899563</v>
      </c>
      <c r="H31" s="41"/>
      <c r="I31" s="350"/>
      <c r="J31" s="42" t="s">
        <v>10</v>
      </c>
      <c r="K31" s="43">
        <v>189275</v>
      </c>
      <c r="L31" s="33">
        <v>-8.489416633628899E-2</v>
      </c>
      <c r="M31" s="354"/>
    </row>
    <row r="32" spans="3:13" ht="24.95" hidden="1" customHeight="1" x14ac:dyDescent="0.2">
      <c r="C32" s="352"/>
      <c r="D32" s="353"/>
      <c r="E32" s="44" t="s">
        <v>11</v>
      </c>
      <c r="F32" s="45">
        <v>0</v>
      </c>
      <c r="G32" s="46" t="s">
        <v>38</v>
      </c>
      <c r="H32" s="41"/>
      <c r="I32" s="352"/>
      <c r="J32" s="44" t="s">
        <v>11</v>
      </c>
      <c r="K32" s="45">
        <v>0</v>
      </c>
      <c r="L32" s="37" t="s">
        <v>38</v>
      </c>
      <c r="M32" s="354"/>
    </row>
    <row r="33" spans="3:13" ht="24.95" customHeight="1" x14ac:dyDescent="0.2">
      <c r="C33" s="355" t="s">
        <v>13</v>
      </c>
      <c r="D33" s="376"/>
      <c r="E33" s="47" t="s">
        <v>8</v>
      </c>
      <c r="F33" s="48">
        <v>20522</v>
      </c>
      <c r="G33" s="40">
        <v>0.2059705000881471</v>
      </c>
      <c r="H33" s="41"/>
      <c r="I33" s="355" t="s">
        <v>13</v>
      </c>
      <c r="J33" s="47" t="s">
        <v>8</v>
      </c>
      <c r="K33" s="48">
        <v>87812</v>
      </c>
      <c r="L33" s="28">
        <v>0.27110866638681008</v>
      </c>
      <c r="M33" s="354"/>
    </row>
    <row r="34" spans="3:13" ht="24.95" customHeight="1" x14ac:dyDescent="0.2">
      <c r="C34" s="356"/>
      <c r="D34" s="377"/>
      <c r="E34" s="49" t="s">
        <v>10</v>
      </c>
      <c r="F34" s="50">
        <v>11663</v>
      </c>
      <c r="G34" s="31">
        <v>0.29115465515332661</v>
      </c>
      <c r="H34" s="41"/>
      <c r="I34" s="356"/>
      <c r="J34" s="49" t="s">
        <v>10</v>
      </c>
      <c r="K34" s="50">
        <v>52417</v>
      </c>
      <c r="L34" s="33">
        <v>0.27498054096127644</v>
      </c>
      <c r="M34" s="354"/>
    </row>
    <row r="35" spans="3:13" ht="24.95" customHeight="1" thickBot="1" x14ac:dyDescent="0.25">
      <c r="C35" s="357"/>
      <c r="D35" s="378"/>
      <c r="E35" s="51" t="s">
        <v>11</v>
      </c>
      <c r="F35" s="52">
        <v>8859</v>
      </c>
      <c r="G35" s="46">
        <v>0.1095941883767535</v>
      </c>
      <c r="H35" s="41"/>
      <c r="I35" s="357"/>
      <c r="J35" s="51" t="s">
        <v>11</v>
      </c>
      <c r="K35" s="52">
        <v>35395</v>
      </c>
      <c r="L35" s="37">
        <v>0.26541775410246315</v>
      </c>
      <c r="M35" s="354"/>
    </row>
    <row r="36" spans="3:13" ht="24.95" customHeight="1" x14ac:dyDescent="0.2">
      <c r="C36" s="348" t="s">
        <v>14</v>
      </c>
      <c r="D36" s="349"/>
      <c r="E36" s="38" t="s">
        <v>8</v>
      </c>
      <c r="F36" s="39">
        <v>594935</v>
      </c>
      <c r="G36" s="40">
        <v>1.9469715014231337E-2</v>
      </c>
      <c r="H36" s="41"/>
      <c r="I36" s="348" t="s">
        <v>14</v>
      </c>
      <c r="J36" s="38" t="s">
        <v>8</v>
      </c>
      <c r="K36" s="39">
        <v>2523556</v>
      </c>
      <c r="L36" s="28">
        <v>3.431674924759065E-2</v>
      </c>
      <c r="M36" s="354"/>
    </row>
    <row r="37" spans="3:13" ht="24.95" customHeight="1" x14ac:dyDescent="0.2">
      <c r="C37" s="350"/>
      <c r="D37" s="351"/>
      <c r="E37" s="42" t="s">
        <v>10</v>
      </c>
      <c r="F37" s="43">
        <v>420720</v>
      </c>
      <c r="G37" s="31">
        <v>-1.1115315819287375E-2</v>
      </c>
      <c r="H37" s="41"/>
      <c r="I37" s="350"/>
      <c r="J37" s="42" t="s">
        <v>10</v>
      </c>
      <c r="K37" s="43">
        <v>1744831</v>
      </c>
      <c r="L37" s="33">
        <v>-8.3387183767233974E-3</v>
      </c>
      <c r="M37" s="354"/>
    </row>
    <row r="38" spans="3:13" ht="24.95" customHeight="1" thickBot="1" x14ac:dyDescent="0.25">
      <c r="C38" s="352"/>
      <c r="D38" s="353"/>
      <c r="E38" s="44" t="s">
        <v>11</v>
      </c>
      <c r="F38" s="45">
        <v>174215</v>
      </c>
      <c r="G38" s="46">
        <v>0.10176190837570509</v>
      </c>
      <c r="H38" s="41"/>
      <c r="I38" s="352"/>
      <c r="J38" s="44" t="s">
        <v>11</v>
      </c>
      <c r="K38" s="45">
        <v>778725</v>
      </c>
      <c r="L38" s="37">
        <v>0.14463507200959547</v>
      </c>
      <c r="M38" s="354"/>
    </row>
    <row r="39" spans="3:13" ht="24.95" customHeight="1" x14ac:dyDescent="0.2">
      <c r="C39" s="358" t="s">
        <v>15</v>
      </c>
      <c r="D39" s="359"/>
      <c r="E39" s="53" t="s">
        <v>8</v>
      </c>
      <c r="F39" s="54">
        <v>2571892</v>
      </c>
      <c r="G39" s="40">
        <v>-8.0516133829846903E-2</v>
      </c>
      <c r="H39" s="41"/>
      <c r="I39" s="358" t="s">
        <v>15</v>
      </c>
      <c r="J39" s="53" t="s">
        <v>8</v>
      </c>
      <c r="K39" s="54">
        <v>10744949</v>
      </c>
      <c r="L39" s="28">
        <v>-3.2933169469703705E-2</v>
      </c>
      <c r="M39" s="354"/>
    </row>
    <row r="40" spans="3:13" ht="24.95" customHeight="1" x14ac:dyDescent="0.2">
      <c r="C40" s="360"/>
      <c r="D40" s="361"/>
      <c r="E40" s="55" t="s">
        <v>10</v>
      </c>
      <c r="F40" s="56">
        <v>1606421</v>
      </c>
      <c r="G40" s="31">
        <v>-7.255446015569611E-2</v>
      </c>
      <c r="H40" s="41"/>
      <c r="I40" s="360"/>
      <c r="J40" s="55" t="s">
        <v>10</v>
      </c>
      <c r="K40" s="56">
        <v>6560682</v>
      </c>
      <c r="L40" s="33">
        <v>-4.725238579653257E-2</v>
      </c>
      <c r="M40" s="354"/>
    </row>
    <row r="41" spans="3:13" ht="24.95" customHeight="1" thickBot="1" x14ac:dyDescent="0.25">
      <c r="C41" s="362"/>
      <c r="D41" s="363"/>
      <c r="E41" s="57" t="s">
        <v>11</v>
      </c>
      <c r="F41" s="58">
        <v>965471</v>
      </c>
      <c r="G41" s="46">
        <v>-9.3464674576436702E-2</v>
      </c>
      <c r="H41" s="41"/>
      <c r="I41" s="362"/>
      <c r="J41" s="57" t="s">
        <v>11</v>
      </c>
      <c r="K41" s="58">
        <v>4184267</v>
      </c>
      <c r="L41" s="37">
        <v>-9.5940636243135868E-3</v>
      </c>
      <c r="M41" s="354"/>
    </row>
    <row r="42" spans="3:13" ht="5.25" customHeight="1" thickBot="1" x14ac:dyDescent="0.25">
      <c r="C42" s="59"/>
      <c r="D42" s="59"/>
      <c r="F42" s="59"/>
      <c r="G42" s="59"/>
      <c r="H42" s="59"/>
      <c r="I42" s="59"/>
      <c r="J42" s="59"/>
      <c r="K42" s="59"/>
      <c r="L42" s="59"/>
      <c r="M42" s="59"/>
    </row>
    <row r="43" spans="3:13" ht="20.100000000000001" customHeight="1" thickBot="1" x14ac:dyDescent="0.25">
      <c r="C43" s="256" t="s">
        <v>17</v>
      </c>
      <c r="D43" s="257"/>
      <c r="E43" s="257"/>
      <c r="F43" s="257"/>
      <c r="G43" s="257"/>
      <c r="H43" s="257"/>
      <c r="I43" s="257"/>
      <c r="J43" s="257"/>
      <c r="K43" s="257"/>
      <c r="L43" s="257"/>
      <c r="M43" s="258"/>
    </row>
    <row r="44" spans="3:13" ht="5.25" customHeight="1" thickBot="1" x14ac:dyDescent="0.25"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60"/>
    </row>
    <row r="45" spans="3:13" ht="24.75" customHeight="1" x14ac:dyDescent="0.2">
      <c r="C45" s="370" t="s">
        <v>7</v>
      </c>
      <c r="D45" s="371"/>
      <c r="E45" s="26" t="s">
        <v>8</v>
      </c>
      <c r="F45" s="61">
        <v>6.9637114176218757</v>
      </c>
      <c r="G45" s="62">
        <v>0.17432759939273801</v>
      </c>
      <c r="H45" s="25"/>
      <c r="I45" s="370" t="s">
        <v>7</v>
      </c>
      <c r="J45" s="26" t="s">
        <v>8</v>
      </c>
      <c r="K45" s="61">
        <v>7.4285147074872535</v>
      </c>
      <c r="L45" s="63">
        <v>-0.11429481853036183</v>
      </c>
      <c r="M45" s="354" t="s">
        <v>9</v>
      </c>
    </row>
    <row r="46" spans="3:13" ht="24.75" customHeight="1" x14ac:dyDescent="0.2">
      <c r="C46" s="372"/>
      <c r="D46" s="373"/>
      <c r="E46" s="29" t="s">
        <v>10</v>
      </c>
      <c r="F46" s="64">
        <v>6.6245323066920774</v>
      </c>
      <c r="G46" s="65">
        <v>0.21787073668825485</v>
      </c>
      <c r="H46" s="32"/>
      <c r="I46" s="372"/>
      <c r="J46" s="29" t="s">
        <v>10</v>
      </c>
      <c r="K46" s="64">
        <v>6.9400379512804298</v>
      </c>
      <c r="L46" s="66">
        <v>-0.13309832975172853</v>
      </c>
      <c r="M46" s="354"/>
    </row>
    <row r="47" spans="3:13" ht="24.75" customHeight="1" thickBot="1" x14ac:dyDescent="0.25">
      <c r="C47" s="374"/>
      <c r="D47" s="375"/>
      <c r="E47" s="35" t="s">
        <v>11</v>
      </c>
      <c r="F47" s="67">
        <v>7.6748747076511865</v>
      </c>
      <c r="G47" s="68">
        <v>6.8983342060319863E-2</v>
      </c>
      <c r="H47" s="32"/>
      <c r="I47" s="374"/>
      <c r="J47" s="35" t="s">
        <v>11</v>
      </c>
      <c r="K47" s="67">
        <v>8.444933094546192</v>
      </c>
      <c r="L47" s="69">
        <v>-0.12363669632437002</v>
      </c>
      <c r="M47" s="354"/>
    </row>
    <row r="48" spans="3:13" ht="24.75" hidden="1" customHeight="1" x14ac:dyDescent="0.2">
      <c r="C48" s="348" t="s">
        <v>12</v>
      </c>
      <c r="D48" s="349"/>
      <c r="E48" s="38" t="s">
        <v>8</v>
      </c>
      <c r="F48" s="70">
        <v>2.1295880149812736</v>
      </c>
      <c r="G48" s="62">
        <v>-0.24543791324938402</v>
      </c>
      <c r="H48" s="41"/>
      <c r="I48" s="348" t="s">
        <v>12</v>
      </c>
      <c r="J48" s="38" t="s">
        <v>8</v>
      </c>
      <c r="K48" s="70">
        <v>2.3186941075584957</v>
      </c>
      <c r="L48" s="63">
        <v>-0.1091344699067891</v>
      </c>
      <c r="M48" s="354"/>
    </row>
    <row r="49" spans="2:13" ht="50.25" customHeight="1" thickBot="1" x14ac:dyDescent="0.25">
      <c r="C49" s="350"/>
      <c r="D49" s="351"/>
      <c r="E49" s="42" t="s">
        <v>10</v>
      </c>
      <c r="F49" s="71">
        <v>2.1295880149812736</v>
      </c>
      <c r="G49" s="65">
        <v>-0.24543791324938402</v>
      </c>
      <c r="H49" s="41"/>
      <c r="I49" s="350"/>
      <c r="J49" s="42" t="s">
        <v>10</v>
      </c>
      <c r="K49" s="71">
        <v>2.3186941075584957</v>
      </c>
      <c r="L49" s="66">
        <v>-0.1091344699067891</v>
      </c>
      <c r="M49" s="354"/>
    </row>
    <row r="50" spans="2:13" ht="24.75" hidden="1" customHeight="1" x14ac:dyDescent="0.2">
      <c r="C50" s="352"/>
      <c r="D50" s="353"/>
      <c r="E50" s="44" t="s">
        <v>11</v>
      </c>
      <c r="F50" s="72" t="s">
        <v>38</v>
      </c>
      <c r="G50" s="68" t="s">
        <v>38</v>
      </c>
      <c r="H50" s="41"/>
      <c r="I50" s="352"/>
      <c r="J50" s="44" t="s">
        <v>11</v>
      </c>
      <c r="K50" s="72" t="e">
        <v>#DIV/0!</v>
      </c>
      <c r="L50" s="69" t="s">
        <v>38</v>
      </c>
      <c r="M50" s="354"/>
    </row>
    <row r="51" spans="2:13" ht="24.75" customHeight="1" x14ac:dyDescent="0.2">
      <c r="C51" s="355" t="s">
        <v>13</v>
      </c>
      <c r="D51" s="376"/>
      <c r="E51" s="47" t="s">
        <v>8</v>
      </c>
      <c r="F51" s="73">
        <v>3.5771309046540005</v>
      </c>
      <c r="G51" s="62">
        <v>-0.72117674879383964</v>
      </c>
      <c r="H51" s="41"/>
      <c r="I51" s="355" t="s">
        <v>13</v>
      </c>
      <c r="J51" s="47" t="s">
        <v>8</v>
      </c>
      <c r="K51" s="73">
        <v>3.6759879437374412</v>
      </c>
      <c r="L51" s="63">
        <v>-0.52793099985167835</v>
      </c>
      <c r="M51" s="354"/>
    </row>
    <row r="52" spans="2:13" ht="24.75" customHeight="1" x14ac:dyDescent="0.2">
      <c r="C52" s="356"/>
      <c r="D52" s="377"/>
      <c r="E52" s="49" t="s">
        <v>10</v>
      </c>
      <c r="F52" s="74">
        <v>2.7085462145843011</v>
      </c>
      <c r="G52" s="65">
        <v>-0.43993757767781094</v>
      </c>
      <c r="H52" s="41"/>
      <c r="I52" s="356"/>
      <c r="J52" s="49" t="s">
        <v>10</v>
      </c>
      <c r="K52" s="74">
        <v>2.785767431972789</v>
      </c>
      <c r="L52" s="66">
        <v>-0.59821478878612133</v>
      </c>
      <c r="M52" s="354"/>
    </row>
    <row r="53" spans="2:13" ht="24.75" customHeight="1" thickBot="1" x14ac:dyDescent="0.25">
      <c r="C53" s="357"/>
      <c r="D53" s="378"/>
      <c r="E53" s="51" t="s">
        <v>11</v>
      </c>
      <c r="F53" s="75">
        <v>6.1907756813417194</v>
      </c>
      <c r="G53" s="68">
        <v>-1.1339949608601154</v>
      </c>
      <c r="H53" s="41"/>
      <c r="I53" s="357"/>
      <c r="J53" s="51" t="s">
        <v>11</v>
      </c>
      <c r="K53" s="75">
        <v>6.9785094637223972</v>
      </c>
      <c r="L53" s="69">
        <v>0.44933112572052991</v>
      </c>
      <c r="M53" s="354"/>
    </row>
    <row r="54" spans="2:13" ht="24.75" customHeight="1" x14ac:dyDescent="0.2">
      <c r="C54" s="348" t="s">
        <v>14</v>
      </c>
      <c r="D54" s="349"/>
      <c r="E54" s="38" t="s">
        <v>8</v>
      </c>
      <c r="F54" s="70">
        <v>6.6680303064266662</v>
      </c>
      <c r="G54" s="62">
        <v>0.35626712746973421</v>
      </c>
      <c r="H54" s="41"/>
      <c r="I54" s="348" t="s">
        <v>14</v>
      </c>
      <c r="J54" s="38" t="s">
        <v>8</v>
      </c>
      <c r="K54" s="70">
        <v>7.5699261472375703</v>
      </c>
      <c r="L54" s="63">
        <v>0.21816491542993521</v>
      </c>
      <c r="M54" s="354"/>
    </row>
    <row r="55" spans="2:13" ht="24.75" customHeight="1" x14ac:dyDescent="0.2">
      <c r="C55" s="350"/>
      <c r="D55" s="351"/>
      <c r="E55" s="42" t="s">
        <v>10</v>
      </c>
      <c r="F55" s="71">
        <v>6.4893879565646593</v>
      </c>
      <c r="G55" s="65">
        <v>0.29590390433226332</v>
      </c>
      <c r="H55" s="41"/>
      <c r="I55" s="350"/>
      <c r="J55" s="42" t="s">
        <v>10</v>
      </c>
      <c r="K55" s="71">
        <v>7.1130783248199139</v>
      </c>
      <c r="L55" s="66">
        <v>8.400730315946614E-2</v>
      </c>
      <c r="M55" s="354"/>
    </row>
    <row r="56" spans="2:13" ht="24.75" customHeight="1" thickBot="1" x14ac:dyDescent="0.25">
      <c r="C56" s="352"/>
      <c r="D56" s="353"/>
      <c r="E56" s="44" t="s">
        <v>11</v>
      </c>
      <c r="F56" s="72">
        <v>7.1428864288642888</v>
      </c>
      <c r="G56" s="68">
        <v>0.48923610275446361</v>
      </c>
      <c r="H56" s="41"/>
      <c r="I56" s="352"/>
      <c r="J56" s="44" t="s">
        <v>11</v>
      </c>
      <c r="K56" s="72">
        <v>8.8424154337038843</v>
      </c>
      <c r="L56" s="69">
        <v>0.50017980490262914</v>
      </c>
      <c r="M56" s="354"/>
    </row>
    <row r="57" spans="2:13" ht="24.75" customHeight="1" x14ac:dyDescent="0.2">
      <c r="C57" s="358" t="s">
        <v>15</v>
      </c>
      <c r="D57" s="359"/>
      <c r="E57" s="53" t="s">
        <v>8</v>
      </c>
      <c r="F57" s="76">
        <v>7.3529897791437353</v>
      </c>
      <c r="G57" s="62">
        <v>0.2081701555036144</v>
      </c>
      <c r="H57" s="41"/>
      <c r="I57" s="358" t="s">
        <v>15</v>
      </c>
      <c r="J57" s="53" t="s">
        <v>8</v>
      </c>
      <c r="K57" s="76">
        <v>7.7604672914071102</v>
      </c>
      <c r="L57" s="63">
        <v>-0.1781954160019934</v>
      </c>
      <c r="M57" s="354"/>
    </row>
    <row r="58" spans="2:13" ht="24.75" customHeight="1" x14ac:dyDescent="0.2">
      <c r="C58" s="360"/>
      <c r="D58" s="361"/>
      <c r="E58" s="55" t="s">
        <v>10</v>
      </c>
      <c r="F58" s="77">
        <v>7.1097563134554278</v>
      </c>
      <c r="G58" s="65">
        <v>0.30330546112241663</v>
      </c>
      <c r="H58" s="41"/>
      <c r="I58" s="360"/>
      <c r="J58" s="55" t="s">
        <v>10</v>
      </c>
      <c r="K58" s="77">
        <v>7.4062205785734125</v>
      </c>
      <c r="L58" s="66">
        <v>-0.16333768481966526</v>
      </c>
      <c r="M58" s="354"/>
    </row>
    <row r="59" spans="2:13" ht="24.75" customHeight="1" thickBot="1" x14ac:dyDescent="0.25">
      <c r="C59" s="379"/>
      <c r="D59" s="380"/>
      <c r="E59" s="78" t="s">
        <v>11</v>
      </c>
      <c r="F59" s="79">
        <v>7.7968085020471776</v>
      </c>
      <c r="G59" s="80">
        <v>2.3508937784975537E-2</v>
      </c>
      <c r="H59" s="81"/>
      <c r="I59" s="379"/>
      <c r="J59" s="78" t="s">
        <v>11</v>
      </c>
      <c r="K59" s="79">
        <v>8.3896591617693357</v>
      </c>
      <c r="L59" s="82">
        <v>-0.23442327407261843</v>
      </c>
      <c r="M59" s="385"/>
    </row>
    <row r="60" spans="2:13" ht="13.5" thickBot="1" x14ac:dyDescent="0.25">
      <c r="C60" s="381" t="s">
        <v>94</v>
      </c>
      <c r="D60" s="382"/>
      <c r="E60" s="382"/>
      <c r="F60" s="382"/>
      <c r="G60" s="382"/>
      <c r="H60" s="382"/>
      <c r="I60" s="382"/>
      <c r="J60" s="382"/>
      <c r="K60" s="382"/>
      <c r="L60" s="382"/>
      <c r="M60" s="383"/>
    </row>
    <row r="61" spans="2:13" ht="50.25" customHeight="1" thickBot="1" x14ac:dyDescent="0.25">
      <c r="C61" s="83"/>
      <c r="D61" s="83"/>
      <c r="E61" s="384" t="s">
        <v>92</v>
      </c>
      <c r="F61" s="384"/>
      <c r="G61" s="384"/>
      <c r="H61" s="384"/>
      <c r="I61" s="384"/>
      <c r="J61" s="384"/>
      <c r="K61" s="384"/>
      <c r="L61" s="83"/>
      <c r="M61" s="83"/>
    </row>
    <row r="62" spans="2:13" ht="15" customHeight="1" x14ac:dyDescent="0.2">
      <c r="B62" s="4"/>
      <c r="C62" s="364" t="s">
        <v>93</v>
      </c>
      <c r="D62" s="364"/>
      <c r="E62" s="364"/>
      <c r="F62" s="364"/>
      <c r="G62" s="364"/>
      <c r="H62" s="5"/>
      <c r="I62" s="366" t="str">
        <f>I2</f>
        <v>I cuatrimestre 2018</v>
      </c>
      <c r="J62" s="366"/>
      <c r="K62" s="366"/>
      <c r="L62" s="366"/>
      <c r="M62" s="366"/>
    </row>
    <row r="63" spans="2:13" ht="16.5" customHeight="1" thickBot="1" x14ac:dyDescent="0.25">
      <c r="B63" s="4"/>
      <c r="C63" s="365"/>
      <c r="D63" s="365"/>
      <c r="E63" s="365"/>
      <c r="F63" s="365"/>
      <c r="G63" s="365"/>
      <c r="H63" s="6"/>
      <c r="I63" s="367"/>
      <c r="J63" s="367"/>
      <c r="K63" s="367"/>
      <c r="L63" s="367"/>
      <c r="M63" s="367"/>
    </row>
    <row r="64" spans="2:13" ht="81.75" customHeight="1" x14ac:dyDescent="0.2">
      <c r="C64" s="368" t="str">
        <f t="shared" ref="C64:G64" si="0">C5</f>
        <v>Ámbito</v>
      </c>
      <c r="D64" s="369">
        <f t="shared" si="0"/>
        <v>0</v>
      </c>
      <c r="E64" s="15" t="str">
        <f t="shared" si="0"/>
        <v>Variable</v>
      </c>
      <c r="F64" s="15" t="str">
        <f t="shared" si="0"/>
        <v>Valor absoluto
mensual</v>
      </c>
      <c r="G64" s="15" t="str">
        <f t="shared" si="0"/>
        <v>Variación respecto al período anterior</v>
      </c>
      <c r="H64" s="17"/>
      <c r="I64" s="15" t="str">
        <f>I5</f>
        <v>Ámbito</v>
      </c>
      <c r="J64" s="15" t="str">
        <f t="shared" ref="J64:M64" si="1">J5</f>
        <v>Variable</v>
      </c>
      <c r="K64" s="15" t="str">
        <f t="shared" si="1"/>
        <v>Valor absoluto
acumulado</v>
      </c>
      <c r="L64" s="15" t="str">
        <f t="shared" si="1"/>
        <v>Variación respecto al período anterior</v>
      </c>
      <c r="M64" s="16" t="str">
        <f t="shared" si="1"/>
        <v>Fuente</v>
      </c>
    </row>
    <row r="65" spans="3:13" ht="5.25" customHeight="1" thickBot="1" x14ac:dyDescent="0.25"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</row>
    <row r="66" spans="3:13" ht="20.100000000000001" customHeight="1" thickBot="1" x14ac:dyDescent="0.25">
      <c r="C66" s="256" t="s">
        <v>18</v>
      </c>
      <c r="D66" s="257"/>
      <c r="E66" s="257"/>
      <c r="F66" s="257"/>
      <c r="G66" s="257"/>
      <c r="H66" s="257"/>
      <c r="I66" s="257"/>
      <c r="J66" s="257"/>
      <c r="K66" s="257"/>
      <c r="L66" s="257"/>
      <c r="M66" s="258"/>
    </row>
    <row r="67" spans="3:13" ht="5.25" customHeight="1" thickBot="1" x14ac:dyDescent="0.25"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60"/>
    </row>
    <row r="68" spans="3:13" ht="24.75" customHeight="1" x14ac:dyDescent="0.2">
      <c r="C68" s="370" t="s">
        <v>7</v>
      </c>
      <c r="D68" s="371"/>
      <c r="E68" s="26" t="s">
        <v>8</v>
      </c>
      <c r="F68" s="84">
        <v>0.65446442694961249</v>
      </c>
      <c r="G68" s="40">
        <v>-9.3023048146375187E-2</v>
      </c>
      <c r="H68" s="25"/>
      <c r="I68" s="370" t="s">
        <v>7</v>
      </c>
      <c r="J68" s="26" t="s">
        <v>8</v>
      </c>
      <c r="K68" s="84">
        <v>0.68675962993157547</v>
      </c>
      <c r="L68" s="28">
        <v>-5.1890407563655039E-2</v>
      </c>
      <c r="M68" s="354" t="s">
        <v>9</v>
      </c>
    </row>
    <row r="69" spans="3:13" ht="24.75" customHeight="1" x14ac:dyDescent="0.2">
      <c r="C69" s="372"/>
      <c r="D69" s="373"/>
      <c r="E69" s="29" t="s">
        <v>10</v>
      </c>
      <c r="F69" s="85">
        <v>0.73291515048940792</v>
      </c>
      <c r="G69" s="31">
        <v>-7.7935260962572972E-2</v>
      </c>
      <c r="H69" s="32"/>
      <c r="I69" s="372"/>
      <c r="J69" s="29" t="s">
        <v>10</v>
      </c>
      <c r="K69" s="85">
        <v>0.75343475853995656</v>
      </c>
      <c r="L69" s="33">
        <v>-5.6811469196719089E-2</v>
      </c>
      <c r="M69" s="354"/>
    </row>
    <row r="70" spans="3:13" ht="24.75" customHeight="1" thickBot="1" x14ac:dyDescent="0.25">
      <c r="C70" s="374"/>
      <c r="D70" s="375"/>
      <c r="E70" s="35" t="s">
        <v>11</v>
      </c>
      <c r="F70" s="86">
        <v>0.54825767339729825</v>
      </c>
      <c r="G70" s="46">
        <v>-0.11434065684449046</v>
      </c>
      <c r="H70" s="32"/>
      <c r="I70" s="374"/>
      <c r="J70" s="35" t="s">
        <v>11</v>
      </c>
      <c r="K70" s="86">
        <v>0.59649470141772876</v>
      </c>
      <c r="L70" s="37">
        <v>-3.810137737691166E-2</v>
      </c>
      <c r="M70" s="354"/>
    </row>
    <row r="71" spans="3:13" ht="24.75" hidden="1" customHeight="1" x14ac:dyDescent="0.2">
      <c r="C71" s="348" t="s">
        <v>12</v>
      </c>
      <c r="D71" s="349"/>
      <c r="E71" s="38" t="s">
        <v>8</v>
      </c>
      <c r="F71" s="87">
        <v>0.4110078479966956</v>
      </c>
      <c r="G71" s="40">
        <v>-0.22491816961845845</v>
      </c>
      <c r="H71" s="41"/>
      <c r="I71" s="348" t="s">
        <v>12</v>
      </c>
      <c r="J71" s="38" t="s">
        <v>8</v>
      </c>
      <c r="K71" s="87">
        <v>0.48862814952498967</v>
      </c>
      <c r="L71" s="28">
        <v>-0.18383218862520934</v>
      </c>
      <c r="M71" s="354"/>
    </row>
    <row r="72" spans="3:13" ht="43.5" customHeight="1" thickBot="1" x14ac:dyDescent="0.25">
      <c r="C72" s="350"/>
      <c r="D72" s="351"/>
      <c r="E72" s="42" t="s">
        <v>10</v>
      </c>
      <c r="F72" s="88">
        <v>0.5229536197608724</v>
      </c>
      <c r="G72" s="31">
        <v>-0.13096069868995641</v>
      </c>
      <c r="H72" s="41"/>
      <c r="I72" s="350"/>
      <c r="J72" s="42" t="s">
        <v>10</v>
      </c>
      <c r="K72" s="88">
        <v>0.62171528051504399</v>
      </c>
      <c r="L72" s="33">
        <v>-8.489416633628899E-2</v>
      </c>
      <c r="M72" s="354"/>
    </row>
    <row r="73" spans="3:13" ht="24.75" hidden="1" customHeight="1" x14ac:dyDescent="0.2">
      <c r="C73" s="352"/>
      <c r="D73" s="353"/>
      <c r="E73" s="44" t="s">
        <v>11</v>
      </c>
      <c r="F73" s="89">
        <v>0</v>
      </c>
      <c r="G73" s="46" t="s">
        <v>38</v>
      </c>
      <c r="H73" s="41"/>
      <c r="I73" s="352"/>
      <c r="J73" s="44" t="s">
        <v>11</v>
      </c>
      <c r="K73" s="89">
        <v>0</v>
      </c>
      <c r="L73" s="37" t="s">
        <v>38</v>
      </c>
      <c r="M73" s="354"/>
    </row>
    <row r="74" spans="3:13" ht="24.75" customHeight="1" x14ac:dyDescent="0.2">
      <c r="C74" s="355" t="s">
        <v>13</v>
      </c>
      <c r="D74" s="376"/>
      <c r="E74" s="47" t="s">
        <v>8</v>
      </c>
      <c r="F74" s="90">
        <v>0.43543390621684702</v>
      </c>
      <c r="G74" s="40">
        <v>-0.16940796874896547</v>
      </c>
      <c r="H74" s="41"/>
      <c r="I74" s="355" t="s">
        <v>13</v>
      </c>
      <c r="J74" s="47" t="s">
        <v>8</v>
      </c>
      <c r="K74" s="90">
        <v>0.46579673244218123</v>
      </c>
      <c r="L74" s="28">
        <v>-0.12454514511105752</v>
      </c>
      <c r="M74" s="354"/>
    </row>
    <row r="75" spans="3:13" ht="24.75" customHeight="1" x14ac:dyDescent="0.2">
      <c r="C75" s="356"/>
      <c r="D75" s="377"/>
      <c r="E75" s="49" t="s">
        <v>10</v>
      </c>
      <c r="F75" s="91">
        <v>0.47180420711974108</v>
      </c>
      <c r="G75" s="31">
        <v>-9.4311419079341374E-2</v>
      </c>
      <c r="H75" s="41"/>
      <c r="I75" s="356"/>
      <c r="J75" s="49" t="s">
        <v>10</v>
      </c>
      <c r="K75" s="91">
        <v>0.53010720064724914</v>
      </c>
      <c r="L75" s="33">
        <v>-0.10565685354900756</v>
      </c>
      <c r="M75" s="354"/>
    </row>
    <row r="76" spans="3:13" ht="24.75" customHeight="1" thickBot="1" x14ac:dyDescent="0.25">
      <c r="C76" s="357"/>
      <c r="D76" s="378"/>
      <c r="E76" s="51" t="s">
        <v>11</v>
      </c>
      <c r="F76" s="92">
        <v>0.39531459170013389</v>
      </c>
      <c r="G76" s="46">
        <v>-0.25135813796267237</v>
      </c>
      <c r="H76" s="41"/>
      <c r="I76" s="357"/>
      <c r="J76" s="51" t="s">
        <v>11</v>
      </c>
      <c r="K76" s="92">
        <v>0.39485720660419454</v>
      </c>
      <c r="L76" s="37">
        <v>-0.14622416590677179</v>
      </c>
      <c r="M76" s="354"/>
    </row>
    <row r="77" spans="3:13" ht="24.75" customHeight="1" x14ac:dyDescent="0.2">
      <c r="C77" s="348" t="s">
        <v>14</v>
      </c>
      <c r="D77" s="349"/>
      <c r="E77" s="38" t="s">
        <v>8</v>
      </c>
      <c r="F77" s="87">
        <v>0.67203790933839391</v>
      </c>
      <c r="G77" s="40">
        <v>-3.4148401414725527E-2</v>
      </c>
      <c r="H77" s="41"/>
      <c r="I77" s="348" t="s">
        <v>14</v>
      </c>
      <c r="J77" s="38" t="s">
        <v>8</v>
      </c>
      <c r="K77" s="87">
        <v>0.71265150744970462</v>
      </c>
      <c r="L77" s="28">
        <v>-2.008223393829367E-2</v>
      </c>
      <c r="M77" s="354"/>
    </row>
    <row r="78" spans="3:13" ht="24.75" customHeight="1" x14ac:dyDescent="0.2">
      <c r="C78" s="350"/>
      <c r="D78" s="351"/>
      <c r="E78" s="42" t="s">
        <v>10</v>
      </c>
      <c r="F78" s="88">
        <v>0.71126439113455397</v>
      </c>
      <c r="G78" s="31">
        <v>-3.6944580532634497E-2</v>
      </c>
      <c r="H78" s="41"/>
      <c r="I78" s="350"/>
      <c r="J78" s="42" t="s">
        <v>10</v>
      </c>
      <c r="K78" s="88">
        <v>0.73744780308025226</v>
      </c>
      <c r="L78" s="33">
        <v>-3.4240506683057448E-2</v>
      </c>
      <c r="M78" s="354"/>
    </row>
    <row r="79" spans="3:13" ht="24.75" customHeight="1" thickBot="1" x14ac:dyDescent="0.25">
      <c r="C79" s="352"/>
      <c r="D79" s="353"/>
      <c r="E79" s="44" t="s">
        <v>11</v>
      </c>
      <c r="F79" s="89">
        <v>0.593052151416122</v>
      </c>
      <c r="G79" s="46">
        <v>-1.4917738171027484E-2</v>
      </c>
      <c r="H79" s="41"/>
      <c r="I79" s="352"/>
      <c r="J79" s="44" t="s">
        <v>11</v>
      </c>
      <c r="K79" s="89">
        <v>0.66272212009803921</v>
      </c>
      <c r="L79" s="37">
        <v>2.3415038341912497E-2</v>
      </c>
      <c r="M79" s="354"/>
    </row>
    <row r="80" spans="3:13" ht="24.75" customHeight="1" x14ac:dyDescent="0.2">
      <c r="C80" s="358" t="s">
        <v>15</v>
      </c>
      <c r="D80" s="359"/>
      <c r="E80" s="53" t="s">
        <v>8</v>
      </c>
      <c r="F80" s="93">
        <v>0.65916539800191709</v>
      </c>
      <c r="G80" s="40">
        <v>-0.10106096855812552</v>
      </c>
      <c r="H80" s="41"/>
      <c r="I80" s="358" t="s">
        <v>15</v>
      </c>
      <c r="J80" s="53" t="s">
        <v>8</v>
      </c>
      <c r="K80" s="93">
        <v>0.68847161779103683</v>
      </c>
      <c r="L80" s="28">
        <v>-5.4541192117453563E-2</v>
      </c>
      <c r="M80" s="354"/>
    </row>
    <row r="81" spans="3:13" ht="24.75" customHeight="1" x14ac:dyDescent="0.2">
      <c r="C81" s="360"/>
      <c r="D81" s="361"/>
      <c r="E81" s="55" t="s">
        <v>10</v>
      </c>
      <c r="F81" s="94">
        <v>0.74935439932081316</v>
      </c>
      <c r="G81" s="31">
        <v>-8.5494413739966135E-2</v>
      </c>
      <c r="H81" s="41"/>
      <c r="I81" s="360"/>
      <c r="J81" s="55" t="s">
        <v>10</v>
      </c>
      <c r="K81" s="94">
        <v>0.76509767975594056</v>
      </c>
      <c r="L81" s="33">
        <v>-6.0545360290093275E-2</v>
      </c>
      <c r="M81" s="354"/>
    </row>
    <row r="82" spans="3:13" ht="24.75" customHeight="1" thickBot="1" x14ac:dyDescent="0.25">
      <c r="C82" s="362"/>
      <c r="D82" s="363"/>
      <c r="E82" s="57" t="s">
        <v>11</v>
      </c>
      <c r="F82" s="95">
        <v>0.54918714448236627</v>
      </c>
      <c r="G82" s="46">
        <v>-0.12299668714014989</v>
      </c>
      <c r="H82" s="41"/>
      <c r="I82" s="362"/>
      <c r="J82" s="57" t="s">
        <v>11</v>
      </c>
      <c r="K82" s="95">
        <v>0.5950322810011377</v>
      </c>
      <c r="L82" s="37">
        <v>-4.1858311619896837E-2</v>
      </c>
      <c r="M82" s="354"/>
    </row>
    <row r="83" spans="3:13" ht="5.25" customHeight="1" thickBot="1" x14ac:dyDescent="0.25">
      <c r="C83" s="59"/>
      <c r="D83" s="59"/>
      <c r="E83" s="59"/>
      <c r="F83" s="59"/>
      <c r="G83" s="59"/>
      <c r="H83" s="59"/>
      <c r="I83" s="59"/>
      <c r="J83" s="59"/>
      <c r="K83" s="59"/>
      <c r="L83" s="59"/>
      <c r="M83" s="59"/>
    </row>
    <row r="84" spans="3:13" ht="20.100000000000001" customHeight="1" thickBot="1" x14ac:dyDescent="0.25">
      <c r="C84" s="256" t="s">
        <v>19</v>
      </c>
      <c r="D84" s="257"/>
      <c r="E84" s="257"/>
      <c r="F84" s="257"/>
      <c r="G84" s="257"/>
      <c r="H84" s="257"/>
      <c r="I84" s="257"/>
      <c r="J84" s="257"/>
      <c r="K84" s="257"/>
      <c r="L84" s="257"/>
      <c r="M84" s="258"/>
    </row>
    <row r="85" spans="3:13" ht="5.25" customHeight="1" thickBot="1" x14ac:dyDescent="0.25">
      <c r="C85" s="96"/>
      <c r="D85" s="20"/>
      <c r="E85" s="20"/>
      <c r="F85" s="20"/>
      <c r="G85" s="20"/>
      <c r="H85" s="20"/>
      <c r="I85" s="20"/>
      <c r="J85" s="20"/>
      <c r="K85" s="20"/>
      <c r="L85" s="20"/>
      <c r="M85" s="60"/>
    </row>
    <row r="86" spans="3:13" ht="33.75" customHeight="1" x14ac:dyDescent="0.2">
      <c r="C86" s="348" t="s">
        <v>7</v>
      </c>
      <c r="D86" s="349"/>
      <c r="E86" s="38" t="s">
        <v>20</v>
      </c>
      <c r="F86" s="39">
        <v>53894</v>
      </c>
      <c r="G86" s="40">
        <v>-3.7727426928776731E-2</v>
      </c>
      <c r="H86" s="97"/>
      <c r="I86" s="348" t="s">
        <v>7</v>
      </c>
      <c r="J86" s="38" t="s">
        <v>20</v>
      </c>
      <c r="K86" s="39">
        <v>212714</v>
      </c>
      <c r="L86" s="28">
        <v>1.8004134920938775E-2</v>
      </c>
      <c r="M86" s="354" t="s">
        <v>9</v>
      </c>
    </row>
    <row r="87" spans="3:13" ht="33.75" customHeight="1" x14ac:dyDescent="0.2">
      <c r="C87" s="350"/>
      <c r="D87" s="351"/>
      <c r="E87" s="55" t="s">
        <v>21</v>
      </c>
      <c r="F87" s="56">
        <v>186952</v>
      </c>
      <c r="G87" s="31">
        <v>-7.8164138774383107E-2</v>
      </c>
      <c r="H87" s="41"/>
      <c r="I87" s="350"/>
      <c r="J87" s="55" t="s">
        <v>21</v>
      </c>
      <c r="K87" s="56">
        <v>723548</v>
      </c>
      <c r="L87" s="33">
        <v>-2.6383187541180186E-3</v>
      </c>
      <c r="M87" s="354"/>
    </row>
    <row r="88" spans="3:13" ht="33.75" customHeight="1" x14ac:dyDescent="0.2">
      <c r="C88" s="350"/>
      <c r="D88" s="351"/>
      <c r="E88" s="42" t="s">
        <v>22</v>
      </c>
      <c r="F88" s="43">
        <v>55532</v>
      </c>
      <c r="G88" s="31">
        <v>-0.13281384199759516</v>
      </c>
      <c r="H88" s="41"/>
      <c r="I88" s="350"/>
      <c r="J88" s="42" t="s">
        <v>22</v>
      </c>
      <c r="K88" s="43">
        <v>217349</v>
      </c>
      <c r="L88" s="33">
        <v>-7.0832513957882703E-2</v>
      </c>
      <c r="M88" s="354"/>
    </row>
    <row r="89" spans="3:13" ht="33.75" customHeight="1" x14ac:dyDescent="0.2">
      <c r="C89" s="350"/>
      <c r="D89" s="351"/>
      <c r="E89" s="55" t="s">
        <v>23</v>
      </c>
      <c r="F89" s="56">
        <v>13146</v>
      </c>
      <c r="G89" s="31">
        <v>-0.25691029336950988</v>
      </c>
      <c r="H89" s="41"/>
      <c r="I89" s="350"/>
      <c r="J89" s="55" t="s">
        <v>23</v>
      </c>
      <c r="K89" s="56">
        <v>58373</v>
      </c>
      <c r="L89" s="33">
        <v>-0.1508764273765365</v>
      </c>
      <c r="M89" s="354"/>
    </row>
    <row r="90" spans="3:13" ht="33.75" customHeight="1" thickBot="1" x14ac:dyDescent="0.25">
      <c r="C90" s="352"/>
      <c r="D90" s="353"/>
      <c r="E90" s="44" t="s">
        <v>24</v>
      </c>
      <c r="F90" s="45">
        <v>4250</v>
      </c>
      <c r="G90" s="46">
        <v>-0.11180773249738762</v>
      </c>
      <c r="H90" s="98"/>
      <c r="I90" s="352"/>
      <c r="J90" s="44" t="s">
        <v>24</v>
      </c>
      <c r="K90" s="45">
        <v>19595</v>
      </c>
      <c r="L90" s="37">
        <v>-3.4158123028391163E-2</v>
      </c>
      <c r="M90" s="354"/>
    </row>
    <row r="91" spans="3:13" ht="5.25" customHeight="1" thickBot="1" x14ac:dyDescent="0.25">
      <c r="C91" s="59"/>
      <c r="D91" s="59"/>
      <c r="E91" s="59"/>
      <c r="F91" s="59"/>
      <c r="G91" s="59"/>
      <c r="H91" s="59"/>
      <c r="I91" s="59"/>
      <c r="J91" s="59"/>
      <c r="K91" s="59"/>
      <c r="L91" s="59"/>
      <c r="M91" s="59"/>
    </row>
    <row r="92" spans="3:13" ht="20.100000000000001" customHeight="1" thickBot="1" x14ac:dyDescent="0.25">
      <c r="C92" s="256" t="s">
        <v>25</v>
      </c>
      <c r="D92" s="257"/>
      <c r="E92" s="257"/>
      <c r="F92" s="257"/>
      <c r="G92" s="257"/>
      <c r="H92" s="257"/>
      <c r="I92" s="257"/>
      <c r="J92" s="257"/>
      <c r="K92" s="257"/>
      <c r="L92" s="257"/>
      <c r="M92" s="258"/>
    </row>
    <row r="93" spans="3:13" ht="5.25" customHeight="1" thickBot="1" x14ac:dyDescent="0.25">
      <c r="C93" s="96"/>
      <c r="D93" s="20"/>
      <c r="E93" s="20"/>
      <c r="F93" s="20"/>
      <c r="G93" s="20"/>
      <c r="H93" s="20"/>
      <c r="I93" s="20"/>
      <c r="J93" s="20"/>
      <c r="K93" s="20"/>
      <c r="L93" s="20"/>
      <c r="M93" s="60"/>
    </row>
    <row r="94" spans="3:13" s="99" customFormat="1" ht="33.75" customHeight="1" x14ac:dyDescent="0.2">
      <c r="C94" s="348" t="s">
        <v>7</v>
      </c>
      <c r="D94" s="349"/>
      <c r="E94" s="38" t="s">
        <v>20</v>
      </c>
      <c r="F94" s="39">
        <v>357995</v>
      </c>
      <c r="G94" s="40">
        <v>-2.0071644620380802E-3</v>
      </c>
      <c r="H94" s="97"/>
      <c r="I94" s="348" t="s">
        <v>7</v>
      </c>
      <c r="J94" s="38" t="s">
        <v>20</v>
      </c>
      <c r="K94" s="39">
        <v>1392080</v>
      </c>
      <c r="L94" s="28">
        <v>-3.4091421601109673E-2</v>
      </c>
      <c r="M94" s="354" t="s">
        <v>9</v>
      </c>
    </row>
    <row r="95" spans="3:13" s="99" customFormat="1" ht="33.75" customHeight="1" x14ac:dyDescent="0.2">
      <c r="C95" s="350"/>
      <c r="D95" s="351"/>
      <c r="E95" s="55" t="s">
        <v>21</v>
      </c>
      <c r="F95" s="56">
        <v>1297774</v>
      </c>
      <c r="G95" s="31">
        <v>-7.4143487091755E-2</v>
      </c>
      <c r="H95" s="41"/>
      <c r="I95" s="350"/>
      <c r="J95" s="55" t="s">
        <v>21</v>
      </c>
      <c r="K95" s="56">
        <v>5364071</v>
      </c>
      <c r="L95" s="33">
        <v>-3.3901782034989392E-2</v>
      </c>
      <c r="M95" s="354" t="s">
        <v>26</v>
      </c>
    </row>
    <row r="96" spans="3:13" s="99" customFormat="1" ht="33.75" customHeight="1" x14ac:dyDescent="0.2">
      <c r="C96" s="350"/>
      <c r="D96" s="351"/>
      <c r="E96" s="42" t="s">
        <v>22</v>
      </c>
      <c r="F96" s="43">
        <v>355574</v>
      </c>
      <c r="G96" s="31">
        <v>-6.6921034124426626E-2</v>
      </c>
      <c r="H96" s="41"/>
      <c r="I96" s="350"/>
      <c r="J96" s="42" t="s">
        <v>22</v>
      </c>
      <c r="K96" s="43">
        <v>1487525</v>
      </c>
      <c r="L96" s="33">
        <v>-5.194489837020122E-2</v>
      </c>
      <c r="M96" s="354" t="s">
        <v>26</v>
      </c>
    </row>
    <row r="97" spans="3:15" s="99" customFormat="1" ht="33.75" customHeight="1" x14ac:dyDescent="0.2">
      <c r="C97" s="350"/>
      <c r="D97" s="351"/>
      <c r="E97" s="55" t="s">
        <v>23</v>
      </c>
      <c r="F97" s="56">
        <v>49751</v>
      </c>
      <c r="G97" s="31">
        <v>-4.6422479060050259E-2</v>
      </c>
      <c r="H97" s="41"/>
      <c r="I97" s="350"/>
      <c r="J97" s="55" t="s">
        <v>23</v>
      </c>
      <c r="K97" s="56">
        <v>224277</v>
      </c>
      <c r="L97" s="33">
        <v>-9.3658189636011691E-2</v>
      </c>
      <c r="M97" s="354" t="s">
        <v>26</v>
      </c>
    </row>
    <row r="98" spans="3:15" s="99" customFormat="1" ht="33.75" customHeight="1" thickBot="1" x14ac:dyDescent="0.25">
      <c r="C98" s="352"/>
      <c r="D98" s="353"/>
      <c r="E98" s="44" t="s">
        <v>24</v>
      </c>
      <c r="F98" s="45">
        <v>17512</v>
      </c>
      <c r="G98" s="46">
        <v>-6.3979902720615711E-2</v>
      </c>
      <c r="H98" s="98"/>
      <c r="I98" s="352"/>
      <c r="J98" s="44" t="s">
        <v>24</v>
      </c>
      <c r="K98" s="45">
        <v>79252</v>
      </c>
      <c r="L98" s="37">
        <v>-5.1056085061545131E-2</v>
      </c>
      <c r="M98" s="354" t="s">
        <v>26</v>
      </c>
    </row>
    <row r="99" spans="3:15" ht="5.25" customHeight="1" thickBot="1" x14ac:dyDescent="0.25">
      <c r="C99" s="59"/>
      <c r="D99" s="59"/>
      <c r="E99" s="59"/>
      <c r="F99" s="59"/>
      <c r="G99" s="59"/>
      <c r="H99" s="59"/>
      <c r="I99" s="59"/>
      <c r="J99" s="59"/>
      <c r="K99" s="59"/>
      <c r="L99" s="59"/>
      <c r="M99" s="59"/>
    </row>
    <row r="100" spans="3:15" ht="20.100000000000001" customHeight="1" thickBot="1" x14ac:dyDescent="0.25">
      <c r="C100" s="256" t="s">
        <v>27</v>
      </c>
      <c r="D100" s="257"/>
      <c r="E100" s="257"/>
      <c r="F100" s="257"/>
      <c r="G100" s="257"/>
      <c r="H100" s="257"/>
      <c r="I100" s="257"/>
      <c r="J100" s="257"/>
      <c r="K100" s="257"/>
      <c r="L100" s="257"/>
      <c r="M100" s="258"/>
    </row>
    <row r="101" spans="3:15" ht="5.25" customHeight="1" thickBot="1" x14ac:dyDescent="0.25">
      <c r="C101" s="96"/>
      <c r="D101" s="20"/>
      <c r="E101" s="20"/>
      <c r="F101" s="20"/>
      <c r="G101" s="20"/>
      <c r="H101" s="20"/>
      <c r="I101" s="20"/>
      <c r="J101" s="20"/>
      <c r="K101" s="20"/>
      <c r="L101" s="20"/>
      <c r="M101" s="60"/>
    </row>
    <row r="102" spans="3:15" ht="33.75" customHeight="1" x14ac:dyDescent="0.2">
      <c r="C102" s="348" t="s">
        <v>7</v>
      </c>
      <c r="D102" s="349"/>
      <c r="E102" s="38" t="s">
        <v>20</v>
      </c>
      <c r="F102" s="100">
        <v>6.6425761680335471</v>
      </c>
      <c r="G102" s="62">
        <v>0.23775177108316559</v>
      </c>
      <c r="H102" s="97"/>
      <c r="I102" s="348" t="s">
        <v>7</v>
      </c>
      <c r="J102" s="38" t="s">
        <v>20</v>
      </c>
      <c r="K102" s="100">
        <v>6.5443741361640511</v>
      </c>
      <c r="L102" s="63">
        <v>-0.35296592279685868</v>
      </c>
      <c r="M102" s="354" t="s">
        <v>9</v>
      </c>
    </row>
    <row r="103" spans="3:15" ht="33.75" customHeight="1" x14ac:dyDescent="0.2">
      <c r="C103" s="350"/>
      <c r="D103" s="351"/>
      <c r="E103" s="49" t="s">
        <v>21</v>
      </c>
      <c r="F103" s="101">
        <v>6.941749753947537</v>
      </c>
      <c r="G103" s="65">
        <v>3.0145446340191562E-2</v>
      </c>
      <c r="H103" s="41"/>
      <c r="I103" s="350"/>
      <c r="J103" s="49" t="s">
        <v>21</v>
      </c>
      <c r="K103" s="101">
        <v>7.4135662043154014</v>
      </c>
      <c r="L103" s="66">
        <v>-0.23990703067140728</v>
      </c>
      <c r="M103" s="354" t="s">
        <v>26</v>
      </c>
    </row>
    <row r="104" spans="3:15" ht="33.75" customHeight="1" x14ac:dyDescent="0.2">
      <c r="C104" s="350"/>
      <c r="D104" s="351"/>
      <c r="E104" s="42" t="s">
        <v>22</v>
      </c>
      <c r="F104" s="102">
        <v>6.4030468918821581</v>
      </c>
      <c r="G104" s="65">
        <v>0.45217473984505485</v>
      </c>
      <c r="H104" s="41"/>
      <c r="I104" s="350"/>
      <c r="J104" s="42" t="s">
        <v>22</v>
      </c>
      <c r="K104" s="102">
        <v>6.8439468320535175</v>
      </c>
      <c r="L104" s="66">
        <v>0.13634844287440373</v>
      </c>
      <c r="M104" s="354" t="s">
        <v>26</v>
      </c>
      <c r="O104" s="103"/>
    </row>
    <row r="105" spans="3:15" ht="33.75" customHeight="1" x14ac:dyDescent="0.2">
      <c r="C105" s="350"/>
      <c r="D105" s="351"/>
      <c r="E105" s="49" t="s">
        <v>23</v>
      </c>
      <c r="F105" s="101">
        <v>3.7844971854556517</v>
      </c>
      <c r="G105" s="65">
        <v>0.83537051087535685</v>
      </c>
      <c r="H105" s="41"/>
      <c r="I105" s="350"/>
      <c r="J105" s="49" t="s">
        <v>23</v>
      </c>
      <c r="K105" s="101">
        <v>3.842135919003649</v>
      </c>
      <c r="L105" s="66">
        <v>0.2425577678653843</v>
      </c>
      <c r="M105" s="354" t="s">
        <v>26</v>
      </c>
    </row>
    <row r="106" spans="3:15" ht="33.75" customHeight="1" thickBot="1" x14ac:dyDescent="0.25">
      <c r="C106" s="352"/>
      <c r="D106" s="353"/>
      <c r="E106" s="44" t="s">
        <v>24</v>
      </c>
      <c r="F106" s="104">
        <v>4.1204705882352943</v>
      </c>
      <c r="G106" s="68">
        <v>0.21054373348085331</v>
      </c>
      <c r="H106" s="98"/>
      <c r="I106" s="352"/>
      <c r="J106" s="44" t="s">
        <v>24</v>
      </c>
      <c r="K106" s="104">
        <v>4.0445011482521052</v>
      </c>
      <c r="L106" s="69">
        <v>-7.2020933766822282E-2</v>
      </c>
      <c r="M106" s="354" t="s">
        <v>26</v>
      </c>
    </row>
    <row r="107" spans="3:15" ht="5.25" customHeight="1" thickBot="1" x14ac:dyDescent="0.25">
      <c r="C107" s="59"/>
      <c r="D107" s="59"/>
      <c r="E107" s="59"/>
      <c r="F107" s="59"/>
      <c r="G107" s="59"/>
      <c r="H107" s="59"/>
      <c r="I107" s="59"/>
      <c r="J107" s="59"/>
      <c r="K107" s="59"/>
      <c r="L107" s="59"/>
      <c r="M107" s="59"/>
    </row>
    <row r="108" spans="3:15" ht="20.100000000000001" customHeight="1" thickBot="1" x14ac:dyDescent="0.25">
      <c r="C108" s="256" t="s">
        <v>28</v>
      </c>
      <c r="D108" s="257"/>
      <c r="E108" s="257"/>
      <c r="F108" s="257"/>
      <c r="G108" s="257"/>
      <c r="H108" s="257"/>
      <c r="I108" s="257"/>
      <c r="J108" s="257"/>
      <c r="K108" s="257"/>
      <c r="L108" s="257"/>
      <c r="M108" s="258"/>
    </row>
    <row r="109" spans="3:15" ht="5.25" customHeight="1" thickBot="1" x14ac:dyDescent="0.25">
      <c r="C109" s="21"/>
      <c r="D109" s="21"/>
      <c r="E109" s="21"/>
      <c r="F109" s="21"/>
      <c r="G109" s="21"/>
      <c r="H109" s="21"/>
      <c r="I109" s="21"/>
      <c r="J109" s="21"/>
      <c r="K109" s="21"/>
      <c r="L109" s="21"/>
      <c r="M109" s="105"/>
    </row>
    <row r="110" spans="3:15" ht="33.75" customHeight="1" x14ac:dyDescent="0.2">
      <c r="C110" s="348" t="s">
        <v>7</v>
      </c>
      <c r="D110" s="349"/>
      <c r="E110" s="38" t="s">
        <v>20</v>
      </c>
      <c r="F110" s="87">
        <v>0.76578108622644336</v>
      </c>
      <c r="G110" s="40">
        <v>-4.0817641156898232E-2</v>
      </c>
      <c r="H110" s="97"/>
      <c r="I110" s="348" t="s">
        <v>7</v>
      </c>
      <c r="J110" s="38" t="s">
        <v>20</v>
      </c>
      <c r="K110" s="87">
        <v>0.74444373141671483</v>
      </c>
      <c r="L110" s="28">
        <v>-7.165418862348838E-2</v>
      </c>
      <c r="M110" s="354" t="s">
        <v>9</v>
      </c>
    </row>
    <row r="111" spans="3:15" ht="33.75" customHeight="1" x14ac:dyDescent="0.2">
      <c r="C111" s="350"/>
      <c r="D111" s="351"/>
      <c r="E111" s="49" t="s">
        <v>21</v>
      </c>
      <c r="F111" s="91">
        <v>0.75586890554652786</v>
      </c>
      <c r="G111" s="31">
        <v>-9.2780007559164157E-2</v>
      </c>
      <c r="H111" s="41"/>
      <c r="I111" s="350"/>
      <c r="J111" s="49" t="s">
        <v>21</v>
      </c>
      <c r="K111" s="91">
        <v>0.78105557594077801</v>
      </c>
      <c r="L111" s="33">
        <v>-5.3348325815382847E-2</v>
      </c>
      <c r="M111" s="354" t="s">
        <v>26</v>
      </c>
    </row>
    <row r="112" spans="3:15" ht="33.75" customHeight="1" x14ac:dyDescent="0.2">
      <c r="C112" s="350"/>
      <c r="D112" s="351"/>
      <c r="E112" s="42" t="s">
        <v>22</v>
      </c>
      <c r="F112" s="88">
        <v>0.67879655613462386</v>
      </c>
      <c r="G112" s="31">
        <v>-6.6921034124426515E-2</v>
      </c>
      <c r="H112" s="41"/>
      <c r="I112" s="350"/>
      <c r="J112" s="42" t="s">
        <v>22</v>
      </c>
      <c r="K112" s="88">
        <v>0.70992736193039729</v>
      </c>
      <c r="L112" s="33">
        <v>-5.1944898370201109E-2</v>
      </c>
      <c r="M112" s="354" t="s">
        <v>26</v>
      </c>
    </row>
    <row r="113" spans="3:19" ht="33.75" customHeight="1" x14ac:dyDescent="0.2">
      <c r="C113" s="350"/>
      <c r="D113" s="351"/>
      <c r="E113" s="49" t="s">
        <v>23</v>
      </c>
      <c r="F113" s="91">
        <v>0.52696748225823531</v>
      </c>
      <c r="G113" s="31">
        <v>-4.6422479060050259E-2</v>
      </c>
      <c r="H113" s="41"/>
      <c r="I113" s="350"/>
      <c r="J113" s="49" t="s">
        <v>23</v>
      </c>
      <c r="K113" s="91">
        <v>0.59389100730854782</v>
      </c>
      <c r="L113" s="33">
        <v>-9.3658189636011691E-2</v>
      </c>
      <c r="M113" s="354" t="s">
        <v>26</v>
      </c>
    </row>
    <row r="114" spans="3:19" ht="33.75" customHeight="1" thickBot="1" x14ac:dyDescent="0.25">
      <c r="C114" s="352"/>
      <c r="D114" s="353"/>
      <c r="E114" s="44" t="s">
        <v>24</v>
      </c>
      <c r="F114" s="89">
        <v>0.52399760622381808</v>
      </c>
      <c r="G114" s="46">
        <v>-6.3979902720615822E-2</v>
      </c>
      <c r="H114" s="98"/>
      <c r="I114" s="352"/>
      <c r="J114" s="44" t="s">
        <v>24</v>
      </c>
      <c r="K114" s="89">
        <v>0.59284859365649312</v>
      </c>
      <c r="L114" s="37">
        <v>-5.105608506154502E-2</v>
      </c>
      <c r="M114" s="354" t="s">
        <v>26</v>
      </c>
    </row>
    <row r="115" spans="3:19" ht="5.25" customHeight="1" thickBot="1" x14ac:dyDescent="0.25">
      <c r="C115" s="106"/>
      <c r="D115" s="106"/>
      <c r="E115" s="107"/>
      <c r="F115" s="59"/>
      <c r="G115" s="108"/>
      <c r="H115" s="109"/>
      <c r="I115" s="59"/>
      <c r="J115" s="108"/>
      <c r="K115" s="107"/>
      <c r="L115" s="106"/>
      <c r="M115" s="110"/>
    </row>
    <row r="116" spans="3:19" ht="17.25" customHeight="1" thickBot="1" x14ac:dyDescent="0.25">
      <c r="C116" s="335"/>
      <c r="D116" s="336"/>
      <c r="E116" s="336"/>
      <c r="F116" s="336"/>
      <c r="G116" s="336"/>
      <c r="H116" s="336"/>
      <c r="I116" s="336"/>
      <c r="J116" s="336"/>
      <c r="K116" s="336"/>
      <c r="L116" s="336"/>
      <c r="M116" s="337"/>
    </row>
    <row r="117" spans="3:19" ht="50.25" customHeight="1" thickBot="1" x14ac:dyDescent="0.25">
      <c r="C117" s="2"/>
      <c r="D117" s="2"/>
      <c r="E117" s="280" t="str">
        <f>$E$1</f>
        <v>INDICADORES TURÍSTICOS DE TENERIFE definitivo</v>
      </c>
      <c r="F117" s="280"/>
      <c r="G117" s="280"/>
      <c r="H117" s="280"/>
      <c r="I117" s="280"/>
      <c r="J117" s="280"/>
      <c r="K117" s="280"/>
      <c r="L117" s="2"/>
      <c r="M117" s="2"/>
    </row>
    <row r="118" spans="3:19" s="1" customFormat="1" ht="9" customHeight="1" thickBot="1" x14ac:dyDescent="0.25">
      <c r="C118" s="111"/>
      <c r="D118" s="112"/>
      <c r="E118" s="113"/>
      <c r="F118" s="113"/>
      <c r="G118" s="113"/>
      <c r="H118" s="113"/>
      <c r="I118" s="113"/>
      <c r="J118" s="113"/>
      <c r="K118" s="113"/>
      <c r="L118" s="112"/>
      <c r="M118" s="114"/>
      <c r="O118" s="3"/>
      <c r="P118" s="3"/>
      <c r="Q118" s="3"/>
      <c r="R118" s="3"/>
      <c r="S118" s="3"/>
    </row>
    <row r="119" spans="3:19" ht="33" customHeight="1" thickBot="1" x14ac:dyDescent="0.25">
      <c r="C119" s="343" t="s">
        <v>29</v>
      </c>
      <c r="D119" s="344"/>
      <c r="E119" s="344"/>
      <c r="F119" s="344"/>
      <c r="G119" s="344"/>
      <c r="H119" s="344"/>
      <c r="I119" s="344"/>
      <c r="J119" s="344"/>
      <c r="K119" s="344"/>
      <c r="L119" s="344"/>
      <c r="M119" s="345"/>
    </row>
    <row r="120" spans="3:19" ht="20.100000000000001" customHeight="1" x14ac:dyDescent="0.2">
      <c r="C120" s="115"/>
      <c r="D120" s="116"/>
      <c r="E120" s="116"/>
      <c r="F120" s="116"/>
      <c r="G120" s="346" t="str">
        <f>C2</f>
        <v>abril 2018</v>
      </c>
      <c r="H120" s="347"/>
      <c r="I120" s="347"/>
      <c r="J120" s="116"/>
      <c r="K120" s="116"/>
      <c r="L120" s="116"/>
      <c r="M120" s="117"/>
    </row>
    <row r="121" spans="3:19" ht="5.25" customHeight="1" thickBot="1" x14ac:dyDescent="0.25">
      <c r="C121" s="118"/>
      <c r="D121" s="116"/>
      <c r="E121" s="116"/>
      <c r="F121" s="116"/>
      <c r="G121" s="119"/>
      <c r="H121" s="119"/>
      <c r="I121" s="119"/>
      <c r="J121" s="116"/>
      <c r="K121" s="116"/>
      <c r="L121" s="116"/>
      <c r="M121" s="120"/>
    </row>
    <row r="122" spans="3:19" ht="33" customHeight="1" thickTop="1" thickBot="1" x14ac:dyDescent="0.25">
      <c r="C122" s="121"/>
      <c r="D122" s="326" t="s">
        <v>7</v>
      </c>
      <c r="E122" s="327"/>
      <c r="F122" s="326" t="s">
        <v>30</v>
      </c>
      <c r="G122" s="327"/>
      <c r="H122" s="326" t="s">
        <v>31</v>
      </c>
      <c r="I122" s="327"/>
      <c r="J122" s="326" t="s">
        <v>32</v>
      </c>
      <c r="K122" s="327"/>
      <c r="L122" s="326" t="s">
        <v>33</v>
      </c>
      <c r="M122" s="327"/>
    </row>
    <row r="123" spans="3:19" ht="31.5" customHeight="1" thickBot="1" x14ac:dyDescent="0.25">
      <c r="C123" s="122"/>
      <c r="D123" s="123" t="s">
        <v>34</v>
      </c>
      <c r="E123" s="124" t="s">
        <v>35</v>
      </c>
      <c r="F123" s="123" t="s">
        <v>34</v>
      </c>
      <c r="G123" s="124" t="s">
        <v>35</v>
      </c>
      <c r="H123" s="123" t="s">
        <v>34</v>
      </c>
      <c r="I123" s="124" t="s">
        <v>35</v>
      </c>
      <c r="J123" s="123" t="s">
        <v>34</v>
      </c>
      <c r="K123" s="124" t="s">
        <v>35</v>
      </c>
      <c r="L123" s="123" t="s">
        <v>34</v>
      </c>
      <c r="M123" s="124" t="s">
        <v>35</v>
      </c>
    </row>
    <row r="124" spans="3:19" ht="24" customHeight="1" thickBot="1" x14ac:dyDescent="0.25">
      <c r="C124" s="125" t="s">
        <v>36</v>
      </c>
      <c r="D124" s="126">
        <v>98215</v>
      </c>
      <c r="E124" s="127">
        <v>-0.1540482342807924</v>
      </c>
      <c r="F124" s="126">
        <v>13426</v>
      </c>
      <c r="G124" s="127">
        <v>4.8906249999999929E-2</v>
      </c>
      <c r="H124" s="126">
        <v>2860</v>
      </c>
      <c r="I124" s="127">
        <v>0.59065628476084542</v>
      </c>
      <c r="J124" s="126">
        <v>44867</v>
      </c>
      <c r="K124" s="127">
        <v>-2.1930111394502183E-2</v>
      </c>
      <c r="L124" s="126">
        <v>37062</v>
      </c>
      <c r="M124" s="127">
        <v>-0.33376476298333602</v>
      </c>
    </row>
    <row r="125" spans="3:19" ht="27" customHeight="1" thickBot="1" x14ac:dyDescent="0.25">
      <c r="C125" s="128" t="s">
        <v>37</v>
      </c>
      <c r="D125" s="129">
        <v>21418.906655206905</v>
      </c>
      <c r="E125" s="130">
        <v>-0.30827518053416059</v>
      </c>
      <c r="F125" s="129" t="s">
        <v>38</v>
      </c>
      <c r="G125" s="130" t="s">
        <v>38</v>
      </c>
      <c r="H125" s="129" t="s">
        <v>38</v>
      </c>
      <c r="I125" s="130" t="s">
        <v>38</v>
      </c>
      <c r="J125" s="129" t="s">
        <v>38</v>
      </c>
      <c r="K125" s="130" t="s">
        <v>38</v>
      </c>
      <c r="L125" s="129" t="s">
        <v>38</v>
      </c>
      <c r="M125" s="130" t="s">
        <v>38</v>
      </c>
    </row>
    <row r="126" spans="3:19" ht="28.5" customHeight="1" thickBot="1" x14ac:dyDescent="0.25">
      <c r="C126" s="131" t="s">
        <v>39</v>
      </c>
      <c r="D126" s="132">
        <v>13525.454247447806</v>
      </c>
      <c r="E126" s="133">
        <v>3.5889942245525441E-2</v>
      </c>
      <c r="F126" s="132" t="s">
        <v>38</v>
      </c>
      <c r="G126" s="133" t="s">
        <v>38</v>
      </c>
      <c r="H126" s="132" t="s">
        <v>38</v>
      </c>
      <c r="I126" s="133" t="s">
        <v>38</v>
      </c>
      <c r="J126" s="132" t="s">
        <v>38</v>
      </c>
      <c r="K126" s="133" t="s">
        <v>38</v>
      </c>
      <c r="L126" s="132" t="s">
        <v>38</v>
      </c>
      <c r="M126" s="133" t="s">
        <v>38</v>
      </c>
    </row>
    <row r="127" spans="3:19" ht="27.75" customHeight="1" thickBot="1" x14ac:dyDescent="0.25">
      <c r="C127" s="131" t="s">
        <v>40</v>
      </c>
      <c r="D127" s="132">
        <v>63270.639097345287</v>
      </c>
      <c r="E127" s="133">
        <v>-0.12220017581031217</v>
      </c>
      <c r="F127" s="132" t="s">
        <v>38</v>
      </c>
      <c r="G127" s="133" t="s">
        <v>38</v>
      </c>
      <c r="H127" s="132" t="s">
        <v>38</v>
      </c>
      <c r="I127" s="133" t="s">
        <v>38</v>
      </c>
      <c r="J127" s="132" t="s">
        <v>38</v>
      </c>
      <c r="K127" s="133" t="s">
        <v>38</v>
      </c>
      <c r="L127" s="132" t="s">
        <v>38</v>
      </c>
      <c r="M127" s="133" t="s">
        <v>38</v>
      </c>
    </row>
    <row r="128" spans="3:19" ht="24" customHeight="1" thickBot="1" x14ac:dyDescent="0.25">
      <c r="C128" s="134" t="s">
        <v>41</v>
      </c>
      <c r="D128" s="135">
        <v>17846</v>
      </c>
      <c r="E128" s="133">
        <v>8.4195061309826347E-3</v>
      </c>
      <c r="F128" s="135">
        <v>87</v>
      </c>
      <c r="G128" s="133">
        <v>-0.18691588785046731</v>
      </c>
      <c r="H128" s="135">
        <v>106</v>
      </c>
      <c r="I128" s="133">
        <v>4.9504950495049549E-2</v>
      </c>
      <c r="J128" s="135">
        <v>1292</v>
      </c>
      <c r="K128" s="133">
        <v>0.10521813515825484</v>
      </c>
      <c r="L128" s="135">
        <v>16361</v>
      </c>
      <c r="M128" s="133">
        <v>2.5122549019607199E-3</v>
      </c>
    </row>
    <row r="129" spans="3:13" ht="24" customHeight="1" thickBot="1" x14ac:dyDescent="0.25">
      <c r="C129" s="136" t="s">
        <v>42</v>
      </c>
      <c r="D129" s="132">
        <v>15132</v>
      </c>
      <c r="E129" s="133">
        <v>7.5556187362285865E-2</v>
      </c>
      <c r="F129" s="132">
        <v>180</v>
      </c>
      <c r="G129" s="133">
        <v>0.18421052631578938</v>
      </c>
      <c r="H129" s="132">
        <v>106</v>
      </c>
      <c r="I129" s="133">
        <v>1.7179487179487181</v>
      </c>
      <c r="J129" s="132">
        <v>748</v>
      </c>
      <c r="K129" s="133">
        <v>-0.2076271186440678</v>
      </c>
      <c r="L129" s="132">
        <v>14098</v>
      </c>
      <c r="M129" s="133">
        <v>8.9995361063862633E-2</v>
      </c>
    </row>
    <row r="130" spans="3:13" ht="24" customHeight="1" thickBot="1" x14ac:dyDescent="0.25">
      <c r="C130" s="134" t="s">
        <v>43</v>
      </c>
      <c r="D130" s="135">
        <v>47769</v>
      </c>
      <c r="E130" s="133">
        <v>-8.8012371370205567E-2</v>
      </c>
      <c r="F130" s="135">
        <v>654</v>
      </c>
      <c r="G130" s="133">
        <v>3.9745627980922071E-2</v>
      </c>
      <c r="H130" s="135">
        <v>1119</v>
      </c>
      <c r="I130" s="133">
        <v>4.3843283582089443E-2</v>
      </c>
      <c r="J130" s="135">
        <v>17104</v>
      </c>
      <c r="K130" s="133">
        <v>-3.6828471674738128E-2</v>
      </c>
      <c r="L130" s="135">
        <v>28892</v>
      </c>
      <c r="M130" s="133">
        <v>-0.12235722964763063</v>
      </c>
    </row>
    <row r="131" spans="3:13" ht="24" customHeight="1" thickBot="1" x14ac:dyDescent="0.25">
      <c r="C131" s="136" t="s">
        <v>44</v>
      </c>
      <c r="D131" s="132">
        <v>22806</v>
      </c>
      <c r="E131" s="133">
        <v>-7.74451792551345E-3</v>
      </c>
      <c r="F131" s="132">
        <v>488</v>
      </c>
      <c r="G131" s="133">
        <v>-0.26726726726726724</v>
      </c>
      <c r="H131" s="132">
        <v>496</v>
      </c>
      <c r="I131" s="133">
        <v>0.62091503267973858</v>
      </c>
      <c r="J131" s="132">
        <v>5301</v>
      </c>
      <c r="K131" s="133">
        <v>0.19391891891891899</v>
      </c>
      <c r="L131" s="132">
        <v>16521</v>
      </c>
      <c r="M131" s="133">
        <v>-5.9811063054860059E-2</v>
      </c>
    </row>
    <row r="132" spans="3:13" ht="24" customHeight="1" thickBot="1" x14ac:dyDescent="0.25">
      <c r="C132" s="134" t="s">
        <v>45</v>
      </c>
      <c r="D132" s="135">
        <v>161374</v>
      </c>
      <c r="E132" s="133">
        <v>-9.5148113466746675E-2</v>
      </c>
      <c r="F132" s="135">
        <v>610</v>
      </c>
      <c r="G132" s="133">
        <v>-0.28654970760233922</v>
      </c>
      <c r="H132" s="135">
        <v>198</v>
      </c>
      <c r="I132" s="133">
        <v>0.1061452513966481</v>
      </c>
      <c r="J132" s="135">
        <v>6616</v>
      </c>
      <c r="K132" s="133">
        <v>-0.25937534982648602</v>
      </c>
      <c r="L132" s="135">
        <v>153950</v>
      </c>
      <c r="M132" s="133">
        <v>-8.5677293676058364E-2</v>
      </c>
    </row>
    <row r="133" spans="3:13" ht="24" customHeight="1" thickBot="1" x14ac:dyDescent="0.25">
      <c r="C133" s="136" t="s">
        <v>46</v>
      </c>
      <c r="D133" s="132">
        <v>9047</v>
      </c>
      <c r="E133" s="133">
        <v>9.7936893203883546E-2</v>
      </c>
      <c r="F133" s="132">
        <v>52</v>
      </c>
      <c r="G133" s="133">
        <v>-0.51401869158878499</v>
      </c>
      <c r="H133" s="132">
        <v>16</v>
      </c>
      <c r="I133" s="133">
        <v>1.6666666666666665</v>
      </c>
      <c r="J133" s="132">
        <v>554</v>
      </c>
      <c r="K133" s="133">
        <v>0.40253164556962018</v>
      </c>
      <c r="L133" s="132">
        <v>8425</v>
      </c>
      <c r="M133" s="133">
        <v>8.9627521986549441E-2</v>
      </c>
    </row>
    <row r="134" spans="3:13" ht="24" customHeight="1" thickBot="1" x14ac:dyDescent="0.25">
      <c r="C134" s="134" t="s">
        <v>47</v>
      </c>
      <c r="D134" s="135">
        <v>12367</v>
      </c>
      <c r="E134" s="133">
        <v>-3.8634950248756184E-2</v>
      </c>
      <c r="F134" s="135">
        <v>458</v>
      </c>
      <c r="G134" s="133">
        <v>-0.29969418960244654</v>
      </c>
      <c r="H134" s="135">
        <v>153</v>
      </c>
      <c r="I134" s="133">
        <v>0.26446280991735538</v>
      </c>
      <c r="J134" s="135">
        <v>1371</v>
      </c>
      <c r="K134" s="133">
        <v>0.18189655172413799</v>
      </c>
      <c r="L134" s="135">
        <v>10385</v>
      </c>
      <c r="M134" s="133">
        <v>-4.9775825784609706E-2</v>
      </c>
    </row>
    <row r="135" spans="3:13" ht="24" customHeight="1" thickBot="1" x14ac:dyDescent="0.25">
      <c r="C135" s="136" t="s">
        <v>48</v>
      </c>
      <c r="D135" s="132">
        <v>28079</v>
      </c>
      <c r="E135" s="133">
        <v>-0.15071683503720279</v>
      </c>
      <c r="F135" s="132">
        <v>626</v>
      </c>
      <c r="G135" s="133">
        <v>-0.37148594377510036</v>
      </c>
      <c r="H135" s="132">
        <v>69</v>
      </c>
      <c r="I135" s="133">
        <v>1.4642857142857144</v>
      </c>
      <c r="J135" s="132">
        <v>3239</v>
      </c>
      <c r="K135" s="133">
        <v>-0.18679387396434843</v>
      </c>
      <c r="L135" s="132">
        <v>24145</v>
      </c>
      <c r="M135" s="133">
        <v>-0.13936909641775086</v>
      </c>
    </row>
    <row r="136" spans="3:13" ht="24" customHeight="1" thickBot="1" x14ac:dyDescent="0.25">
      <c r="C136" s="137" t="s">
        <v>49</v>
      </c>
      <c r="D136" s="135">
        <v>11705</v>
      </c>
      <c r="E136" s="133">
        <v>-8.5975324066843717E-2</v>
      </c>
      <c r="F136" s="135">
        <v>239</v>
      </c>
      <c r="G136" s="133">
        <v>-0.26687116564417179</v>
      </c>
      <c r="H136" s="135">
        <v>20</v>
      </c>
      <c r="I136" s="133">
        <v>4</v>
      </c>
      <c r="J136" s="135">
        <v>1057</v>
      </c>
      <c r="K136" s="133">
        <v>-0.13360655737704918</v>
      </c>
      <c r="L136" s="135">
        <v>10389</v>
      </c>
      <c r="M136" s="133">
        <v>-7.702558635394452E-2</v>
      </c>
    </row>
    <row r="137" spans="3:13" ht="24" customHeight="1" thickBot="1" x14ac:dyDescent="0.25">
      <c r="C137" s="131" t="s">
        <v>50</v>
      </c>
      <c r="D137" s="132">
        <v>4120</v>
      </c>
      <c r="E137" s="133">
        <v>-0.2277413308341143</v>
      </c>
      <c r="F137" s="132">
        <v>150</v>
      </c>
      <c r="G137" s="133">
        <v>-0.26829268292682928</v>
      </c>
      <c r="H137" s="132">
        <v>19</v>
      </c>
      <c r="I137" s="133">
        <v>3.75</v>
      </c>
      <c r="J137" s="132">
        <v>325</v>
      </c>
      <c r="K137" s="133">
        <v>-0.22985781990521326</v>
      </c>
      <c r="L137" s="132">
        <v>3626</v>
      </c>
      <c r="M137" s="133">
        <v>-0.22916666666666663</v>
      </c>
    </row>
    <row r="138" spans="3:13" ht="24" customHeight="1" thickBot="1" x14ac:dyDescent="0.25">
      <c r="C138" s="137" t="s">
        <v>51</v>
      </c>
      <c r="D138" s="135">
        <v>6136</v>
      </c>
      <c r="E138" s="133">
        <v>-0.24822347463856897</v>
      </c>
      <c r="F138" s="135">
        <v>102</v>
      </c>
      <c r="G138" s="133">
        <v>-0.63957597173144876</v>
      </c>
      <c r="H138" s="135">
        <v>23</v>
      </c>
      <c r="I138" s="133">
        <v>0.35294117647058831</v>
      </c>
      <c r="J138" s="135">
        <v>663</v>
      </c>
      <c r="K138" s="133">
        <v>0.28239845261121865</v>
      </c>
      <c r="L138" s="135">
        <v>5348</v>
      </c>
      <c r="M138" s="133">
        <v>-0.27188563648740638</v>
      </c>
    </row>
    <row r="139" spans="3:13" ht="24" customHeight="1" thickBot="1" x14ac:dyDescent="0.25">
      <c r="C139" s="131" t="s">
        <v>52</v>
      </c>
      <c r="D139" s="132">
        <v>6118</v>
      </c>
      <c r="E139" s="133">
        <v>-9.483651427725992E-2</v>
      </c>
      <c r="F139" s="132">
        <v>135</v>
      </c>
      <c r="G139" s="133">
        <v>-0.25824175824175821</v>
      </c>
      <c r="H139" s="132">
        <v>7</v>
      </c>
      <c r="I139" s="133">
        <v>1.3333333333333335</v>
      </c>
      <c r="J139" s="132">
        <v>1194</v>
      </c>
      <c r="K139" s="133">
        <v>-0.34539473684210531</v>
      </c>
      <c r="L139" s="132">
        <v>4782</v>
      </c>
      <c r="M139" s="133">
        <v>6.7368421052631522E-3</v>
      </c>
    </row>
    <row r="140" spans="3:13" ht="24" customHeight="1" thickBot="1" x14ac:dyDescent="0.25">
      <c r="C140" s="134" t="s">
        <v>53</v>
      </c>
      <c r="D140" s="135">
        <v>5593</v>
      </c>
      <c r="E140" s="133">
        <v>-6.3776364245061945E-2</v>
      </c>
      <c r="F140" s="135">
        <v>143</v>
      </c>
      <c r="G140" s="133">
        <v>-0.10062893081761004</v>
      </c>
      <c r="H140" s="135">
        <v>103</v>
      </c>
      <c r="I140" s="133">
        <v>0.43055555555555558</v>
      </c>
      <c r="J140" s="135">
        <v>976</v>
      </c>
      <c r="K140" s="133">
        <v>1.2448132780082943E-2</v>
      </c>
      <c r="L140" s="135">
        <v>4371</v>
      </c>
      <c r="M140" s="133">
        <v>-8.5373509102322664E-2</v>
      </c>
    </row>
    <row r="141" spans="3:13" ht="24" customHeight="1" thickBot="1" x14ac:dyDescent="0.25">
      <c r="C141" s="136" t="s">
        <v>54</v>
      </c>
      <c r="D141" s="132">
        <v>2164</v>
      </c>
      <c r="E141" s="133">
        <v>-0.26594301221166894</v>
      </c>
      <c r="F141" s="132">
        <v>40</v>
      </c>
      <c r="G141" s="133">
        <v>-0.39393939393939392</v>
      </c>
      <c r="H141" s="132">
        <v>49</v>
      </c>
      <c r="I141" s="133">
        <v>0.6333333333333333</v>
      </c>
      <c r="J141" s="132">
        <v>664</v>
      </c>
      <c r="K141" s="133">
        <v>-3.6284470246734424E-2</v>
      </c>
      <c r="L141" s="132">
        <v>1411</v>
      </c>
      <c r="M141" s="133">
        <v>-0.34766527970411465</v>
      </c>
    </row>
    <row r="142" spans="3:13" ht="24" customHeight="1" thickBot="1" x14ac:dyDescent="0.25">
      <c r="C142" s="134" t="s">
        <v>55</v>
      </c>
      <c r="D142" s="135">
        <v>6737</v>
      </c>
      <c r="E142" s="133">
        <v>-4.3175685271978459E-2</v>
      </c>
      <c r="F142" s="135">
        <v>200</v>
      </c>
      <c r="G142" s="133">
        <v>0.40845070422535201</v>
      </c>
      <c r="H142" s="135">
        <v>48</v>
      </c>
      <c r="I142" s="133">
        <v>0.65517241379310343</v>
      </c>
      <c r="J142" s="135">
        <v>721</v>
      </c>
      <c r="K142" s="133">
        <v>0.12480499219968788</v>
      </c>
      <c r="L142" s="135">
        <v>5768</v>
      </c>
      <c r="M142" s="133">
        <v>-7.4008669128270976E-2</v>
      </c>
    </row>
    <row r="143" spans="3:13" ht="24" customHeight="1" thickBot="1" x14ac:dyDescent="0.25">
      <c r="C143" s="136" t="s">
        <v>56</v>
      </c>
      <c r="D143" s="132">
        <v>15026</v>
      </c>
      <c r="E143" s="133">
        <v>0.24181818181818171</v>
      </c>
      <c r="F143" s="132">
        <v>163</v>
      </c>
      <c r="G143" s="133">
        <v>-0.30638297872340425</v>
      </c>
      <c r="H143" s="132">
        <v>58</v>
      </c>
      <c r="I143" s="133">
        <v>2.8666666666666667</v>
      </c>
      <c r="J143" s="132">
        <v>1655</v>
      </c>
      <c r="K143" s="133">
        <v>0.22140221402214033</v>
      </c>
      <c r="L143" s="132">
        <v>13150</v>
      </c>
      <c r="M143" s="133">
        <v>0.25297760838494532</v>
      </c>
    </row>
    <row r="144" spans="3:13" ht="24" customHeight="1" thickBot="1" x14ac:dyDescent="0.25">
      <c r="C144" s="134" t="s">
        <v>57</v>
      </c>
      <c r="D144" s="135">
        <v>11248</v>
      </c>
      <c r="E144" s="133">
        <v>-0.18716577540106949</v>
      </c>
      <c r="F144" s="135">
        <v>479</v>
      </c>
      <c r="G144" s="133">
        <v>-0.11948529411764708</v>
      </c>
      <c r="H144" s="135">
        <v>86</v>
      </c>
      <c r="I144" s="133">
        <v>1.3888888888888888</v>
      </c>
      <c r="J144" s="135">
        <v>2262</v>
      </c>
      <c r="K144" s="133">
        <v>-0.11259317379364453</v>
      </c>
      <c r="L144" s="135">
        <v>8421</v>
      </c>
      <c r="M144" s="133">
        <v>-0.21365206835372119</v>
      </c>
    </row>
    <row r="145" spans="3:13" ht="24" customHeight="1" thickBot="1" x14ac:dyDescent="0.25">
      <c r="C145" s="136" t="s">
        <v>58</v>
      </c>
      <c r="D145" s="132">
        <v>1927</v>
      </c>
      <c r="E145" s="133">
        <v>-0.12089416058394165</v>
      </c>
      <c r="F145" s="132">
        <v>158</v>
      </c>
      <c r="G145" s="133">
        <v>-0.48534201954397393</v>
      </c>
      <c r="H145" s="132">
        <v>78</v>
      </c>
      <c r="I145" s="133">
        <v>0.34482758620689657</v>
      </c>
      <c r="J145" s="132">
        <v>214</v>
      </c>
      <c r="K145" s="133">
        <v>-0.27457627118644068</v>
      </c>
      <c r="L145" s="132">
        <v>1477</v>
      </c>
      <c r="M145" s="133">
        <v>-3.5900783289817273E-2</v>
      </c>
    </row>
    <row r="146" spans="3:13" ht="24" customHeight="1" thickBot="1" x14ac:dyDescent="0.25">
      <c r="C146" s="134" t="s">
        <v>59</v>
      </c>
      <c r="D146" s="135">
        <v>1797</v>
      </c>
      <c r="E146" s="133">
        <v>0.14750957854406122</v>
      </c>
      <c r="F146" s="135">
        <v>465</v>
      </c>
      <c r="G146" s="133">
        <v>0.37982195845697331</v>
      </c>
      <c r="H146" s="135">
        <v>79</v>
      </c>
      <c r="I146" s="133">
        <v>1.393939393939394</v>
      </c>
      <c r="J146" s="135">
        <v>471</v>
      </c>
      <c r="K146" s="133">
        <v>0.48113207547169812</v>
      </c>
      <c r="L146" s="135">
        <v>782</v>
      </c>
      <c r="M146" s="133">
        <v>-0.10933940774487472</v>
      </c>
    </row>
    <row r="147" spans="3:13" ht="24" customHeight="1" thickBot="1" x14ac:dyDescent="0.25">
      <c r="C147" s="136" t="s">
        <v>60</v>
      </c>
      <c r="D147" s="138">
        <v>6297</v>
      </c>
      <c r="E147" s="139">
        <v>8.7376964254878287E-2</v>
      </c>
      <c r="F147" s="138">
        <v>461</v>
      </c>
      <c r="G147" s="139">
        <v>-0.12689393939393945</v>
      </c>
      <c r="H147" s="138">
        <v>113</v>
      </c>
      <c r="I147" s="139">
        <v>2.1388888888888888</v>
      </c>
      <c r="J147" s="138">
        <v>1167</v>
      </c>
      <c r="K147" s="139">
        <v>0.17641129032258074</v>
      </c>
      <c r="L147" s="138">
        <v>4556</v>
      </c>
      <c r="M147" s="139">
        <v>7.5796930342384883E-2</v>
      </c>
    </row>
    <row r="148" spans="3:13" ht="30.75" customHeight="1" thickTop="1" thickBot="1" x14ac:dyDescent="0.25">
      <c r="C148" s="140" t="s">
        <v>61</v>
      </c>
      <c r="D148" s="141">
        <v>365209</v>
      </c>
      <c r="E148" s="142">
        <v>-6.6171807879556566E-2</v>
      </c>
      <c r="F148" s="141">
        <v>5264</v>
      </c>
      <c r="G148" s="142">
        <v>-0.18815545959284397</v>
      </c>
      <c r="H148" s="141">
        <v>2877</v>
      </c>
      <c r="I148" s="142">
        <v>0.33132808884775566</v>
      </c>
      <c r="J148" s="141">
        <v>44355</v>
      </c>
      <c r="K148" s="142">
        <v>-4.7869485886014806E-2</v>
      </c>
      <c r="L148" s="141">
        <v>312713</v>
      </c>
      <c r="M148" s="142">
        <v>-6.8913052540061526E-2</v>
      </c>
    </row>
    <row r="149" spans="3:13" ht="24" customHeight="1" thickBot="1" x14ac:dyDescent="0.25">
      <c r="C149" s="143" t="s">
        <v>8</v>
      </c>
      <c r="D149" s="144">
        <v>463424</v>
      </c>
      <c r="E149" s="145">
        <v>-8.6287530462077155E-2</v>
      </c>
      <c r="F149" s="144">
        <v>18690</v>
      </c>
      <c r="G149" s="145">
        <v>-3.0802738021157405E-2</v>
      </c>
      <c r="H149" s="144">
        <v>5737</v>
      </c>
      <c r="I149" s="145">
        <v>0.44910330891639294</v>
      </c>
      <c r="J149" s="144">
        <v>89222</v>
      </c>
      <c r="K149" s="145">
        <v>-3.499967552834804E-2</v>
      </c>
      <c r="L149" s="144">
        <v>349775</v>
      </c>
      <c r="M149" s="145">
        <v>-0.10654759928171309</v>
      </c>
    </row>
    <row r="150" spans="3:13" ht="13.5" thickBot="1" x14ac:dyDescent="0.25">
      <c r="C150" s="13"/>
      <c r="D150" s="4"/>
      <c r="E150" s="4"/>
      <c r="F150" s="4"/>
      <c r="G150" s="4"/>
      <c r="H150" s="4"/>
      <c r="I150" s="4"/>
      <c r="J150" s="4"/>
      <c r="K150" s="4"/>
      <c r="L150" s="4"/>
      <c r="M150" s="146"/>
    </row>
    <row r="151" spans="3:13" ht="35.25" customHeight="1" thickBot="1" x14ac:dyDescent="0.25">
      <c r="C151" s="343" t="s">
        <v>29</v>
      </c>
      <c r="D151" s="344"/>
      <c r="E151" s="344"/>
      <c r="F151" s="344"/>
      <c r="G151" s="344"/>
      <c r="H151" s="344"/>
      <c r="I151" s="344"/>
      <c r="J151" s="344"/>
      <c r="K151" s="344"/>
      <c r="L151" s="344"/>
      <c r="M151" s="345"/>
    </row>
    <row r="152" spans="3:13" ht="20.100000000000001" customHeight="1" x14ac:dyDescent="0.2">
      <c r="C152" s="115"/>
      <c r="D152" s="116"/>
      <c r="E152" s="116"/>
      <c r="F152" s="116"/>
      <c r="G152" s="346" t="str">
        <f>I2</f>
        <v>I cuatrimestre 2018</v>
      </c>
      <c r="H152" s="347"/>
      <c r="I152" s="347"/>
      <c r="J152" s="116"/>
      <c r="K152" s="116"/>
      <c r="L152" s="116"/>
      <c r="M152" s="117"/>
    </row>
    <row r="153" spans="3:13" ht="5.25" customHeight="1" thickBot="1" x14ac:dyDescent="0.25">
      <c r="C153" s="118"/>
      <c r="D153" s="116"/>
      <c r="E153" s="116"/>
      <c r="F153" s="116"/>
      <c r="G153" s="119"/>
      <c r="H153" s="119"/>
      <c r="I153" s="119"/>
      <c r="J153" s="116"/>
      <c r="K153" s="116"/>
      <c r="L153" s="116"/>
      <c r="M153" s="120"/>
    </row>
    <row r="154" spans="3:13" ht="32.25" customHeight="1" thickTop="1" thickBot="1" x14ac:dyDescent="0.25">
      <c r="C154" s="121"/>
      <c r="D154" s="326" t="s">
        <v>7</v>
      </c>
      <c r="E154" s="327"/>
      <c r="F154" s="326" t="s">
        <v>30</v>
      </c>
      <c r="G154" s="327"/>
      <c r="H154" s="326" t="s">
        <v>31</v>
      </c>
      <c r="I154" s="327"/>
      <c r="J154" s="326" t="s">
        <v>32</v>
      </c>
      <c r="K154" s="327"/>
      <c r="L154" s="326" t="s">
        <v>33</v>
      </c>
      <c r="M154" s="327"/>
    </row>
    <row r="155" spans="3:13" ht="31.5" customHeight="1" thickBot="1" x14ac:dyDescent="0.25">
      <c r="C155" s="122"/>
      <c r="D155" s="123" t="s">
        <v>62</v>
      </c>
      <c r="E155" s="124" t="s">
        <v>35</v>
      </c>
      <c r="F155" s="123" t="s">
        <v>62</v>
      </c>
      <c r="G155" s="124" t="s">
        <v>35</v>
      </c>
      <c r="H155" s="123" t="s">
        <v>62</v>
      </c>
      <c r="I155" s="124" t="s">
        <v>35</v>
      </c>
      <c r="J155" s="123" t="s">
        <v>62</v>
      </c>
      <c r="K155" s="124" t="s">
        <v>35</v>
      </c>
      <c r="L155" s="123" t="s">
        <v>62</v>
      </c>
      <c r="M155" s="124" t="s">
        <v>35</v>
      </c>
    </row>
    <row r="156" spans="3:13" ht="24" customHeight="1" thickBot="1" x14ac:dyDescent="0.25">
      <c r="C156" s="125" t="s">
        <v>36</v>
      </c>
      <c r="D156" s="126">
        <v>319436</v>
      </c>
      <c r="E156" s="127">
        <v>4.0826832971659011E-2</v>
      </c>
      <c r="F156" s="126">
        <v>53123</v>
      </c>
      <c r="G156" s="127">
        <v>-4.1308741788782188E-2</v>
      </c>
      <c r="H156" s="126">
        <v>11104</v>
      </c>
      <c r="I156" s="127">
        <v>0.6791168909723273</v>
      </c>
      <c r="J156" s="126">
        <v>126352</v>
      </c>
      <c r="K156" s="127">
        <v>5.2573703984472031E-2</v>
      </c>
      <c r="L156" s="126">
        <v>128857</v>
      </c>
      <c r="M156" s="127">
        <v>3.2177186799102753E-2</v>
      </c>
    </row>
    <row r="157" spans="3:13" ht="24" customHeight="1" thickBot="1" x14ac:dyDescent="0.25">
      <c r="C157" s="128" t="s">
        <v>37</v>
      </c>
      <c r="D157" s="129">
        <v>72387.67407250902</v>
      </c>
      <c r="E157" s="130">
        <v>-5.3079958148433026E-2</v>
      </c>
      <c r="F157" s="129" t="s">
        <v>38</v>
      </c>
      <c r="G157" s="130" t="s">
        <v>38</v>
      </c>
      <c r="H157" s="129" t="s">
        <v>38</v>
      </c>
      <c r="I157" s="130" t="s">
        <v>38</v>
      </c>
      <c r="J157" s="129" t="s">
        <v>38</v>
      </c>
      <c r="K157" s="130" t="s">
        <v>38</v>
      </c>
      <c r="L157" s="129" t="s">
        <v>38</v>
      </c>
      <c r="M157" s="130" t="s">
        <v>38</v>
      </c>
    </row>
    <row r="158" spans="3:13" ht="24" customHeight="1" thickBot="1" x14ac:dyDescent="0.25">
      <c r="C158" s="131" t="s">
        <v>39</v>
      </c>
      <c r="D158" s="132">
        <v>42395.3736601079</v>
      </c>
      <c r="E158" s="133">
        <v>0.15871800868032881</v>
      </c>
      <c r="F158" s="132" t="s">
        <v>38</v>
      </c>
      <c r="G158" s="133" t="s">
        <v>38</v>
      </c>
      <c r="H158" s="132" t="s">
        <v>38</v>
      </c>
      <c r="I158" s="133" t="s">
        <v>38</v>
      </c>
      <c r="J158" s="132" t="s">
        <v>38</v>
      </c>
      <c r="K158" s="133" t="s">
        <v>38</v>
      </c>
      <c r="L158" s="132" t="s">
        <v>38</v>
      </c>
      <c r="M158" s="133" t="s">
        <v>38</v>
      </c>
    </row>
    <row r="159" spans="3:13" ht="24" customHeight="1" thickBot="1" x14ac:dyDescent="0.25">
      <c r="C159" s="131" t="s">
        <v>40</v>
      </c>
      <c r="D159" s="132">
        <v>204652.95226732112</v>
      </c>
      <c r="E159" s="133">
        <v>5.5606236110385288E-2</v>
      </c>
      <c r="F159" s="132" t="s">
        <v>38</v>
      </c>
      <c r="G159" s="133" t="s">
        <v>38</v>
      </c>
      <c r="H159" s="132" t="s">
        <v>38</v>
      </c>
      <c r="I159" s="133" t="s">
        <v>38</v>
      </c>
      <c r="J159" s="132" t="s">
        <v>38</v>
      </c>
      <c r="K159" s="133" t="s">
        <v>38</v>
      </c>
      <c r="L159" s="132" t="s">
        <v>38</v>
      </c>
      <c r="M159" s="133" t="s">
        <v>38</v>
      </c>
    </row>
    <row r="160" spans="3:13" ht="24" customHeight="1" thickBot="1" x14ac:dyDescent="0.25">
      <c r="C160" s="134" t="s">
        <v>41</v>
      </c>
      <c r="D160" s="135">
        <v>55521</v>
      </c>
      <c r="E160" s="133">
        <v>8.9957474648347802E-3</v>
      </c>
      <c r="F160" s="135">
        <v>588</v>
      </c>
      <c r="G160" s="133">
        <v>-0.21285140562248994</v>
      </c>
      <c r="H160" s="135">
        <v>524</v>
      </c>
      <c r="I160" s="133">
        <v>0.14660831509846828</v>
      </c>
      <c r="J160" s="135">
        <v>4522</v>
      </c>
      <c r="K160" s="133">
        <v>7.743626399809389E-2</v>
      </c>
      <c r="L160" s="135">
        <v>49887</v>
      </c>
      <c r="M160" s="133">
        <v>5.2795969773300477E-3</v>
      </c>
    </row>
    <row r="161" spans="3:13" ht="24" customHeight="1" thickBot="1" x14ac:dyDescent="0.25">
      <c r="C161" s="136" t="s">
        <v>42</v>
      </c>
      <c r="D161" s="132">
        <v>56921</v>
      </c>
      <c r="E161" s="133">
        <v>4.588049389975013E-2</v>
      </c>
      <c r="F161" s="132">
        <v>649</v>
      </c>
      <c r="G161" s="133">
        <v>-1.5384615384614886E-3</v>
      </c>
      <c r="H161" s="132">
        <v>335</v>
      </c>
      <c r="I161" s="133">
        <v>0.39004149377593356</v>
      </c>
      <c r="J161" s="132">
        <v>2794</v>
      </c>
      <c r="K161" s="133">
        <v>-0.12932377687753194</v>
      </c>
      <c r="L161" s="132">
        <v>53143</v>
      </c>
      <c r="M161" s="133">
        <v>5.6017009776647253E-2</v>
      </c>
    </row>
    <row r="162" spans="3:13" ht="24" customHeight="1" thickBot="1" x14ac:dyDescent="0.25">
      <c r="C162" s="134" t="s">
        <v>43</v>
      </c>
      <c r="D162" s="135">
        <v>213007</v>
      </c>
      <c r="E162" s="133">
        <v>-4.742503107157181E-3</v>
      </c>
      <c r="F162" s="135">
        <v>4531</v>
      </c>
      <c r="G162" s="133">
        <v>0.27741753594586971</v>
      </c>
      <c r="H162" s="135">
        <v>4572</v>
      </c>
      <c r="I162" s="133">
        <v>0.11839530332681014</v>
      </c>
      <c r="J162" s="135">
        <v>83657</v>
      </c>
      <c r="K162" s="133">
        <v>1.7502250115546403E-2</v>
      </c>
      <c r="L162" s="135">
        <v>120247</v>
      </c>
      <c r="M162" s="133">
        <v>-3.1585983619099811E-2</v>
      </c>
    </row>
    <row r="163" spans="3:13" ht="24" customHeight="1" thickBot="1" x14ac:dyDescent="0.25">
      <c r="C163" s="136" t="s">
        <v>44</v>
      </c>
      <c r="D163" s="132">
        <v>69832</v>
      </c>
      <c r="E163" s="133">
        <v>9.3517380935173033E-3</v>
      </c>
      <c r="F163" s="132">
        <v>2214</v>
      </c>
      <c r="G163" s="133">
        <v>-8.0182800166181956E-2</v>
      </c>
      <c r="H163" s="132">
        <v>2039</v>
      </c>
      <c r="I163" s="133">
        <v>0.40330350997935316</v>
      </c>
      <c r="J163" s="132">
        <v>13417</v>
      </c>
      <c r="K163" s="133">
        <v>8.1492826051910328E-2</v>
      </c>
      <c r="L163" s="132">
        <v>52162</v>
      </c>
      <c r="M163" s="133">
        <v>-1.4304881044615358E-2</v>
      </c>
    </row>
    <row r="164" spans="3:13" ht="24" customHeight="1" thickBot="1" x14ac:dyDescent="0.25">
      <c r="C164" s="134" t="s">
        <v>45</v>
      </c>
      <c r="D164" s="135">
        <v>615193</v>
      </c>
      <c r="E164" s="133">
        <v>-3.9352336218015815E-2</v>
      </c>
      <c r="F164" s="135">
        <v>4011</v>
      </c>
      <c r="G164" s="133">
        <v>-0.14695874096129302</v>
      </c>
      <c r="H164" s="135">
        <v>1336</v>
      </c>
      <c r="I164" s="133">
        <v>0.23818350324374427</v>
      </c>
      <c r="J164" s="135">
        <v>31752</v>
      </c>
      <c r="K164" s="133">
        <v>-0.16192889381582076</v>
      </c>
      <c r="L164" s="135">
        <v>578094</v>
      </c>
      <c r="M164" s="133">
        <v>-3.1223710714800457E-2</v>
      </c>
    </row>
    <row r="165" spans="3:13" ht="24" customHeight="1" thickBot="1" x14ac:dyDescent="0.25">
      <c r="C165" s="136" t="s">
        <v>46</v>
      </c>
      <c r="D165" s="132">
        <v>34260</v>
      </c>
      <c r="E165" s="133">
        <v>0.18313361190731081</v>
      </c>
      <c r="F165" s="132">
        <v>390</v>
      </c>
      <c r="G165" s="133">
        <v>-0.21843687374749499</v>
      </c>
      <c r="H165" s="132">
        <v>137</v>
      </c>
      <c r="I165" s="133">
        <v>0.48913043478260865</v>
      </c>
      <c r="J165" s="132">
        <v>2403</v>
      </c>
      <c r="K165" s="133">
        <v>0.38821490467937614</v>
      </c>
      <c r="L165" s="132">
        <v>31330</v>
      </c>
      <c r="M165" s="133">
        <v>0.17627182278956255</v>
      </c>
    </row>
    <row r="166" spans="3:13" ht="24" customHeight="1" thickBot="1" x14ac:dyDescent="0.25">
      <c r="C166" s="134" t="s">
        <v>47</v>
      </c>
      <c r="D166" s="135">
        <v>50697</v>
      </c>
      <c r="E166" s="133">
        <v>-3.9483905193156588E-2</v>
      </c>
      <c r="F166" s="135">
        <v>2337</v>
      </c>
      <c r="G166" s="133">
        <v>-0.19690721649484533</v>
      </c>
      <c r="H166" s="135">
        <v>672</v>
      </c>
      <c r="I166" s="133">
        <v>0.35757575757575766</v>
      </c>
      <c r="J166" s="135">
        <v>5167</v>
      </c>
      <c r="K166" s="133">
        <v>6.2317429406038016E-3</v>
      </c>
      <c r="L166" s="135">
        <v>42521</v>
      </c>
      <c r="M166" s="133">
        <v>-3.8877963879659139E-2</v>
      </c>
    </row>
    <row r="167" spans="3:13" ht="24" customHeight="1" thickBot="1" x14ac:dyDescent="0.25">
      <c r="C167" s="136" t="s">
        <v>48</v>
      </c>
      <c r="D167" s="132">
        <v>217285</v>
      </c>
      <c r="E167" s="133">
        <v>-4.4317187204489739E-2</v>
      </c>
      <c r="F167" s="132">
        <v>4212</v>
      </c>
      <c r="G167" s="133">
        <v>-0.12523364485981303</v>
      </c>
      <c r="H167" s="132">
        <v>507</v>
      </c>
      <c r="I167" s="133">
        <v>0.74827586206896557</v>
      </c>
      <c r="J167" s="132">
        <v>31570</v>
      </c>
      <c r="K167" s="133">
        <v>-5.9184646560972665E-2</v>
      </c>
      <c r="L167" s="132">
        <v>180996</v>
      </c>
      <c r="M167" s="133">
        <v>-4.0826709062003141E-2</v>
      </c>
    </row>
    <row r="168" spans="3:13" ht="24" customHeight="1" thickBot="1" x14ac:dyDescent="0.25">
      <c r="C168" s="137" t="s">
        <v>49</v>
      </c>
      <c r="D168" s="135">
        <v>78271</v>
      </c>
      <c r="E168" s="133">
        <v>-6.4963146137213434E-2</v>
      </c>
      <c r="F168" s="135">
        <v>1571</v>
      </c>
      <c r="G168" s="133">
        <v>-0.12381483547127714</v>
      </c>
      <c r="H168" s="135">
        <v>232</v>
      </c>
      <c r="I168" s="133">
        <v>1.3917525773195876</v>
      </c>
      <c r="J168" s="135">
        <v>8320</v>
      </c>
      <c r="K168" s="133">
        <v>-0.1295250052312199</v>
      </c>
      <c r="L168" s="135">
        <v>68148</v>
      </c>
      <c r="M168" s="133">
        <v>-5.691866982189564E-2</v>
      </c>
    </row>
    <row r="169" spans="3:13" ht="24" customHeight="1" thickBot="1" x14ac:dyDescent="0.25">
      <c r="C169" s="131" t="s">
        <v>50</v>
      </c>
      <c r="D169" s="132">
        <v>35522</v>
      </c>
      <c r="E169" s="133">
        <v>-0.10282120576869647</v>
      </c>
      <c r="F169" s="132">
        <v>1019</v>
      </c>
      <c r="G169" s="133">
        <v>-0.10299295774647887</v>
      </c>
      <c r="H169" s="132">
        <v>76</v>
      </c>
      <c r="I169" s="133">
        <v>1.0540540540540539</v>
      </c>
      <c r="J169" s="132">
        <v>2861</v>
      </c>
      <c r="K169" s="133">
        <v>-0.24050968940801698</v>
      </c>
      <c r="L169" s="132">
        <v>31566</v>
      </c>
      <c r="M169" s="133">
        <v>-8.9083196260064113E-2</v>
      </c>
    </row>
    <row r="170" spans="3:13" ht="24" customHeight="1" thickBot="1" x14ac:dyDescent="0.25">
      <c r="C170" s="137" t="s">
        <v>51</v>
      </c>
      <c r="D170" s="135">
        <v>45841</v>
      </c>
      <c r="E170" s="133">
        <v>-0.12796758484248971</v>
      </c>
      <c r="F170" s="135">
        <v>801</v>
      </c>
      <c r="G170" s="133">
        <v>-1.4760147601476037E-2</v>
      </c>
      <c r="H170" s="135">
        <v>126</v>
      </c>
      <c r="I170" s="133">
        <v>0.125</v>
      </c>
      <c r="J170" s="135">
        <v>5093</v>
      </c>
      <c r="K170" s="133">
        <v>-0.13133208255159479</v>
      </c>
      <c r="L170" s="135">
        <v>39821</v>
      </c>
      <c r="M170" s="133">
        <v>-0.1301660113586719</v>
      </c>
    </row>
    <row r="171" spans="3:13" ht="24" customHeight="1" thickBot="1" x14ac:dyDescent="0.25">
      <c r="C171" s="131" t="s">
        <v>52</v>
      </c>
      <c r="D171" s="132">
        <v>57651</v>
      </c>
      <c r="E171" s="133">
        <v>0.11963255714590892</v>
      </c>
      <c r="F171" s="132">
        <v>821</v>
      </c>
      <c r="G171" s="133">
        <v>-0.23485554520037277</v>
      </c>
      <c r="H171" s="132">
        <v>73</v>
      </c>
      <c r="I171" s="133">
        <v>0.65909090909090917</v>
      </c>
      <c r="J171" s="132">
        <v>15296</v>
      </c>
      <c r="K171" s="133">
        <v>6.4587973273942056E-2</v>
      </c>
      <c r="L171" s="132">
        <v>41461</v>
      </c>
      <c r="M171" s="133">
        <v>0.15150252735655179</v>
      </c>
    </row>
    <row r="172" spans="3:13" ht="24" customHeight="1" thickBot="1" x14ac:dyDescent="0.25">
      <c r="C172" s="134" t="s">
        <v>53</v>
      </c>
      <c r="D172" s="135">
        <v>17647</v>
      </c>
      <c r="E172" s="133">
        <v>-3.277610304192935E-2</v>
      </c>
      <c r="F172" s="135">
        <v>557</v>
      </c>
      <c r="G172" s="133">
        <v>-4.4596912521440824E-2</v>
      </c>
      <c r="H172" s="135">
        <v>348</v>
      </c>
      <c r="I172" s="133">
        <v>5.4545454545454453E-2</v>
      </c>
      <c r="J172" s="135">
        <v>3154</v>
      </c>
      <c r="K172" s="133">
        <v>-5.3137196037226109E-2</v>
      </c>
      <c r="L172" s="135">
        <v>13588</v>
      </c>
      <c r="M172" s="133">
        <v>-2.9497893007642273E-2</v>
      </c>
    </row>
    <row r="173" spans="3:13" ht="24" customHeight="1" thickBot="1" x14ac:dyDescent="0.25">
      <c r="C173" s="136" t="s">
        <v>54</v>
      </c>
      <c r="D173" s="132">
        <v>10725</v>
      </c>
      <c r="E173" s="133">
        <v>-0.16653714640969852</v>
      </c>
      <c r="F173" s="132">
        <v>281</v>
      </c>
      <c r="G173" s="133">
        <v>-9.6463022508038621E-2</v>
      </c>
      <c r="H173" s="132">
        <v>283</v>
      </c>
      <c r="I173" s="133">
        <v>0.52972972972972965</v>
      </c>
      <c r="J173" s="132">
        <v>2617</v>
      </c>
      <c r="K173" s="133">
        <v>-0.10560492139439503</v>
      </c>
      <c r="L173" s="132">
        <v>7544</v>
      </c>
      <c r="M173" s="133">
        <v>-0.20135507092949401</v>
      </c>
    </row>
    <row r="174" spans="3:13" ht="24" customHeight="1" thickBot="1" x14ac:dyDescent="0.25">
      <c r="C174" s="134" t="s">
        <v>55</v>
      </c>
      <c r="D174" s="135">
        <v>23478</v>
      </c>
      <c r="E174" s="133">
        <v>-5.3726169844020788E-2</v>
      </c>
      <c r="F174" s="135">
        <v>948</v>
      </c>
      <c r="G174" s="133">
        <v>0.37790697674418605</v>
      </c>
      <c r="H174" s="135">
        <v>201</v>
      </c>
      <c r="I174" s="133">
        <v>0.67500000000000004</v>
      </c>
      <c r="J174" s="135">
        <v>2621</v>
      </c>
      <c r="K174" s="133">
        <v>5.2187876354877538E-2</v>
      </c>
      <c r="L174" s="135">
        <v>19708</v>
      </c>
      <c r="M174" s="133">
        <v>-8.3860171067311251E-2</v>
      </c>
    </row>
    <row r="175" spans="3:13" ht="24" customHeight="1" thickBot="1" x14ac:dyDescent="0.25">
      <c r="C175" s="136" t="s">
        <v>56</v>
      </c>
      <c r="D175" s="132">
        <v>51823</v>
      </c>
      <c r="E175" s="133">
        <v>0.15200622429698796</v>
      </c>
      <c r="F175" s="132">
        <v>913</v>
      </c>
      <c r="G175" s="133">
        <v>-0.14990689013035385</v>
      </c>
      <c r="H175" s="132">
        <v>298</v>
      </c>
      <c r="I175" s="133">
        <v>1.0551724137931036</v>
      </c>
      <c r="J175" s="132">
        <v>5069</v>
      </c>
      <c r="K175" s="133">
        <v>-8.2865930884747585E-2</v>
      </c>
      <c r="L175" s="132">
        <v>45543</v>
      </c>
      <c r="M175" s="133">
        <v>0.19100917911033233</v>
      </c>
    </row>
    <row r="176" spans="3:13" ht="24" customHeight="1" thickBot="1" x14ac:dyDescent="0.25">
      <c r="C176" s="134" t="s">
        <v>57</v>
      </c>
      <c r="D176" s="135">
        <v>47103</v>
      </c>
      <c r="E176" s="133">
        <v>-5.2482298036691355E-2</v>
      </c>
      <c r="F176" s="135">
        <v>2041</v>
      </c>
      <c r="G176" s="133">
        <v>-0.21950286806883368</v>
      </c>
      <c r="H176" s="135">
        <v>285</v>
      </c>
      <c r="I176" s="133">
        <v>0.25</v>
      </c>
      <c r="J176" s="135">
        <v>10469</v>
      </c>
      <c r="K176" s="133">
        <v>-6.2169667652064886E-2</v>
      </c>
      <c r="L176" s="135">
        <v>34308</v>
      </c>
      <c r="M176" s="133">
        <v>-3.9153083515375608E-2</v>
      </c>
    </row>
    <row r="177" spans="3:18" ht="24" customHeight="1" thickBot="1" x14ac:dyDescent="0.25">
      <c r="C177" s="136" t="s">
        <v>58</v>
      </c>
      <c r="D177" s="132">
        <v>7531</v>
      </c>
      <c r="E177" s="133">
        <v>8.1418724870763848E-2</v>
      </c>
      <c r="F177" s="132">
        <v>845</v>
      </c>
      <c r="G177" s="133">
        <v>-0.12435233160621761</v>
      </c>
      <c r="H177" s="132">
        <v>362</v>
      </c>
      <c r="I177" s="133">
        <v>0.4897119341563787</v>
      </c>
      <c r="J177" s="132">
        <v>1217</v>
      </c>
      <c r="K177" s="133">
        <v>3.0482641828958545E-2</v>
      </c>
      <c r="L177" s="132">
        <v>5107</v>
      </c>
      <c r="M177" s="133">
        <v>0.11628415300546457</v>
      </c>
    </row>
    <row r="178" spans="3:18" ht="24" customHeight="1" thickBot="1" x14ac:dyDescent="0.25">
      <c r="C178" s="134" t="s">
        <v>59</v>
      </c>
      <c r="D178" s="135">
        <v>7005</v>
      </c>
      <c r="E178" s="133">
        <v>0.22636554621848748</v>
      </c>
      <c r="F178" s="135">
        <v>1745</v>
      </c>
      <c r="G178" s="133">
        <v>0.4095315024232633</v>
      </c>
      <c r="H178" s="135">
        <v>379</v>
      </c>
      <c r="I178" s="133">
        <v>1.5099337748344372</v>
      </c>
      <c r="J178" s="135">
        <v>1562</v>
      </c>
      <c r="K178" s="133">
        <v>0.34539190353143834</v>
      </c>
      <c r="L178" s="135">
        <v>3319</v>
      </c>
      <c r="M178" s="133">
        <v>4.9652118912080878E-2</v>
      </c>
    </row>
    <row r="179" spans="3:18" ht="24" customHeight="1" thickBot="1" x14ac:dyDescent="0.25">
      <c r="C179" s="136" t="s">
        <v>60</v>
      </c>
      <c r="D179" s="138">
        <v>25995</v>
      </c>
      <c r="E179" s="139">
        <v>0.25385876905267213</v>
      </c>
      <c r="F179" s="138">
        <v>2245</v>
      </c>
      <c r="G179" s="139">
        <v>0.10591133004926112</v>
      </c>
      <c r="H179" s="138">
        <v>506</v>
      </c>
      <c r="I179" s="139">
        <v>1.2690582959641254</v>
      </c>
      <c r="J179" s="138">
        <v>5023</v>
      </c>
      <c r="K179" s="139">
        <v>0.35390835579514834</v>
      </c>
      <c r="L179" s="138">
        <v>18221</v>
      </c>
      <c r="M179" s="139">
        <v>0.23373281874195961</v>
      </c>
    </row>
    <row r="180" spans="3:18" ht="30.75" customHeight="1" thickTop="1" thickBot="1" x14ac:dyDescent="0.25">
      <c r="C180" s="140" t="s">
        <v>61</v>
      </c>
      <c r="D180" s="141">
        <v>1504023</v>
      </c>
      <c r="E180" s="142">
        <v>-1.4517301050532061E-2</v>
      </c>
      <c r="F180" s="141">
        <v>28507</v>
      </c>
      <c r="G180" s="142">
        <v>-4.2778953023740018E-2</v>
      </c>
      <c r="H180" s="141">
        <v>12784</v>
      </c>
      <c r="I180" s="142">
        <v>0.30183299389002038</v>
      </c>
      <c r="J180" s="141">
        <v>207014</v>
      </c>
      <c r="K180" s="142">
        <v>-2.2730598737661034E-2</v>
      </c>
      <c r="L180" s="141">
        <v>1255718</v>
      </c>
      <c r="M180" s="142">
        <v>-1.4929213515758821E-2</v>
      </c>
    </row>
    <row r="181" spans="3:18" ht="24" customHeight="1" thickBot="1" x14ac:dyDescent="0.25">
      <c r="C181" s="143" t="s">
        <v>8</v>
      </c>
      <c r="D181" s="144">
        <v>1823459</v>
      </c>
      <c r="E181" s="145">
        <v>-5.2512567611431304E-3</v>
      </c>
      <c r="F181" s="144">
        <v>81630</v>
      </c>
      <c r="G181" s="145">
        <v>-4.1822684962379508E-2</v>
      </c>
      <c r="H181" s="144">
        <v>23888</v>
      </c>
      <c r="I181" s="145">
        <v>0.45366031765350212</v>
      </c>
      <c r="J181" s="144">
        <v>333366</v>
      </c>
      <c r="K181" s="145">
        <v>4.5077891945641824E-3</v>
      </c>
      <c r="L181" s="144">
        <v>1384575</v>
      </c>
      <c r="M181" s="145">
        <v>-1.0727434982698458E-2</v>
      </c>
    </row>
    <row r="182" spans="3:18" ht="18" customHeight="1" x14ac:dyDescent="0.2">
      <c r="C182" s="3"/>
    </row>
    <row r="183" spans="3:18" ht="17.25" hidden="1" customHeight="1" x14ac:dyDescent="0.2">
      <c r="C183" s="335"/>
      <c r="D183" s="336"/>
      <c r="E183" s="336"/>
      <c r="F183" s="336"/>
      <c r="G183" s="336"/>
      <c r="H183" s="336"/>
      <c r="I183" s="336"/>
      <c r="J183" s="336"/>
      <c r="K183" s="336"/>
      <c r="L183" s="336"/>
      <c r="M183" s="337"/>
    </row>
    <row r="184" spans="3:18" ht="21.75" hidden="1" customHeight="1" x14ac:dyDescent="0.2">
      <c r="C184" s="111"/>
      <c r="D184" s="112"/>
      <c r="E184" s="338" t="str">
        <f>$E$1</f>
        <v>INDICADORES TURÍSTICOS DE TENERIFE definitivo</v>
      </c>
      <c r="F184" s="339"/>
      <c r="G184" s="339"/>
      <c r="H184" s="339"/>
      <c r="I184" s="339"/>
      <c r="J184" s="339"/>
      <c r="K184" s="340"/>
      <c r="L184" s="112"/>
      <c r="M184" s="114"/>
    </row>
    <row r="185" spans="3:18" s="1" customFormat="1" ht="21.75" hidden="1" customHeight="1" x14ac:dyDescent="0.2">
      <c r="C185" s="111"/>
      <c r="D185" s="112"/>
      <c r="E185" s="113"/>
      <c r="F185" s="113"/>
      <c r="G185" s="113"/>
      <c r="H185" s="113"/>
      <c r="I185" s="113"/>
      <c r="J185" s="113"/>
      <c r="K185" s="113"/>
      <c r="L185" s="112"/>
      <c r="M185" s="114"/>
    </row>
    <row r="186" spans="3:18" ht="33" hidden="1" customHeight="1" x14ac:dyDescent="0.2">
      <c r="C186" s="331" t="s">
        <v>29</v>
      </c>
      <c r="D186" s="332"/>
      <c r="E186" s="332"/>
      <c r="F186" s="332"/>
      <c r="G186" s="332"/>
      <c r="H186" s="332"/>
      <c r="I186" s="332"/>
      <c r="J186" s="332"/>
      <c r="K186" s="332"/>
      <c r="L186" s="332"/>
      <c r="M186" s="332"/>
      <c r="N186" s="332"/>
      <c r="O186" s="332"/>
      <c r="P186" s="332"/>
      <c r="Q186" s="332"/>
      <c r="R186" s="147"/>
    </row>
    <row r="187" spans="3:18" ht="20.100000000000001" hidden="1" customHeight="1" x14ac:dyDescent="0.2">
      <c r="C187" s="341">
        <f>E3</f>
        <v>0</v>
      </c>
      <c r="D187" s="342"/>
      <c r="E187" s="342"/>
      <c r="F187" s="342"/>
      <c r="G187" s="342"/>
      <c r="H187" s="342"/>
      <c r="I187" s="342"/>
      <c r="J187" s="342"/>
      <c r="K187" s="342"/>
      <c r="L187" s="342"/>
      <c r="M187" s="342"/>
      <c r="N187" s="342"/>
      <c r="O187" s="342"/>
      <c r="P187" s="342"/>
      <c r="Q187" s="342"/>
      <c r="R187" s="1"/>
    </row>
    <row r="188" spans="3:18" ht="17.25" hidden="1" customHeight="1" x14ac:dyDescent="0.2">
      <c r="C188" s="148"/>
      <c r="D188" s="329" t="s">
        <v>24</v>
      </c>
      <c r="E188" s="330"/>
      <c r="F188" s="329" t="s">
        <v>23</v>
      </c>
      <c r="G188" s="330"/>
      <c r="H188" s="329" t="s">
        <v>22</v>
      </c>
      <c r="I188" s="330"/>
      <c r="J188" s="329" t="s">
        <v>21</v>
      </c>
      <c r="K188" s="330"/>
      <c r="L188" s="329" t="s">
        <v>20</v>
      </c>
      <c r="M188" s="330"/>
      <c r="N188" s="329" t="s">
        <v>63</v>
      </c>
      <c r="O188" s="330"/>
      <c r="P188" s="329" t="s">
        <v>64</v>
      </c>
      <c r="Q188" s="330"/>
    </row>
    <row r="189" spans="3:18" ht="28.5" hidden="1" customHeight="1" x14ac:dyDescent="0.2">
      <c r="C189" s="148"/>
      <c r="D189" s="149" t="s">
        <v>35</v>
      </c>
      <c r="E189" s="149" t="s">
        <v>34</v>
      </c>
      <c r="F189" s="149" t="s">
        <v>35</v>
      </c>
      <c r="G189" s="149" t="s">
        <v>34</v>
      </c>
      <c r="H189" s="149" t="s">
        <v>35</v>
      </c>
      <c r="I189" s="149" t="s">
        <v>34</v>
      </c>
      <c r="J189" s="149" t="s">
        <v>35</v>
      </c>
      <c r="K189" s="149" t="s">
        <v>34</v>
      </c>
      <c r="L189" s="149" t="s">
        <v>35</v>
      </c>
      <c r="M189" s="149" t="s">
        <v>34</v>
      </c>
      <c r="N189" s="149" t="s">
        <v>35</v>
      </c>
      <c r="O189" s="149" t="s">
        <v>34</v>
      </c>
      <c r="P189" s="149" t="s">
        <v>35</v>
      </c>
      <c r="Q189" s="149" t="s">
        <v>34</v>
      </c>
    </row>
    <row r="190" spans="3:18" ht="24" hidden="1" customHeight="1" x14ac:dyDescent="0.2">
      <c r="C190" s="150" t="s">
        <v>36</v>
      </c>
      <c r="D190" s="151" t="e">
        <f>VLOOKUP("españa",#REF!,6,FALSE)/VLOOKUP("españa",#REF!,6,FALSE)-1</f>
        <v>#REF!</v>
      </c>
      <c r="E190" s="152" t="e">
        <f>VLOOKUP("españa",#REF!,6,FALSE)</f>
        <v>#REF!</v>
      </c>
      <c r="F190" s="151" t="e">
        <f>VLOOKUP("españa",#REF!,5,FALSE)/VLOOKUP("españa",#REF!,5,FALSE)-1</f>
        <v>#REF!</v>
      </c>
      <c r="G190" s="152" t="e">
        <f>VLOOKUP("españa",#REF!,5,FALSE)</f>
        <v>#REF!</v>
      </c>
      <c r="H190" s="151" t="e">
        <f>VLOOKUP("españa",#REF!,4,FALSE)/VLOOKUP("españa",#REF!,4,FALSE)-1</f>
        <v>#REF!</v>
      </c>
      <c r="I190" s="152" t="e">
        <f>VLOOKUP("españa",#REF!,4,FALSE)</f>
        <v>#REF!</v>
      </c>
      <c r="J190" s="151" t="e">
        <f>VLOOKUP("españa",#REF!,3,FALSE)/VLOOKUP("españa",#REF!,3,FALSE)-1</f>
        <v>#REF!</v>
      </c>
      <c r="K190" s="152" t="e">
        <f>VLOOKUP("españa",#REF!,3,FALSE)</f>
        <v>#REF!</v>
      </c>
      <c r="L190" s="151" t="e">
        <f>VLOOKUP("españa",#REF!,2,FALSE)/VLOOKUP("españa",#REF!,2,FALSE)-1</f>
        <v>#REF!</v>
      </c>
      <c r="M190" s="152" t="e">
        <f>VLOOKUP("españa",#REF!,2,FALSE)</f>
        <v>#REF!</v>
      </c>
      <c r="N190" s="151" t="e">
        <f>VLOOKUP("españa",#REF!,7,FALSE)/VLOOKUP("españa",#REF!,7,FALSE)-1</f>
        <v>#REF!</v>
      </c>
      <c r="O190" s="152" t="e">
        <f>VLOOKUP("españa",#REF!,7,FALSE)</f>
        <v>#REF!</v>
      </c>
      <c r="P190" s="151" t="e">
        <f>VLOOKUP("españa",#REF!,8,FALSE)/VLOOKUP("españa",#REF!,8,FALSE)-1</f>
        <v>#REF!</v>
      </c>
      <c r="Q190" s="152" t="e">
        <f>VLOOKUP("españa",#REF!,8,FALSE)</f>
        <v>#REF!</v>
      </c>
    </row>
    <row r="191" spans="3:18" ht="24" hidden="1" customHeight="1" x14ac:dyDescent="0.2">
      <c r="C191" s="150" t="s">
        <v>41</v>
      </c>
      <c r="D191" s="151" t="e">
        <f>VLOOKUP("holanda",#REF!,6,FALSE)/VLOOKUP("holanda",#REF!,6,FALSE)-1</f>
        <v>#REF!</v>
      </c>
      <c r="E191" s="152" t="e">
        <f>VLOOKUP("holanda",#REF!,6,FALSE)</f>
        <v>#REF!</v>
      </c>
      <c r="F191" s="151" t="e">
        <f>VLOOKUP("holanda",#REF!,5,FALSE)/VLOOKUP("holanda",#REF!,5,FALSE)-1</f>
        <v>#REF!</v>
      </c>
      <c r="G191" s="152" t="e">
        <f>VLOOKUP("holanda",#REF!,5,FALSE)</f>
        <v>#REF!</v>
      </c>
      <c r="H191" s="151" t="e">
        <f>VLOOKUP("holanda",#REF!,4,FALSE)/VLOOKUP("holanda",#REF!,4,FALSE)-1</f>
        <v>#REF!</v>
      </c>
      <c r="I191" s="152" t="e">
        <f>VLOOKUP("holanda",#REF!,4,FALSE)</f>
        <v>#REF!</v>
      </c>
      <c r="J191" s="151" t="e">
        <f>VLOOKUP("holanda",#REF!,3,FALSE)/VLOOKUP("holanda",#REF!,3,FALSE)-1</f>
        <v>#REF!</v>
      </c>
      <c r="K191" s="152" t="e">
        <f>VLOOKUP("holanda",#REF!,3,FALSE)</f>
        <v>#REF!</v>
      </c>
      <c r="L191" s="151" t="e">
        <f>VLOOKUP("holanda",#REF!,2,FALSE)/VLOOKUP("holanda",#REF!,2,FALSE)-1</f>
        <v>#REF!</v>
      </c>
      <c r="M191" s="152" t="e">
        <f>VLOOKUP("holanda",#REF!,2,FALSE)</f>
        <v>#REF!</v>
      </c>
      <c r="N191" s="151" t="e">
        <f>VLOOKUP("holanda",#REF!,7,FALSE)/VLOOKUP("holanda",#REF!,7,FALSE)-1</f>
        <v>#REF!</v>
      </c>
      <c r="O191" s="152" t="e">
        <f>VLOOKUP("holanda",#REF!,7,FALSE)</f>
        <v>#REF!</v>
      </c>
      <c r="P191" s="151" t="e">
        <f>VLOOKUP("holanda",#REF!,8,FALSE)/VLOOKUP("holanda",#REF!,8,FALSE)-1</f>
        <v>#REF!</v>
      </c>
      <c r="Q191" s="152" t="e">
        <f>VLOOKUP("holanda",#REF!,8,FALSE)</f>
        <v>#REF!</v>
      </c>
    </row>
    <row r="192" spans="3:18" ht="24" hidden="1" customHeight="1" x14ac:dyDescent="0.2">
      <c r="C192" s="150" t="s">
        <v>42</v>
      </c>
      <c r="D192" s="151" t="e">
        <f>VLOOKUP("belgica",#REF!,6,FALSE)/VLOOKUP("belgica",#REF!,6,FALSE)-1</f>
        <v>#REF!</v>
      </c>
      <c r="E192" s="152" t="e">
        <f>VLOOKUP("belgica",#REF!,6,FALSE)</f>
        <v>#REF!</v>
      </c>
      <c r="F192" s="151" t="e">
        <f>VLOOKUP("belgica",#REF!,5,FALSE)/VLOOKUP("belgica",#REF!,5,FALSE)-1</f>
        <v>#REF!</v>
      </c>
      <c r="G192" s="152" t="e">
        <f>VLOOKUP("belgica",#REF!,5,FALSE)</f>
        <v>#REF!</v>
      </c>
      <c r="H192" s="151" t="e">
        <f>VLOOKUP("belgica",#REF!,4,FALSE)/VLOOKUP("belgica",#REF!,4,FALSE)-1</f>
        <v>#REF!</v>
      </c>
      <c r="I192" s="152" t="e">
        <f>VLOOKUP("belgica",#REF!,4,FALSE)</f>
        <v>#REF!</v>
      </c>
      <c r="J192" s="151" t="e">
        <f>VLOOKUP("belgica",#REF!,3,FALSE)/VLOOKUP("belgica",#REF!,3,FALSE)-1</f>
        <v>#REF!</v>
      </c>
      <c r="K192" s="152" t="e">
        <f>VLOOKUP("belgica",#REF!,3,FALSE)</f>
        <v>#REF!</v>
      </c>
      <c r="L192" s="151" t="e">
        <f>VLOOKUP("belgica",#REF!,2,FALSE)/VLOOKUP("belgica",#REF!,2,FALSE)-1</f>
        <v>#REF!</v>
      </c>
      <c r="M192" s="152" t="e">
        <f>VLOOKUP("belgica",#REF!,2,FALSE)</f>
        <v>#REF!</v>
      </c>
      <c r="N192" s="151" t="e">
        <f>VLOOKUP("belgica",#REF!,7,FALSE)/VLOOKUP("belgica",#REF!,7,FALSE)-1</f>
        <v>#REF!</v>
      </c>
      <c r="O192" s="152" t="e">
        <f>VLOOKUP("belgica",#REF!,7,FALSE)</f>
        <v>#REF!</v>
      </c>
      <c r="P192" s="151" t="e">
        <f>VLOOKUP("belgica",#REF!,8,FALSE)/VLOOKUP("belgica",#REF!,8,FALSE)-1</f>
        <v>#REF!</v>
      </c>
      <c r="Q192" s="152" t="e">
        <f>VLOOKUP("belgica",#REF!,8,FALSE)</f>
        <v>#REF!</v>
      </c>
    </row>
    <row r="193" spans="3:17" ht="24" hidden="1" customHeight="1" x14ac:dyDescent="0.2">
      <c r="C193" s="150" t="s">
        <v>43</v>
      </c>
      <c r="D193" s="151" t="e">
        <f>VLOOKUP("alemania",#REF!,6,FALSE)/VLOOKUP("alemania",#REF!,6,FALSE)-1</f>
        <v>#REF!</v>
      </c>
      <c r="E193" s="152" t="e">
        <f>VLOOKUP("alemania",#REF!,6,FALSE)</f>
        <v>#REF!</v>
      </c>
      <c r="F193" s="151" t="e">
        <f>VLOOKUP("alemania",#REF!,5,FALSE)/VLOOKUP("alemania",#REF!,5,FALSE)-1</f>
        <v>#REF!</v>
      </c>
      <c r="G193" s="152" t="e">
        <f>VLOOKUP("alemania",#REF!,5,FALSE)</f>
        <v>#REF!</v>
      </c>
      <c r="H193" s="151" t="e">
        <f>VLOOKUP("alemania",#REF!,4,FALSE)/VLOOKUP("alemania",#REF!,4,FALSE)-1</f>
        <v>#REF!</v>
      </c>
      <c r="I193" s="152" t="e">
        <f>VLOOKUP("alemania",#REF!,4,FALSE)</f>
        <v>#REF!</v>
      </c>
      <c r="J193" s="151" t="e">
        <f>VLOOKUP("alemania",#REF!,3,FALSE)/VLOOKUP("alemania",#REF!,3,FALSE)-1</f>
        <v>#REF!</v>
      </c>
      <c r="K193" s="152" t="e">
        <f>VLOOKUP("alemania",#REF!,3,FALSE)</f>
        <v>#REF!</v>
      </c>
      <c r="L193" s="151" t="e">
        <f>VLOOKUP("alemania",#REF!,2,FALSE)/VLOOKUP("alemania",#REF!,2,FALSE)-1</f>
        <v>#REF!</v>
      </c>
      <c r="M193" s="152" t="e">
        <f>VLOOKUP("alemania",#REF!,2,FALSE)</f>
        <v>#REF!</v>
      </c>
      <c r="N193" s="151" t="e">
        <f>VLOOKUP("alemania",#REF!,7,FALSE)/VLOOKUP("alemania",#REF!,7,FALSE)-1</f>
        <v>#REF!</v>
      </c>
      <c r="O193" s="152" t="e">
        <f>VLOOKUP("alemania",#REF!,7,FALSE)</f>
        <v>#REF!</v>
      </c>
      <c r="P193" s="151" t="e">
        <f>VLOOKUP("alemania",#REF!,8,FALSE)/VLOOKUP("alemania",#REF!,8,FALSE)-1</f>
        <v>#REF!</v>
      </c>
      <c r="Q193" s="152" t="e">
        <f>VLOOKUP("alemania",#REF!,8,FALSE)</f>
        <v>#REF!</v>
      </c>
    </row>
    <row r="194" spans="3:17" ht="24" hidden="1" customHeight="1" x14ac:dyDescent="0.2">
      <c r="C194" s="150" t="s">
        <v>44</v>
      </c>
      <c r="D194" s="151" t="e">
        <f>VLOOKUP("francia",#REF!,6,FALSE)/VLOOKUP("francia",#REF!,6,FALSE)-1</f>
        <v>#REF!</v>
      </c>
      <c r="E194" s="152" t="e">
        <f>VLOOKUP("francia",#REF!,6,FALSE)</f>
        <v>#REF!</v>
      </c>
      <c r="F194" s="151" t="e">
        <f>VLOOKUP("francia",#REF!,5,FALSE)/VLOOKUP("francia",#REF!,5,FALSE)-1</f>
        <v>#REF!</v>
      </c>
      <c r="G194" s="152" t="e">
        <f>VLOOKUP("francia",#REF!,5,FALSE)</f>
        <v>#REF!</v>
      </c>
      <c r="H194" s="151" t="e">
        <f>VLOOKUP("francia",#REF!,4,FALSE)/VLOOKUP("francia",#REF!,4,FALSE)-1</f>
        <v>#REF!</v>
      </c>
      <c r="I194" s="152" t="e">
        <f>VLOOKUP("francia",#REF!,4,FALSE)</f>
        <v>#REF!</v>
      </c>
      <c r="J194" s="151" t="e">
        <f>VLOOKUP("francia",#REF!,3,FALSE)/VLOOKUP("francia",#REF!,3,FALSE)-1</f>
        <v>#REF!</v>
      </c>
      <c r="K194" s="152" t="e">
        <f>VLOOKUP("francia",#REF!,3,FALSE)</f>
        <v>#REF!</v>
      </c>
      <c r="L194" s="151" t="e">
        <f>VLOOKUP("francia",#REF!,2,FALSE)/VLOOKUP("francia",#REF!,2,FALSE)-1</f>
        <v>#REF!</v>
      </c>
      <c r="M194" s="152" t="e">
        <f>VLOOKUP("francia",#REF!,2,FALSE)</f>
        <v>#REF!</v>
      </c>
      <c r="N194" s="151" t="e">
        <f>VLOOKUP("francia",#REF!,7,FALSE)/VLOOKUP("francia",#REF!,7,FALSE)-1</f>
        <v>#REF!</v>
      </c>
      <c r="O194" s="152" t="e">
        <f>VLOOKUP("francia",#REF!,7,FALSE)</f>
        <v>#REF!</v>
      </c>
      <c r="P194" s="151" t="e">
        <f>VLOOKUP("francia",#REF!,8,FALSE)/VLOOKUP("francia",#REF!,8,FALSE)-1</f>
        <v>#REF!</v>
      </c>
      <c r="Q194" s="152" t="e">
        <f>VLOOKUP("francia",#REF!,8,FALSE)</f>
        <v>#REF!</v>
      </c>
    </row>
    <row r="195" spans="3:17" ht="24" hidden="1" customHeight="1" x14ac:dyDescent="0.2">
      <c r="C195" s="150" t="s">
        <v>45</v>
      </c>
      <c r="D195" s="151" t="e">
        <f>VLOOKUP("reino unido",#REF!,6,FALSE)/VLOOKUP("reino unido",#REF!,6,FALSE)-1</f>
        <v>#REF!</v>
      </c>
      <c r="E195" s="152" t="e">
        <f>VLOOKUP("reino unido",#REF!,6,FALSE)</f>
        <v>#REF!</v>
      </c>
      <c r="F195" s="151" t="e">
        <f>VLOOKUP("reino unido",#REF!,5,FALSE)/VLOOKUP("reino unido",#REF!,5,FALSE)-1</f>
        <v>#REF!</v>
      </c>
      <c r="G195" s="152" t="e">
        <f>VLOOKUP("reino unido",#REF!,5,FALSE)</f>
        <v>#REF!</v>
      </c>
      <c r="H195" s="151" t="e">
        <f>VLOOKUP("reino unido",#REF!,4,FALSE)/VLOOKUP("reino unido",#REF!,4,FALSE)-1</f>
        <v>#REF!</v>
      </c>
      <c r="I195" s="152" t="e">
        <f>VLOOKUP("reino unido",#REF!,4,FALSE)</f>
        <v>#REF!</v>
      </c>
      <c r="J195" s="151" t="e">
        <f>VLOOKUP("reino unido",#REF!,3,FALSE)/VLOOKUP("reino unido",#REF!,3,FALSE)-1</f>
        <v>#REF!</v>
      </c>
      <c r="K195" s="152" t="e">
        <f>VLOOKUP("reino unido",#REF!,3,FALSE)</f>
        <v>#REF!</v>
      </c>
      <c r="L195" s="151" t="e">
        <f>VLOOKUP("reino unido",#REF!,2,FALSE)/VLOOKUP("reino unido",#REF!,2,FALSE)-1</f>
        <v>#REF!</v>
      </c>
      <c r="M195" s="152" t="e">
        <f>VLOOKUP("reino unido",#REF!,2,FALSE)</f>
        <v>#REF!</v>
      </c>
      <c r="N195" s="151" t="e">
        <f>VLOOKUP("reino unido",#REF!,7,FALSE)/VLOOKUP("reino unido",#REF!,7,FALSE)-1</f>
        <v>#REF!</v>
      </c>
      <c r="O195" s="152" t="e">
        <f>VLOOKUP("reino unido",#REF!,7,FALSE)</f>
        <v>#REF!</v>
      </c>
      <c r="P195" s="151" t="e">
        <f>VLOOKUP("reino unido",#REF!,8,FALSE)/VLOOKUP("reino unido",#REF!,8,FALSE)-1</f>
        <v>#REF!</v>
      </c>
      <c r="Q195" s="152" t="e">
        <f>VLOOKUP("reino unido",#REF!,8,FALSE)</f>
        <v>#REF!</v>
      </c>
    </row>
    <row r="196" spans="3:17" ht="24" hidden="1" customHeight="1" x14ac:dyDescent="0.2">
      <c r="C196" s="150" t="s">
        <v>46</v>
      </c>
      <c r="D196" s="151" t="e">
        <f>VLOOKUP("irlanda",#REF!,6,FALSE)/VLOOKUP("irlanda",#REF!,6,FALSE)-1</f>
        <v>#REF!</v>
      </c>
      <c r="E196" s="152" t="e">
        <f>VLOOKUP("irlanda",#REF!,6,FALSE)</f>
        <v>#REF!</v>
      </c>
      <c r="F196" s="151" t="e">
        <f>VLOOKUP("irlanda",#REF!,5,FALSE)/VLOOKUP("irlanda",#REF!,5,FALSE)-1</f>
        <v>#REF!</v>
      </c>
      <c r="G196" s="152" t="e">
        <f>VLOOKUP("irlanda",#REF!,5,FALSE)</f>
        <v>#REF!</v>
      </c>
      <c r="H196" s="151" t="e">
        <f>VLOOKUP("irlanda",#REF!,4,FALSE)/VLOOKUP("irlanda",#REF!,4,FALSE)-1</f>
        <v>#REF!</v>
      </c>
      <c r="I196" s="152" t="e">
        <f>VLOOKUP("irlanda",#REF!,4,FALSE)</f>
        <v>#REF!</v>
      </c>
      <c r="J196" s="151" t="e">
        <f>VLOOKUP("irlanda",#REF!,3,FALSE)/VLOOKUP("irlanda",#REF!,3,FALSE)-1</f>
        <v>#REF!</v>
      </c>
      <c r="K196" s="152" t="e">
        <f>VLOOKUP("irlanda",#REF!,3,FALSE)</f>
        <v>#REF!</v>
      </c>
      <c r="L196" s="151" t="e">
        <f>VLOOKUP("irlanda",#REF!,2,FALSE)/VLOOKUP("irlanda",#REF!,2,FALSE)-1</f>
        <v>#REF!</v>
      </c>
      <c r="M196" s="152" t="e">
        <f>VLOOKUP("irlanda",#REF!,2,FALSE)</f>
        <v>#REF!</v>
      </c>
      <c r="N196" s="151" t="e">
        <f>VLOOKUP("irlanda",#REF!,7,FALSE)/VLOOKUP("irlanda",#REF!,7,FALSE)-1</f>
        <v>#REF!</v>
      </c>
      <c r="O196" s="152" t="e">
        <f>VLOOKUP("irlanda",#REF!,7,FALSE)</f>
        <v>#REF!</v>
      </c>
      <c r="P196" s="151" t="e">
        <f>VLOOKUP("irlanda",#REF!,8,FALSE)/VLOOKUP("irlanda",#REF!,8,FALSE)-1</f>
        <v>#REF!</v>
      </c>
      <c r="Q196" s="152" t="e">
        <f>VLOOKUP("irlanda",#REF!,8,FALSE)</f>
        <v>#REF!</v>
      </c>
    </row>
    <row r="197" spans="3:17" ht="24" hidden="1" customHeight="1" x14ac:dyDescent="0.2">
      <c r="C197" s="150" t="s">
        <v>47</v>
      </c>
      <c r="D197" s="151" t="e">
        <f>VLOOKUP("italia",#REF!,6,FALSE)/VLOOKUP("italia",#REF!,6,FALSE)-1</f>
        <v>#REF!</v>
      </c>
      <c r="E197" s="152" t="e">
        <f>VLOOKUP("italia",#REF!,6,FALSE)</f>
        <v>#REF!</v>
      </c>
      <c r="F197" s="151" t="e">
        <f>VLOOKUP("italia",#REF!,5,FALSE)/VLOOKUP("italia",#REF!,5,FALSE)-1</f>
        <v>#REF!</v>
      </c>
      <c r="G197" s="152" t="e">
        <f>VLOOKUP("italia",#REF!,5,FALSE)</f>
        <v>#REF!</v>
      </c>
      <c r="H197" s="151" t="e">
        <f>VLOOKUP("italia",#REF!,4,FALSE)/VLOOKUP("italia",#REF!,4,FALSE)-1</f>
        <v>#REF!</v>
      </c>
      <c r="I197" s="152" t="e">
        <f>VLOOKUP("italia",#REF!,4,FALSE)</f>
        <v>#REF!</v>
      </c>
      <c r="J197" s="151" t="e">
        <f>VLOOKUP("italia",#REF!,3,FALSE)/VLOOKUP("italia",#REF!,3,FALSE)-1</f>
        <v>#REF!</v>
      </c>
      <c r="K197" s="152" t="e">
        <f>VLOOKUP("italia",#REF!,3,FALSE)</f>
        <v>#REF!</v>
      </c>
      <c r="L197" s="151" t="e">
        <f>VLOOKUP("italia",#REF!,2,FALSE)/VLOOKUP("italia",#REF!,2,FALSE)-1</f>
        <v>#REF!</v>
      </c>
      <c r="M197" s="152" t="e">
        <f>VLOOKUP("italia",#REF!,2,FALSE)</f>
        <v>#REF!</v>
      </c>
      <c r="N197" s="151" t="e">
        <f>VLOOKUP("italia",#REF!,7,FALSE)/VLOOKUP("italia",#REF!,7,FALSE)-1</f>
        <v>#REF!</v>
      </c>
      <c r="O197" s="152" t="e">
        <f>VLOOKUP("italia",#REF!,7,FALSE)</f>
        <v>#REF!</v>
      </c>
      <c r="P197" s="151" t="e">
        <f>VLOOKUP("italia",#REF!,8,FALSE)/VLOOKUP("italia",#REF!,8,FALSE)-1</f>
        <v>#REF!</v>
      </c>
      <c r="Q197" s="152" t="e">
        <f>VLOOKUP("italia",#REF!,8,FALSE)</f>
        <v>#REF!</v>
      </c>
    </row>
    <row r="198" spans="3:17" ht="24" hidden="1" customHeight="1" x14ac:dyDescent="0.2">
      <c r="C198" s="150" t="s">
        <v>48</v>
      </c>
      <c r="D198" s="151" t="e">
        <f>(VLOOKUP("suecia",#REF!,6,FALSE)+VLOOKUP("noruega",#REF!,6,FALSE)+VLOOKUP("dinamarca",#REF!,6,FALSE)+VLOOKUP("finlandia",#REF!,6,FALSE))/(VLOOKUP("suecia",#REF!,6,FALSE)+VLOOKUP("noruega",#REF!,6,FALSE)+VLOOKUP("dinamarca",#REF!,6,FALSE)+VLOOKUP("finlandia",#REF!,6,FALSE))-1</f>
        <v>#REF!</v>
      </c>
      <c r="E198" s="152" t="e">
        <f>(VLOOKUP("suecia",#REF!,6,FALSE)+VLOOKUP("noruega",#REF!,6,FALSE)+VLOOKUP("dinamarca",#REF!,6,FALSE)+VLOOKUP("finlandia",#REF!,6,FALSE))</f>
        <v>#REF!</v>
      </c>
      <c r="F198" s="151" t="e">
        <f>(VLOOKUP("suecia",#REF!,5,FALSE)+VLOOKUP("noruega",#REF!,5,FALSE)+VLOOKUP("dinamarca",#REF!,5,FALSE)+VLOOKUP("finlandia",#REF!,5,FALSE))/(VLOOKUP("suecia",#REF!,5,FALSE)+VLOOKUP("noruega",#REF!,5,FALSE)+VLOOKUP("dinamarca",#REF!,5,FALSE)+VLOOKUP("finlandia",#REF!,5,FALSE))-1</f>
        <v>#REF!</v>
      </c>
      <c r="G198" s="152" t="e">
        <f>(VLOOKUP("suecia",#REF!,5,FALSE)+VLOOKUP("noruega",#REF!,5,FALSE)+VLOOKUP("dinamarca",#REF!,5,FALSE)+VLOOKUP("finlandia",#REF!,5,FALSE))</f>
        <v>#REF!</v>
      </c>
      <c r="H198" s="151" t="e">
        <f>(VLOOKUP("suecia",#REF!,4,FALSE)+VLOOKUP("noruega",#REF!,4,FALSE)+VLOOKUP("dinamarca",#REF!,4,FALSE)+VLOOKUP("finlandia",#REF!,4,FALSE))/(VLOOKUP("suecia",#REF!,4,FALSE)+VLOOKUP("noruega",#REF!,4,FALSE)+VLOOKUP("dinamarca",#REF!,4,FALSE)+VLOOKUP("finlandia",#REF!,4,FALSE))-1</f>
        <v>#REF!</v>
      </c>
      <c r="I198" s="152" t="e">
        <f>(VLOOKUP("suecia",#REF!,4,FALSE)+VLOOKUP("noruega",#REF!,4,FALSE)+VLOOKUP("dinamarca",#REF!,4,FALSE)+VLOOKUP("finlandia",#REF!,4,FALSE))</f>
        <v>#REF!</v>
      </c>
      <c r="J198" s="151" t="e">
        <f>(VLOOKUP("suecia",#REF!,3,FALSE)+VLOOKUP("noruega",#REF!,3,FALSE)+VLOOKUP("dinamarca",#REF!,3,FALSE)+VLOOKUP("finlandia",#REF!,3,FALSE))/(VLOOKUP("suecia",#REF!,3,FALSE)+VLOOKUP("noruega",#REF!,3,FALSE)+VLOOKUP("dinamarca",#REF!,3,FALSE)+VLOOKUP("finlandia",#REF!,3,FALSE))-1</f>
        <v>#REF!</v>
      </c>
      <c r="K198" s="152" t="e">
        <f>(VLOOKUP("suecia",#REF!,3,FALSE)+VLOOKUP("noruega",#REF!,3,FALSE)+VLOOKUP("dinamarca",#REF!,3,FALSE)+VLOOKUP("finlandia",#REF!,3,FALSE))</f>
        <v>#REF!</v>
      </c>
      <c r="L198" s="151" t="e">
        <f>(VLOOKUP("suecia",#REF!,2,FALSE)+VLOOKUP("noruega",#REF!,2,FALSE)+VLOOKUP("dinamarca",#REF!,2,FALSE)+VLOOKUP("finlandia",#REF!,2,FALSE))/(VLOOKUP("suecia",#REF!,2,FALSE)+VLOOKUP("noruega",#REF!,2,FALSE)+VLOOKUP("dinamarca",#REF!,2,FALSE)+VLOOKUP("finlandia",#REF!,2,FALSE))-1</f>
        <v>#REF!</v>
      </c>
      <c r="M198" s="152" t="e">
        <f>(VLOOKUP("suecia",#REF!,2,FALSE)+VLOOKUP("noruega",#REF!,2,FALSE)+VLOOKUP("dinamarca",#REF!,2,FALSE)+VLOOKUP("finlandia",#REF!,2,FALSE))</f>
        <v>#REF!</v>
      </c>
      <c r="N198" s="151" t="e">
        <f>(VLOOKUP("suecia",#REF!,7,FALSE)+VLOOKUP("noruega",#REF!,7,FALSE)+VLOOKUP("dinamarca",#REF!,7,FALSE)+VLOOKUP("finlandia",#REF!,7,FALSE))/(VLOOKUP("suecia",#REF!,7,FALSE)+VLOOKUP("noruega",#REF!,7,FALSE)+VLOOKUP("dinamarca",#REF!,7,FALSE)+VLOOKUP("finlandia",#REF!,7,FALSE))-1</f>
        <v>#REF!</v>
      </c>
      <c r="O198" s="152" t="e">
        <f>(VLOOKUP("suecia",#REF!,7,FALSE)+VLOOKUP("noruega",#REF!,7,FALSE)+VLOOKUP("dinamarca",#REF!,7,FALSE)+VLOOKUP("finlandia",#REF!,7,FALSE))</f>
        <v>#REF!</v>
      </c>
      <c r="P198" s="151" t="e">
        <f>(VLOOKUP("suecia",#REF!,8,FALSE)+VLOOKUP("noruega",#REF!,8,FALSE)+VLOOKUP("dinamarca",#REF!,8,FALSE)+VLOOKUP("finlandia",#REF!,8,FALSE))/(VLOOKUP("suecia",#REF!,8,FALSE)+VLOOKUP("noruega",#REF!,8,FALSE)+VLOOKUP("dinamarca",#REF!,8,FALSE)+VLOOKUP("finlandia",#REF!,8,FALSE))-1</f>
        <v>#REF!</v>
      </c>
      <c r="Q198" s="152" t="e">
        <f>(VLOOKUP("suecia",#REF!,8,FALSE)+VLOOKUP("noruega",#REF!,8,FALSE)+VLOOKUP("dinamarca",#REF!,8,FALSE)+VLOOKUP("finlandia",#REF!,8,FALSE))</f>
        <v>#REF!</v>
      </c>
    </row>
    <row r="199" spans="3:17" ht="24" hidden="1" customHeight="1" x14ac:dyDescent="0.2">
      <c r="C199" s="153" t="s">
        <v>49</v>
      </c>
      <c r="D199" s="151" t="e">
        <f>VLOOKUP("suecia",#REF!,6,FALSE)/VLOOKUP("suecia",#REF!,6,FALSE)-1</f>
        <v>#REF!</v>
      </c>
      <c r="E199" s="152" t="e">
        <f>VLOOKUP("suecia",#REF!,6,FALSE)</f>
        <v>#REF!</v>
      </c>
      <c r="F199" s="151" t="e">
        <f>VLOOKUP("suecia",#REF!,5,FALSE)/VLOOKUP("suecia",#REF!,5,FALSE)-1</f>
        <v>#REF!</v>
      </c>
      <c r="G199" s="152" t="e">
        <f>VLOOKUP("suecia",#REF!,5,FALSE)</f>
        <v>#REF!</v>
      </c>
      <c r="H199" s="151" t="e">
        <f>VLOOKUP("suecia",#REF!,4,FALSE)/VLOOKUP("suecia",#REF!,4,FALSE)-1</f>
        <v>#REF!</v>
      </c>
      <c r="I199" s="152" t="e">
        <f>VLOOKUP("suecia",#REF!,4,FALSE)</f>
        <v>#REF!</v>
      </c>
      <c r="J199" s="151" t="e">
        <f>VLOOKUP("suecia",#REF!,3,FALSE)/VLOOKUP("suecia",#REF!,3,FALSE)-1</f>
        <v>#REF!</v>
      </c>
      <c r="K199" s="152" t="e">
        <f>VLOOKUP("suecia",#REF!,3,FALSE)</f>
        <v>#REF!</v>
      </c>
      <c r="L199" s="151" t="e">
        <f>VLOOKUP("suecia",#REF!,2,FALSE)/VLOOKUP("suecia",#REF!,2,FALSE)-1</f>
        <v>#REF!</v>
      </c>
      <c r="M199" s="152" t="e">
        <f>VLOOKUP("suecia",#REF!,2,FALSE)</f>
        <v>#REF!</v>
      </c>
      <c r="N199" s="151" t="e">
        <f>VLOOKUP("suecia",#REF!,7,FALSE)/VLOOKUP("suecia",#REF!,7,FALSE)-1</f>
        <v>#REF!</v>
      </c>
      <c r="O199" s="152" t="e">
        <f>VLOOKUP("suecia",#REF!,7,FALSE)</f>
        <v>#REF!</v>
      </c>
      <c r="P199" s="151" t="e">
        <f>VLOOKUP("suecia",#REF!,8,FALSE)/VLOOKUP("suecia",#REF!,8,FALSE)-1</f>
        <v>#REF!</v>
      </c>
      <c r="Q199" s="152" t="e">
        <f>VLOOKUP("suecia",#REF!,8,FALSE)</f>
        <v>#REF!</v>
      </c>
    </row>
    <row r="200" spans="3:17" ht="24" hidden="1" customHeight="1" x14ac:dyDescent="0.2">
      <c r="C200" s="153" t="s">
        <v>50</v>
      </c>
      <c r="D200" s="151" t="e">
        <f>VLOOKUP("noruega",#REF!,6,FALSE)/VLOOKUP("noruega",#REF!,6,FALSE)-1</f>
        <v>#REF!</v>
      </c>
      <c r="E200" s="152" t="e">
        <f>VLOOKUP("noruega",#REF!,6,FALSE)</f>
        <v>#REF!</v>
      </c>
      <c r="F200" s="151" t="e">
        <f>VLOOKUP("noruega",#REF!,5,FALSE)/VLOOKUP("noruega",#REF!,5,FALSE)-1</f>
        <v>#REF!</v>
      </c>
      <c r="G200" s="152" t="e">
        <f>VLOOKUP("noruega",#REF!,5,FALSE)</f>
        <v>#REF!</v>
      </c>
      <c r="H200" s="151" t="e">
        <f>VLOOKUP("noruega",#REF!,4,FALSE)/VLOOKUP("noruega",#REF!,4,FALSE)-1</f>
        <v>#REF!</v>
      </c>
      <c r="I200" s="152" t="e">
        <f>VLOOKUP("noruega",#REF!,4,FALSE)</f>
        <v>#REF!</v>
      </c>
      <c r="J200" s="151" t="e">
        <f>VLOOKUP("noruega",#REF!,3,FALSE)/VLOOKUP("noruega",#REF!,3,FALSE)-1</f>
        <v>#REF!</v>
      </c>
      <c r="K200" s="152" t="e">
        <f>VLOOKUP("noruega",#REF!,3,FALSE)</f>
        <v>#REF!</v>
      </c>
      <c r="L200" s="151" t="e">
        <f>VLOOKUP("noruega",#REF!,2,FALSE)/VLOOKUP("noruega",#REF!,2,FALSE)-1</f>
        <v>#REF!</v>
      </c>
      <c r="M200" s="152" t="e">
        <f>VLOOKUP("noruega",#REF!,2,FALSE)</f>
        <v>#REF!</v>
      </c>
      <c r="N200" s="151" t="e">
        <f>VLOOKUP("noruega",#REF!,7,FALSE)/VLOOKUP("noruega",#REF!,7,FALSE)-1</f>
        <v>#REF!</v>
      </c>
      <c r="O200" s="152" t="e">
        <f>VLOOKUP("noruega",#REF!,7,FALSE)</f>
        <v>#REF!</v>
      </c>
      <c r="P200" s="151" t="e">
        <f>VLOOKUP("noruega",#REF!,8,FALSE)/VLOOKUP("noruega",#REF!,8,FALSE)-1</f>
        <v>#REF!</v>
      </c>
      <c r="Q200" s="152" t="e">
        <f>VLOOKUP("noruega",#REF!,8,FALSE)</f>
        <v>#REF!</v>
      </c>
    </row>
    <row r="201" spans="3:17" ht="24" hidden="1" customHeight="1" x14ac:dyDescent="0.2">
      <c r="C201" s="153" t="s">
        <v>51</v>
      </c>
      <c r="D201" s="151" t="e">
        <f>VLOOKUP("dinamarca",#REF!,6,FALSE)/VLOOKUP("dinamarca",#REF!,6,FALSE)-1</f>
        <v>#REF!</v>
      </c>
      <c r="E201" s="152" t="e">
        <f>VLOOKUP("dinamarca",#REF!,6,FALSE)</f>
        <v>#REF!</v>
      </c>
      <c r="F201" s="151" t="e">
        <f>VLOOKUP("dinamarca",#REF!,5,FALSE)/VLOOKUP("dinamarca",#REF!,5,FALSE)-1</f>
        <v>#REF!</v>
      </c>
      <c r="G201" s="152" t="e">
        <f>VLOOKUP("dinamarca",#REF!,5,FALSE)</f>
        <v>#REF!</v>
      </c>
      <c r="H201" s="151" t="e">
        <f>VLOOKUP("dinamarca",#REF!,4,FALSE)/VLOOKUP("dinamarca",#REF!,4,FALSE)-1</f>
        <v>#REF!</v>
      </c>
      <c r="I201" s="152" t="e">
        <f>VLOOKUP("dinamarca",#REF!,4,FALSE)</f>
        <v>#REF!</v>
      </c>
      <c r="J201" s="151" t="e">
        <f>VLOOKUP("dinamarca",#REF!,3,FALSE)/VLOOKUP("dinamarca",#REF!,3,FALSE)-1</f>
        <v>#REF!</v>
      </c>
      <c r="K201" s="152" t="e">
        <f>VLOOKUP("dinamarca",#REF!,3,FALSE)</f>
        <v>#REF!</v>
      </c>
      <c r="L201" s="151" t="e">
        <f>VLOOKUP("dinamarca",#REF!,2,FALSE)/VLOOKUP("dinamarca",#REF!,2,FALSE)-1</f>
        <v>#REF!</v>
      </c>
      <c r="M201" s="152" t="e">
        <f>VLOOKUP("dinamarca",#REF!,2,FALSE)</f>
        <v>#REF!</v>
      </c>
      <c r="N201" s="151" t="e">
        <f>VLOOKUP("dinamarca",#REF!,7,FALSE)/VLOOKUP("dinamarca",#REF!,7,FALSE)-1</f>
        <v>#REF!</v>
      </c>
      <c r="O201" s="152" t="e">
        <f>VLOOKUP("dinamarca",#REF!,7,FALSE)</f>
        <v>#REF!</v>
      </c>
      <c r="P201" s="151" t="e">
        <f>VLOOKUP("dinamarca",#REF!,8,FALSE)/VLOOKUP("dinamarca",#REF!,8,FALSE)-1</f>
        <v>#REF!</v>
      </c>
      <c r="Q201" s="152" t="e">
        <f>VLOOKUP("dinamarca",#REF!,8,FALSE)</f>
        <v>#REF!</v>
      </c>
    </row>
    <row r="202" spans="3:17" ht="24" hidden="1" customHeight="1" x14ac:dyDescent="0.2">
      <c r="C202" s="153" t="s">
        <v>52</v>
      </c>
      <c r="D202" s="151" t="s">
        <v>38</v>
      </c>
      <c r="E202" s="152" t="e">
        <f>VLOOKUP("finlandia",#REF!,6,FALSE)</f>
        <v>#REF!</v>
      </c>
      <c r="F202" s="151" t="e">
        <f>VLOOKUP("finlandia",#REF!,5,FALSE)/VLOOKUP("finlandia",#REF!,5,FALSE)-1</f>
        <v>#REF!</v>
      </c>
      <c r="G202" s="152" t="e">
        <f>VLOOKUP("finlandia",#REF!,5,FALSE)</f>
        <v>#REF!</v>
      </c>
      <c r="H202" s="151" t="e">
        <f>VLOOKUP("finlandia",#REF!,4,FALSE)/VLOOKUP("finlandia",#REF!,4,FALSE)-1</f>
        <v>#REF!</v>
      </c>
      <c r="I202" s="152" t="e">
        <f>VLOOKUP("finlandia",#REF!,4,FALSE)</f>
        <v>#REF!</v>
      </c>
      <c r="J202" s="151" t="e">
        <f>VLOOKUP("finlandia",#REF!,3,FALSE)/VLOOKUP("finlandia",#REF!,3,FALSE)-1</f>
        <v>#REF!</v>
      </c>
      <c r="K202" s="152" t="e">
        <f>VLOOKUP("finlandia",#REF!,3,FALSE)</f>
        <v>#REF!</v>
      </c>
      <c r="L202" s="151" t="s">
        <v>38</v>
      </c>
      <c r="M202" s="152" t="e">
        <f>VLOOKUP("finlandia",#REF!,2,FALSE)</f>
        <v>#REF!</v>
      </c>
      <c r="N202" s="151" t="e">
        <f>VLOOKUP("finlandia",#REF!,7,FALSE)/VLOOKUP("finlandia",#REF!,7,FALSE)-1</f>
        <v>#REF!</v>
      </c>
      <c r="O202" s="152" t="e">
        <f>VLOOKUP("finlandia",#REF!,7,FALSE)</f>
        <v>#REF!</v>
      </c>
      <c r="P202" s="151" t="e">
        <f>VLOOKUP("finlandia",#REF!,8,FALSE)/VLOOKUP("finlandia",#REF!,8,FALSE)-1</f>
        <v>#REF!</v>
      </c>
      <c r="Q202" s="152" t="e">
        <f>VLOOKUP("finlandia",#REF!,8,FALSE)</f>
        <v>#REF!</v>
      </c>
    </row>
    <row r="203" spans="3:17" ht="24" hidden="1" customHeight="1" x14ac:dyDescent="0.2">
      <c r="C203" s="150" t="s">
        <v>53</v>
      </c>
      <c r="D203" s="151" t="e">
        <f>VLOOKUP("suiza",#REF!,6,FALSE)/VLOOKUP("suiza",#REF!,6,FALSE)-1</f>
        <v>#REF!</v>
      </c>
      <c r="E203" s="152" t="e">
        <f>VLOOKUP("suiza",#REF!,6,FALSE)</f>
        <v>#REF!</v>
      </c>
      <c r="F203" s="151" t="e">
        <f>VLOOKUP("suiza",#REF!,5,FALSE)/VLOOKUP("suiza",#REF!,5,FALSE)-1</f>
        <v>#REF!</v>
      </c>
      <c r="G203" s="152" t="e">
        <f>VLOOKUP("suiza",#REF!,5,FALSE)</f>
        <v>#REF!</v>
      </c>
      <c r="H203" s="151" t="e">
        <f>VLOOKUP("suiza",#REF!,4,FALSE)/VLOOKUP("suiza",#REF!,4,FALSE)-1</f>
        <v>#REF!</v>
      </c>
      <c r="I203" s="152" t="e">
        <f>VLOOKUP("suiza",#REF!,4,FALSE)</f>
        <v>#REF!</v>
      </c>
      <c r="J203" s="151" t="e">
        <f>VLOOKUP("suiza",#REF!,3,FALSE)/VLOOKUP("suiza",#REF!,3,FALSE)-1</f>
        <v>#REF!</v>
      </c>
      <c r="K203" s="152" t="e">
        <f>VLOOKUP("suiza",#REF!,3,FALSE)</f>
        <v>#REF!</v>
      </c>
      <c r="L203" s="151" t="e">
        <f>VLOOKUP("suiza",#REF!,2,FALSE)/VLOOKUP("suiza",#REF!,2,FALSE)-1</f>
        <v>#REF!</v>
      </c>
      <c r="M203" s="152" t="e">
        <f>VLOOKUP("suiza",#REF!,2,FALSE)</f>
        <v>#REF!</v>
      </c>
      <c r="N203" s="151" t="e">
        <f>VLOOKUP("suiza",#REF!,7,FALSE)/VLOOKUP("suiza",#REF!,7,FALSE)-1</f>
        <v>#REF!</v>
      </c>
      <c r="O203" s="152" t="e">
        <f>VLOOKUP("suiza",#REF!,7,FALSE)</f>
        <v>#REF!</v>
      </c>
      <c r="P203" s="151" t="e">
        <f>VLOOKUP("suiza",#REF!,8,FALSE)/VLOOKUP("suiza",#REF!,8,FALSE)-1</f>
        <v>#REF!</v>
      </c>
      <c r="Q203" s="152" t="e">
        <f>VLOOKUP("suiza",#REF!,8,FALSE)</f>
        <v>#REF!</v>
      </c>
    </row>
    <row r="204" spans="3:17" ht="24" hidden="1" customHeight="1" x14ac:dyDescent="0.2">
      <c r="C204" s="150" t="s">
        <v>54</v>
      </c>
      <c r="D204" s="151" t="e">
        <f>VLOOKUP("austria",#REF!,6,FALSE)/VLOOKUP("austria",#REF!,6,FALSE)-1</f>
        <v>#REF!</v>
      </c>
      <c r="E204" s="152" t="e">
        <f>VLOOKUP("austria",#REF!,6,FALSE)</f>
        <v>#REF!</v>
      </c>
      <c r="F204" s="151" t="e">
        <f>VLOOKUP("austria",#REF!,5,FALSE)/VLOOKUP("austria",#REF!,5,FALSE)-1</f>
        <v>#REF!</v>
      </c>
      <c r="G204" s="152" t="e">
        <f>VLOOKUP("austria",#REF!,5,FALSE)</f>
        <v>#REF!</v>
      </c>
      <c r="H204" s="151" t="e">
        <f>VLOOKUP("austria",#REF!,4,FALSE)/VLOOKUP("austria",#REF!,4,FALSE)-1</f>
        <v>#REF!</v>
      </c>
      <c r="I204" s="152" t="e">
        <f>VLOOKUP("austria",#REF!,4,FALSE)</f>
        <v>#REF!</v>
      </c>
      <c r="J204" s="151" t="e">
        <f>VLOOKUP("austria",#REF!,3,FALSE)/VLOOKUP("austria",#REF!,3,FALSE)-1</f>
        <v>#REF!</v>
      </c>
      <c r="K204" s="152" t="e">
        <f>VLOOKUP("austria",#REF!,3,FALSE)</f>
        <v>#REF!</v>
      </c>
      <c r="L204" s="151" t="e">
        <f>VLOOKUP("austria",#REF!,2,FALSE)/VLOOKUP("austria",#REF!,2,FALSE)-1</f>
        <v>#REF!</v>
      </c>
      <c r="M204" s="152" t="e">
        <f>VLOOKUP("austria",#REF!,2,FALSE)</f>
        <v>#REF!</v>
      </c>
      <c r="N204" s="151" t="e">
        <f>VLOOKUP("austria",#REF!,7,FALSE)/VLOOKUP("austria",#REF!,7,FALSE)-1</f>
        <v>#REF!</v>
      </c>
      <c r="O204" s="152" t="e">
        <f>VLOOKUP("austria",#REF!,7,FALSE)</f>
        <v>#REF!</v>
      </c>
      <c r="P204" s="151" t="e">
        <f>VLOOKUP("austria",#REF!,8,FALSE)/VLOOKUP("austria",#REF!,8,FALSE)-1</f>
        <v>#REF!</v>
      </c>
      <c r="Q204" s="152" t="e">
        <f>VLOOKUP("austria",#REF!,8,FALSE)</f>
        <v>#REF!</v>
      </c>
    </row>
    <row r="205" spans="3:17" ht="24" hidden="1" customHeight="1" x14ac:dyDescent="0.2">
      <c r="C205" s="150" t="s">
        <v>55</v>
      </c>
      <c r="D205" s="151" t="e">
        <f>VLOOKUP("rusia",#REF!,6,FALSE)/VLOOKUP("rusia",#REF!,6,FALSE)-1</f>
        <v>#REF!</v>
      </c>
      <c r="E205" s="152" t="e">
        <f>VLOOKUP("rusia",#REF!,6,FALSE)</f>
        <v>#REF!</v>
      </c>
      <c r="F205" s="151" t="e">
        <f>VLOOKUP("rusia",#REF!,5,FALSE)/VLOOKUP("rusia",#REF!,5,FALSE)-1</f>
        <v>#REF!</v>
      </c>
      <c r="G205" s="152" t="e">
        <f>VLOOKUP("rusia",#REF!,5,FALSE)</f>
        <v>#REF!</v>
      </c>
      <c r="H205" s="151" t="e">
        <f>VLOOKUP("rusia",#REF!,4,FALSE)/VLOOKUP("rusia",#REF!,4,FALSE)-1</f>
        <v>#REF!</v>
      </c>
      <c r="I205" s="152" t="e">
        <f>VLOOKUP("rusia",#REF!,4,FALSE)</f>
        <v>#REF!</v>
      </c>
      <c r="J205" s="151" t="e">
        <f>VLOOKUP("rusia",#REF!,3,FALSE)/VLOOKUP("rusia",#REF!,3,FALSE)-1</f>
        <v>#REF!</v>
      </c>
      <c r="K205" s="152" t="e">
        <f>VLOOKUP("rusia",#REF!,3,FALSE)</f>
        <v>#REF!</v>
      </c>
      <c r="L205" s="151" t="e">
        <f>VLOOKUP("rusia",#REF!,2,FALSE)/VLOOKUP("rusia",#REF!,2,FALSE)-1</f>
        <v>#REF!</v>
      </c>
      <c r="M205" s="152" t="e">
        <f>VLOOKUP("rusia",#REF!,2,FALSE)</f>
        <v>#REF!</v>
      </c>
      <c r="N205" s="151" t="e">
        <f>VLOOKUP("rusia",#REF!,7,FALSE)/VLOOKUP("rusia",#REF!,7,FALSE)-1</f>
        <v>#REF!</v>
      </c>
      <c r="O205" s="152" t="e">
        <f>VLOOKUP("rusia",#REF!,7,FALSE)</f>
        <v>#REF!</v>
      </c>
      <c r="P205" s="151" t="e">
        <f>VLOOKUP("rusia",#REF!,8,FALSE)/VLOOKUP("rusia",#REF!,8,FALSE)-1</f>
        <v>#REF!</v>
      </c>
      <c r="Q205" s="152" t="e">
        <f>VLOOKUP("rusia",#REF!,8,FALSE)</f>
        <v>#REF!</v>
      </c>
    </row>
    <row r="206" spans="3:17" ht="24" hidden="1" customHeight="1" x14ac:dyDescent="0.2">
      <c r="C206" s="150" t="s">
        <v>56</v>
      </c>
      <c r="D206" s="151" t="e">
        <f>VLOOKUP("paises del este",#REF!,6,FALSE)/VLOOKUP("paises del este",#REF!,6,FALSE)-1</f>
        <v>#REF!</v>
      </c>
      <c r="E206" s="152" t="e">
        <f>VLOOKUP("paises del este",#REF!,6,FALSE)</f>
        <v>#REF!</v>
      </c>
      <c r="F206" s="151" t="e">
        <f>VLOOKUP("paises del este",#REF!,5,FALSE)/VLOOKUP("paises del este",#REF!,5,FALSE)-1</f>
        <v>#REF!</v>
      </c>
      <c r="G206" s="152" t="e">
        <f>VLOOKUP("paises del este",#REF!,5,FALSE)</f>
        <v>#REF!</v>
      </c>
      <c r="H206" s="151" t="e">
        <f>VLOOKUP("paises del este",#REF!,4,FALSE)/VLOOKUP("paises del este",#REF!,4,FALSE)-1</f>
        <v>#REF!</v>
      </c>
      <c r="I206" s="152" t="e">
        <f>VLOOKUP("paises del este",#REF!,4,FALSE)</f>
        <v>#REF!</v>
      </c>
      <c r="J206" s="151" t="e">
        <f>VLOOKUP("paises del este",#REF!,3,FALSE)/VLOOKUP("paises del este",#REF!,3,FALSE)-1</f>
        <v>#REF!</v>
      </c>
      <c r="K206" s="152" t="e">
        <f>VLOOKUP("paises del este",#REF!,3,FALSE)</f>
        <v>#REF!</v>
      </c>
      <c r="L206" s="151" t="e">
        <f>VLOOKUP("paises del este",#REF!,2,FALSE)/VLOOKUP("paises del este",#REF!,2,FALSE)-1</f>
        <v>#REF!</v>
      </c>
      <c r="M206" s="152" t="e">
        <f>VLOOKUP("paises del este",#REF!,2,FALSE)</f>
        <v>#REF!</v>
      </c>
      <c r="N206" s="151" t="e">
        <f>VLOOKUP("paises del este",#REF!,7,FALSE)/VLOOKUP("paises del este",#REF!,7,FALSE)-1</f>
        <v>#REF!</v>
      </c>
      <c r="O206" s="152" t="e">
        <f>VLOOKUP("paises del este",#REF!,7,FALSE)</f>
        <v>#REF!</v>
      </c>
      <c r="P206" s="151" t="e">
        <f>VLOOKUP("paises del este",#REF!,8,FALSE)/VLOOKUP("paises del este",#REF!,8,FALSE)-1</f>
        <v>#REF!</v>
      </c>
      <c r="Q206" s="152" t="e">
        <f>VLOOKUP("paises del este",#REF!,8,FALSE)</f>
        <v>#REF!</v>
      </c>
    </row>
    <row r="207" spans="3:17" ht="24" hidden="1" customHeight="1" x14ac:dyDescent="0.2">
      <c r="C207" s="150" t="s">
        <v>57</v>
      </c>
      <c r="D207" s="151" t="e">
        <f>VLOOKUP("resto de europa",#REF!,6,FALSE)/VLOOKUP("resto de europa",#REF!,6,FALSE)-1</f>
        <v>#REF!</v>
      </c>
      <c r="E207" s="152" t="e">
        <f>VLOOKUP("resto de europa",#REF!,6,FALSE)</f>
        <v>#REF!</v>
      </c>
      <c r="F207" s="151" t="e">
        <f>VLOOKUP("resto de europa",#REF!,5,FALSE)/VLOOKUP("resto de europa",#REF!,5,FALSE)-1</f>
        <v>#REF!</v>
      </c>
      <c r="G207" s="152" t="e">
        <f>VLOOKUP("resto de europa",#REF!,5,FALSE)</f>
        <v>#REF!</v>
      </c>
      <c r="H207" s="151" t="e">
        <f>VLOOKUP("resto de europa",#REF!,4,FALSE)/VLOOKUP("resto de europa",#REF!,4,FALSE)-1</f>
        <v>#REF!</v>
      </c>
      <c r="I207" s="152" t="e">
        <f>VLOOKUP("resto de europa",#REF!,4,FALSE)</f>
        <v>#REF!</v>
      </c>
      <c r="J207" s="151" t="e">
        <f>VLOOKUP("resto de europa",#REF!,3,FALSE)/VLOOKUP("resto de europa",#REF!,3,FALSE)-1</f>
        <v>#REF!</v>
      </c>
      <c r="K207" s="152" t="e">
        <f>VLOOKUP("resto de europa",#REF!,3,FALSE)</f>
        <v>#REF!</v>
      </c>
      <c r="L207" s="151" t="e">
        <f>VLOOKUP("resto de europa",#REF!,2,FALSE)/VLOOKUP("resto de europa",#REF!,2,FALSE)-1</f>
        <v>#REF!</v>
      </c>
      <c r="M207" s="152" t="e">
        <f>VLOOKUP("resto de europa",#REF!,2,FALSE)</f>
        <v>#REF!</v>
      </c>
      <c r="N207" s="151" t="e">
        <f>VLOOKUP("resto de europa",#REF!,7,FALSE)/VLOOKUP("resto de europa",#REF!,7,FALSE)-1</f>
        <v>#REF!</v>
      </c>
      <c r="O207" s="152" t="e">
        <f>VLOOKUP("resto de europa",#REF!,7,FALSE)</f>
        <v>#REF!</v>
      </c>
      <c r="P207" s="151" t="e">
        <f>VLOOKUP("resto de europa",#REF!,8,FALSE)/VLOOKUP("resto de europa",#REF!,8,FALSE)-1</f>
        <v>#REF!</v>
      </c>
      <c r="Q207" s="152" t="e">
        <f>VLOOKUP("resto de europa",#REF!,8,FALSE)</f>
        <v>#REF!</v>
      </c>
    </row>
    <row r="208" spans="3:17" ht="24" hidden="1" customHeight="1" x14ac:dyDescent="0.2">
      <c r="C208" s="150" t="s">
        <v>58</v>
      </c>
      <c r="D208" s="151" t="e">
        <f>VLOOKUP("usa",#REF!,6,FALSE)/VLOOKUP("usa",#REF!,6,FALSE)-1</f>
        <v>#REF!</v>
      </c>
      <c r="E208" s="152" t="e">
        <f>VLOOKUP("usa",#REF!,6,FALSE)</f>
        <v>#REF!</v>
      </c>
      <c r="F208" s="151" t="e">
        <f>VLOOKUP("usa",#REF!,5,FALSE)/VLOOKUP("usa",#REF!,5,FALSE)-1</f>
        <v>#REF!</v>
      </c>
      <c r="G208" s="152" t="e">
        <f>VLOOKUP("usa",#REF!,5,FALSE)</f>
        <v>#REF!</v>
      </c>
      <c r="H208" s="151" t="e">
        <f>VLOOKUP("usa",#REF!,4,FALSE)/VLOOKUP("usa",#REF!,4,FALSE)-1</f>
        <v>#REF!</v>
      </c>
      <c r="I208" s="152" t="e">
        <f>VLOOKUP("usa",#REF!,4,FALSE)</f>
        <v>#REF!</v>
      </c>
      <c r="J208" s="151" t="e">
        <f>VLOOKUP("usa",#REF!,3,FALSE)/VLOOKUP("usa",#REF!,3,FALSE)-1</f>
        <v>#REF!</v>
      </c>
      <c r="K208" s="152" t="e">
        <f>VLOOKUP("usa",#REF!,3,FALSE)</f>
        <v>#REF!</v>
      </c>
      <c r="L208" s="151" t="e">
        <f>VLOOKUP("usa",#REF!,2,FALSE)/VLOOKUP("usa",#REF!,2,FALSE)-1</f>
        <v>#REF!</v>
      </c>
      <c r="M208" s="152" t="e">
        <f>VLOOKUP("usa",#REF!,2,FALSE)</f>
        <v>#REF!</v>
      </c>
      <c r="N208" s="151" t="e">
        <f>VLOOKUP("usa",#REF!,7,FALSE)/VLOOKUP("usa",#REF!,7,FALSE)-1</f>
        <v>#REF!</v>
      </c>
      <c r="O208" s="152" t="e">
        <f>VLOOKUP("usa",#REF!,7,FALSE)</f>
        <v>#REF!</v>
      </c>
      <c r="P208" s="151" t="e">
        <f>VLOOKUP("usa",#REF!,8,FALSE)/VLOOKUP("usa",#REF!,8,FALSE)-1</f>
        <v>#REF!</v>
      </c>
      <c r="Q208" s="152" t="e">
        <f>VLOOKUP("usa",#REF!,8,FALSE)</f>
        <v>#REF!</v>
      </c>
    </row>
    <row r="209" spans="3:18" ht="24" hidden="1" customHeight="1" x14ac:dyDescent="0.2">
      <c r="C209" s="150" t="s">
        <v>59</v>
      </c>
      <c r="D209" s="151" t="e">
        <f>VLOOKUP("resto de america",#REF!,6,FALSE)/VLOOKUP("resto de america",#REF!,6,FALSE)-1</f>
        <v>#REF!</v>
      </c>
      <c r="E209" s="152" t="e">
        <f>VLOOKUP("resto de america",#REF!,6,FALSE)</f>
        <v>#REF!</v>
      </c>
      <c r="F209" s="151" t="e">
        <f>VLOOKUP("resto de america",#REF!,5,FALSE)/VLOOKUP("resto de america",#REF!,5,FALSE)-1</f>
        <v>#REF!</v>
      </c>
      <c r="G209" s="152" t="e">
        <f>VLOOKUP("resto de america",#REF!,5,FALSE)</f>
        <v>#REF!</v>
      </c>
      <c r="H209" s="151" t="e">
        <f>VLOOKUP("resto de america",#REF!,4,FALSE)/VLOOKUP("resto de america",#REF!,4,FALSE)-1</f>
        <v>#REF!</v>
      </c>
      <c r="I209" s="152" t="e">
        <f>VLOOKUP("resto de america",#REF!,4,FALSE)</f>
        <v>#REF!</v>
      </c>
      <c r="J209" s="151" t="e">
        <f>VLOOKUP("resto de america",#REF!,3,FALSE)/VLOOKUP("resto de america",#REF!,3,FALSE)-1</f>
        <v>#REF!</v>
      </c>
      <c r="K209" s="152" t="e">
        <f>VLOOKUP("resto de america",#REF!,3,FALSE)</f>
        <v>#REF!</v>
      </c>
      <c r="L209" s="151" t="e">
        <f>VLOOKUP("resto de america",#REF!,2,FALSE)/VLOOKUP("resto de america",#REF!,2,FALSE)-1</f>
        <v>#REF!</v>
      </c>
      <c r="M209" s="152" t="e">
        <f>VLOOKUP("resto de america",#REF!,2,FALSE)</f>
        <v>#REF!</v>
      </c>
      <c r="N209" s="151" t="e">
        <f>VLOOKUP("resto de america",#REF!,7,FALSE)/VLOOKUP("resto de america",#REF!,7,FALSE)-1</f>
        <v>#REF!</v>
      </c>
      <c r="O209" s="152" t="e">
        <f>VLOOKUP("resto de america",#REF!,7,FALSE)</f>
        <v>#REF!</v>
      </c>
      <c r="P209" s="151" t="e">
        <f>VLOOKUP("resto de america",#REF!,8,FALSE)/VLOOKUP("resto de america",#REF!,8,FALSE)-1</f>
        <v>#REF!</v>
      </c>
      <c r="Q209" s="152" t="e">
        <f>VLOOKUP("resto de america",#REF!,8,FALSE)</f>
        <v>#REF!</v>
      </c>
    </row>
    <row r="210" spans="3:18" ht="24" hidden="1" customHeight="1" x14ac:dyDescent="0.2">
      <c r="C210" s="150" t="s">
        <v>60</v>
      </c>
      <c r="D210" s="151" t="e">
        <f>VLOOKUP("resto del mundo",#REF!,6,FALSE)/VLOOKUP("resto del mundo",#REF!,6,FALSE)-1</f>
        <v>#REF!</v>
      </c>
      <c r="E210" s="152" t="e">
        <f>VLOOKUP("resto del mundo",#REF!,6,FALSE)</f>
        <v>#REF!</v>
      </c>
      <c r="F210" s="151" t="e">
        <f>VLOOKUP("resto del mundo",#REF!,5,FALSE)/VLOOKUP("resto del mundo",#REF!,5,FALSE)-1</f>
        <v>#REF!</v>
      </c>
      <c r="G210" s="152" t="e">
        <f>VLOOKUP("resto del mundo",#REF!,5,FALSE)</f>
        <v>#REF!</v>
      </c>
      <c r="H210" s="151" t="e">
        <f>VLOOKUP("resto del mundo",#REF!,4,FALSE)/VLOOKUP("resto del mundo",#REF!,4,FALSE)-1</f>
        <v>#REF!</v>
      </c>
      <c r="I210" s="152" t="e">
        <f>VLOOKUP("resto del mundo",#REF!,4,FALSE)</f>
        <v>#REF!</v>
      </c>
      <c r="J210" s="151" t="e">
        <f>VLOOKUP("resto del mundo",#REF!,3,FALSE)/VLOOKUP("resto del mundo",#REF!,3,FALSE)-1</f>
        <v>#REF!</v>
      </c>
      <c r="K210" s="152" t="e">
        <f>VLOOKUP("resto del mundo",#REF!,3,FALSE)</f>
        <v>#REF!</v>
      </c>
      <c r="L210" s="151" t="e">
        <f>VLOOKUP("resto del mundo",#REF!,2,FALSE)/VLOOKUP("resto del mundo",#REF!,2,FALSE)-1</f>
        <v>#REF!</v>
      </c>
      <c r="M210" s="152" t="e">
        <f>VLOOKUP("resto del mundo",#REF!,2,FALSE)</f>
        <v>#REF!</v>
      </c>
      <c r="N210" s="151" t="e">
        <f>VLOOKUP("resto del mundo",#REF!,7,FALSE)/VLOOKUP("resto del mundo",#REF!,7,FALSE)-1</f>
        <v>#REF!</v>
      </c>
      <c r="O210" s="152" t="e">
        <f>VLOOKUP("resto del mundo",#REF!,7,FALSE)</f>
        <v>#REF!</v>
      </c>
      <c r="P210" s="151" t="e">
        <f>VLOOKUP("resto del mundo",#REF!,8,FALSE)/VLOOKUP("resto del mundo",#REF!,8,FALSE)-1</f>
        <v>#REF!</v>
      </c>
      <c r="Q210" s="152" t="e">
        <f>VLOOKUP("resto del mundo",#REF!,8,FALSE)</f>
        <v>#REF!</v>
      </c>
    </row>
    <row r="211" spans="3:18" ht="24" hidden="1" customHeight="1" x14ac:dyDescent="0.2">
      <c r="C211" s="150" t="s">
        <v>61</v>
      </c>
      <c r="D211" s="151" t="e">
        <f>(VLOOKUP("total",#REF!,6,FALSE)-VLOOKUP("españa",#REF!,6,FALSE))/(VLOOKUP("total",#REF!,6,FALSE)-VLOOKUP("españa",#REF!,6,FALSE))-1</f>
        <v>#REF!</v>
      </c>
      <c r="E211" s="152" t="e">
        <f>VLOOKUP("total",#REF!,6,FALSE)-VLOOKUP("españa",#REF!,6,FALSE)</f>
        <v>#REF!</v>
      </c>
      <c r="F211" s="151" t="e">
        <f>(VLOOKUP("total",#REF!,5,FALSE)-VLOOKUP("españa",#REF!,5,FALSE))/(VLOOKUP("total",#REF!,5,FALSE)-VLOOKUP("españa",#REF!,5,FALSE))-1</f>
        <v>#REF!</v>
      </c>
      <c r="G211" s="152" t="e">
        <f>VLOOKUP("total",#REF!,5,FALSE)-VLOOKUP("españa",#REF!,5,FALSE)</f>
        <v>#REF!</v>
      </c>
      <c r="H211" s="151" t="e">
        <f>(VLOOKUP("total",#REF!,4,FALSE)-VLOOKUP("españa",#REF!,4,FALSE))/(VLOOKUP("total",#REF!,4,FALSE)-VLOOKUP("españa",#REF!,4,FALSE))-1</f>
        <v>#REF!</v>
      </c>
      <c r="I211" s="152" t="e">
        <f>VLOOKUP("total",#REF!,4,FALSE)-VLOOKUP("españa",#REF!,4,FALSE)</f>
        <v>#REF!</v>
      </c>
      <c r="J211" s="151" t="e">
        <f>(VLOOKUP("total",#REF!,3,FALSE)-VLOOKUP("españa",#REF!,3,FALSE))/(VLOOKUP("total",#REF!,3,FALSE)-VLOOKUP("españa",#REF!,3,FALSE))-1</f>
        <v>#REF!</v>
      </c>
      <c r="K211" s="152" t="e">
        <f>VLOOKUP("total",#REF!,3,FALSE)-VLOOKUP("españa",#REF!,3,FALSE)</f>
        <v>#REF!</v>
      </c>
      <c r="L211" s="151" t="e">
        <f>(VLOOKUP("total",#REF!,2,FALSE)-VLOOKUP("españa",#REF!,2,FALSE))/(VLOOKUP("total",#REF!,2,FALSE)-VLOOKUP("españa",#REF!,2,FALSE))-1</f>
        <v>#REF!</v>
      </c>
      <c r="M211" s="152" t="e">
        <f>VLOOKUP("total",#REF!,2,FALSE)-VLOOKUP("españa",#REF!,2,FALSE)</f>
        <v>#REF!</v>
      </c>
      <c r="N211" s="151" t="e">
        <f>(VLOOKUP("total",#REF!,7,FALSE)-VLOOKUP("españa",#REF!,7,FALSE))/(VLOOKUP("total",#REF!,7,FALSE)-VLOOKUP("españa",#REF!,7,FALSE))-1</f>
        <v>#REF!</v>
      </c>
      <c r="O211" s="152" t="e">
        <f>VLOOKUP("total",#REF!,7,FALSE)-VLOOKUP("españa",#REF!,7,FALSE)</f>
        <v>#REF!</v>
      </c>
      <c r="P211" s="151" t="e">
        <f>(VLOOKUP("total",#REF!,8,FALSE)-VLOOKUP("españa",#REF!,8,FALSE))/(VLOOKUP("total",#REF!,8,FALSE)-VLOOKUP("españa",#REF!,8,FALSE))-1</f>
        <v>#REF!</v>
      </c>
      <c r="Q211" s="152" t="e">
        <f>VLOOKUP("total",#REF!,8,FALSE)-VLOOKUP("españa",#REF!,8,FALSE)</f>
        <v>#REF!</v>
      </c>
    </row>
    <row r="212" spans="3:18" ht="24" hidden="1" customHeight="1" x14ac:dyDescent="0.2">
      <c r="C212" s="150" t="s">
        <v>8</v>
      </c>
      <c r="D212" s="151" t="e">
        <f>VLOOKUP("total",#REF!,6,FALSE)/VLOOKUP("total",#REF!,6,FALSE)-1</f>
        <v>#REF!</v>
      </c>
      <c r="E212" s="152" t="e">
        <f>VLOOKUP("total",#REF!,6,FALSE)</f>
        <v>#REF!</v>
      </c>
      <c r="F212" s="151" t="e">
        <f>VLOOKUP("total",#REF!,5,FALSE)/VLOOKUP("total",#REF!,5,FALSE)-1</f>
        <v>#REF!</v>
      </c>
      <c r="G212" s="152" t="e">
        <f>VLOOKUP("total",#REF!,5,FALSE)</f>
        <v>#REF!</v>
      </c>
      <c r="H212" s="151" t="e">
        <f>VLOOKUP("total",#REF!,4,FALSE)/VLOOKUP("total",#REF!,4,FALSE)-1</f>
        <v>#REF!</v>
      </c>
      <c r="I212" s="152" t="e">
        <f>VLOOKUP("total",#REF!,4,FALSE)</f>
        <v>#REF!</v>
      </c>
      <c r="J212" s="151" t="e">
        <f>VLOOKUP("total",#REF!,3,FALSE)/VLOOKUP("total",#REF!,3,FALSE)-1</f>
        <v>#REF!</v>
      </c>
      <c r="K212" s="152" t="e">
        <f>VLOOKUP("total",#REF!,3,FALSE)</f>
        <v>#REF!</v>
      </c>
      <c r="L212" s="151" t="e">
        <f>VLOOKUP("total",#REF!,2,FALSE)/VLOOKUP("total",#REF!,2,FALSE)-1</f>
        <v>#REF!</v>
      </c>
      <c r="M212" s="152" t="e">
        <f>VLOOKUP("total",#REF!,2,FALSE)</f>
        <v>#REF!</v>
      </c>
      <c r="N212" s="151" t="e">
        <f>VLOOKUP("total",#REF!,7,FALSE)/VLOOKUP("total",#REF!,7,FALSE)-1</f>
        <v>#REF!</v>
      </c>
      <c r="O212" s="152" t="e">
        <f>VLOOKUP("total",#REF!,7,FALSE)</f>
        <v>#REF!</v>
      </c>
      <c r="P212" s="151" t="e">
        <f>VLOOKUP("total",#REF!,8,FALSE)/VLOOKUP("total",#REF!,8,FALSE)-1</f>
        <v>#REF!</v>
      </c>
      <c r="Q212" s="152" t="e">
        <f>VLOOKUP("total",#REF!,8,FALSE)</f>
        <v>#REF!</v>
      </c>
    </row>
    <row r="213" spans="3:18" hidden="1" x14ac:dyDescent="0.2">
      <c r="C213" s="111"/>
      <c r="D213" s="112"/>
      <c r="E213" s="112"/>
      <c r="F213" s="112"/>
      <c r="G213" s="112"/>
      <c r="H213" s="112"/>
      <c r="I213" s="112"/>
      <c r="J213" s="112"/>
      <c r="K213" s="112"/>
      <c r="L213" s="112"/>
      <c r="M213" s="114"/>
    </row>
    <row r="214" spans="3:18" ht="35.25" hidden="1" customHeight="1" x14ac:dyDescent="0.2">
      <c r="C214" s="331" t="s">
        <v>29</v>
      </c>
      <c r="D214" s="332"/>
      <c r="E214" s="332"/>
      <c r="F214" s="332"/>
      <c r="G214" s="332"/>
      <c r="H214" s="332"/>
      <c r="I214" s="332"/>
      <c r="J214" s="332"/>
      <c r="K214" s="332"/>
      <c r="L214" s="332"/>
      <c r="M214" s="332"/>
      <c r="N214" s="332"/>
      <c r="O214" s="332"/>
      <c r="P214" s="332"/>
      <c r="Q214" s="332"/>
      <c r="R214" s="147"/>
    </row>
    <row r="215" spans="3:18" ht="20.100000000000001" hidden="1" customHeight="1" x14ac:dyDescent="0.2">
      <c r="C215" s="333" t="str">
        <f>I2</f>
        <v>I cuatrimestre 2018</v>
      </c>
      <c r="D215" s="334"/>
      <c r="E215" s="334"/>
      <c r="F215" s="334"/>
      <c r="G215" s="334"/>
      <c r="H215" s="334"/>
      <c r="I215" s="334"/>
      <c r="J215" s="334"/>
      <c r="K215" s="334"/>
      <c r="L215" s="334"/>
      <c r="M215" s="334"/>
      <c r="N215" s="334"/>
      <c r="O215" s="334"/>
      <c r="P215" s="334"/>
      <c r="Q215" s="334"/>
      <c r="R215" s="154"/>
    </row>
    <row r="216" spans="3:18" ht="13.5" hidden="1" thickBot="1" x14ac:dyDescent="0.25">
      <c r="C216" s="148"/>
      <c r="D216" s="329" t="s">
        <v>24</v>
      </c>
      <c r="E216" s="330"/>
      <c r="F216" s="329" t="s">
        <v>23</v>
      </c>
      <c r="G216" s="330"/>
      <c r="H216" s="329" t="s">
        <v>22</v>
      </c>
      <c r="I216" s="330"/>
      <c r="J216" s="329" t="s">
        <v>21</v>
      </c>
      <c r="K216" s="330"/>
      <c r="L216" s="329" t="s">
        <v>20</v>
      </c>
      <c r="M216" s="330"/>
      <c r="N216" s="329" t="s">
        <v>63</v>
      </c>
      <c r="O216" s="330"/>
      <c r="P216" s="329" t="s">
        <v>64</v>
      </c>
      <c r="Q216" s="330"/>
    </row>
    <row r="217" spans="3:18" ht="28.5" hidden="1" customHeight="1" x14ac:dyDescent="0.2">
      <c r="C217" s="148"/>
      <c r="D217" s="149" t="s">
        <v>65</v>
      </c>
      <c r="E217" s="149" t="s">
        <v>66</v>
      </c>
      <c r="F217" s="149" t="s">
        <v>65</v>
      </c>
      <c r="G217" s="149" t="s">
        <v>66</v>
      </c>
      <c r="H217" s="149" t="s">
        <v>65</v>
      </c>
      <c r="I217" s="149" t="s">
        <v>66</v>
      </c>
      <c r="J217" s="149" t="s">
        <v>65</v>
      </c>
      <c r="K217" s="149" t="s">
        <v>66</v>
      </c>
      <c r="L217" s="149" t="s">
        <v>65</v>
      </c>
      <c r="M217" s="149" t="s">
        <v>66</v>
      </c>
      <c r="N217" s="149" t="s">
        <v>65</v>
      </c>
      <c r="O217" s="149" t="s">
        <v>66</v>
      </c>
      <c r="P217" s="149" t="s">
        <v>65</v>
      </c>
      <c r="Q217" s="149" t="s">
        <v>66</v>
      </c>
    </row>
    <row r="218" spans="3:18" ht="24" hidden="1" customHeight="1" x14ac:dyDescent="0.2">
      <c r="C218" s="150" t="s">
        <v>36</v>
      </c>
      <c r="D218" s="151" t="e">
        <f>VLOOKUP("españa",#REF!,6,FALSE)/VLOOKUP("españa",#REF!,6,FALSE)-1</f>
        <v>#REF!</v>
      </c>
      <c r="E218" s="152" t="e">
        <f>VLOOKUP("españa",#REF!,6,FALSE)</f>
        <v>#REF!</v>
      </c>
      <c r="F218" s="151" t="e">
        <f>VLOOKUP("españa",#REF!,5,FALSE)/VLOOKUP("españa",#REF!,5,FALSE)-1</f>
        <v>#REF!</v>
      </c>
      <c r="G218" s="152" t="e">
        <f>VLOOKUP("españa",#REF!,5,FALSE)</f>
        <v>#REF!</v>
      </c>
      <c r="H218" s="151" t="e">
        <f>VLOOKUP("españa",#REF!,4,FALSE)/VLOOKUP("españa",#REF!,4,FALSE)-1</f>
        <v>#REF!</v>
      </c>
      <c r="I218" s="152" t="e">
        <f>VLOOKUP("españa",#REF!,4,FALSE)</f>
        <v>#REF!</v>
      </c>
      <c r="J218" s="151" t="e">
        <f>VLOOKUP("españa",#REF!,3,FALSE)/VLOOKUP("españa",#REF!,3,FALSE)-1</f>
        <v>#REF!</v>
      </c>
      <c r="K218" s="152" t="e">
        <f>VLOOKUP("españa",#REF!,3,FALSE)</f>
        <v>#REF!</v>
      </c>
      <c r="L218" s="151" t="e">
        <f>VLOOKUP("españa",#REF!,2,FALSE)/VLOOKUP("españa",#REF!,2,FALSE)-1</f>
        <v>#REF!</v>
      </c>
      <c r="M218" s="152" t="e">
        <f>VLOOKUP("españa",#REF!,2,FALSE)</f>
        <v>#REF!</v>
      </c>
      <c r="N218" s="151" t="e">
        <f>VLOOKUP("españa",#REF!,7,FALSE)/VLOOKUP("españa",#REF!,7,FALSE)-1</f>
        <v>#REF!</v>
      </c>
      <c r="O218" s="152" t="e">
        <f>VLOOKUP("españa",#REF!,7,FALSE)</f>
        <v>#REF!</v>
      </c>
      <c r="P218" s="151" t="e">
        <f>VLOOKUP("españa",#REF!,8,FALSE)/VLOOKUP("españa",#REF!,8,FALSE)-1</f>
        <v>#REF!</v>
      </c>
      <c r="Q218" s="152" t="e">
        <f>VLOOKUP("españa",#REF!,8,FALSE)</f>
        <v>#REF!</v>
      </c>
    </row>
    <row r="219" spans="3:18" ht="24" hidden="1" customHeight="1" x14ac:dyDescent="0.2">
      <c r="C219" s="150" t="s">
        <v>41</v>
      </c>
      <c r="D219" s="151" t="e">
        <f>VLOOKUP("holanda",#REF!,6,FALSE)/VLOOKUP("holanda",#REF!,6,FALSE)-1</f>
        <v>#REF!</v>
      </c>
      <c r="E219" s="152" t="e">
        <f>VLOOKUP("holanda",#REF!,6,FALSE)</f>
        <v>#REF!</v>
      </c>
      <c r="F219" s="151" t="e">
        <f>VLOOKUP("holanda",#REF!,5,FALSE)/VLOOKUP("holanda",#REF!,5,FALSE)-1</f>
        <v>#REF!</v>
      </c>
      <c r="G219" s="152" t="e">
        <f>VLOOKUP("holanda",#REF!,5,FALSE)</f>
        <v>#REF!</v>
      </c>
      <c r="H219" s="151" t="e">
        <f>VLOOKUP("holanda",#REF!,4,FALSE)/VLOOKUP("holanda",#REF!,4,FALSE)-1</f>
        <v>#REF!</v>
      </c>
      <c r="I219" s="152" t="e">
        <f>VLOOKUP("holanda",#REF!,4,FALSE)</f>
        <v>#REF!</v>
      </c>
      <c r="J219" s="151" t="e">
        <f>VLOOKUP("holanda",#REF!,3,FALSE)/VLOOKUP("holanda",#REF!,3,FALSE)-1</f>
        <v>#REF!</v>
      </c>
      <c r="K219" s="152" t="e">
        <f>VLOOKUP("holanda",#REF!,3,FALSE)</f>
        <v>#REF!</v>
      </c>
      <c r="L219" s="151" t="e">
        <f>VLOOKUP("holanda",#REF!,2,FALSE)/VLOOKUP("holanda",#REF!,2,FALSE)-1</f>
        <v>#REF!</v>
      </c>
      <c r="M219" s="152" t="e">
        <f>VLOOKUP("holanda",#REF!,2,FALSE)</f>
        <v>#REF!</v>
      </c>
      <c r="N219" s="151" t="e">
        <f>VLOOKUP("holanda",#REF!,7,FALSE)/VLOOKUP("holanda",#REF!,7,FALSE)-1</f>
        <v>#REF!</v>
      </c>
      <c r="O219" s="152" t="e">
        <f>VLOOKUP("holanda",#REF!,7,FALSE)</f>
        <v>#REF!</v>
      </c>
      <c r="P219" s="151" t="e">
        <f>VLOOKUP("holanda",#REF!,8,FALSE)/VLOOKUP("holanda",#REF!,8,FALSE)-1</f>
        <v>#REF!</v>
      </c>
      <c r="Q219" s="152" t="e">
        <f>VLOOKUP("holanda",#REF!,8,FALSE)</f>
        <v>#REF!</v>
      </c>
    </row>
    <row r="220" spans="3:18" ht="24" hidden="1" customHeight="1" x14ac:dyDescent="0.2">
      <c r="C220" s="150" t="s">
        <v>42</v>
      </c>
      <c r="D220" s="151" t="e">
        <f>VLOOKUP("belgica",#REF!,6,FALSE)/VLOOKUP("belgica",#REF!,6,FALSE)-1</f>
        <v>#REF!</v>
      </c>
      <c r="E220" s="152" t="e">
        <f>VLOOKUP("belgica",#REF!,6,FALSE)</f>
        <v>#REF!</v>
      </c>
      <c r="F220" s="151" t="e">
        <f>VLOOKUP("belgica",#REF!,5,FALSE)/VLOOKUP("belgica",#REF!,5,FALSE)-1</f>
        <v>#REF!</v>
      </c>
      <c r="G220" s="152" t="e">
        <f>VLOOKUP("belgica",#REF!,5,FALSE)</f>
        <v>#REF!</v>
      </c>
      <c r="H220" s="151" t="e">
        <f>VLOOKUP("belgica",#REF!,4,FALSE)/VLOOKUP("belgica",#REF!,4,FALSE)-1</f>
        <v>#REF!</v>
      </c>
      <c r="I220" s="152" t="e">
        <f>VLOOKUP("belgica",#REF!,4,FALSE)</f>
        <v>#REF!</v>
      </c>
      <c r="J220" s="151" t="e">
        <f>VLOOKUP("belgica",#REF!,3,FALSE)/VLOOKUP("belgica",#REF!,3,FALSE)-1</f>
        <v>#REF!</v>
      </c>
      <c r="K220" s="152" t="e">
        <f>VLOOKUP("belgica",#REF!,3,FALSE)</f>
        <v>#REF!</v>
      </c>
      <c r="L220" s="151" t="e">
        <f>VLOOKUP("belgica",#REF!,2,FALSE)/VLOOKUP("belgica",#REF!,2,FALSE)-1</f>
        <v>#REF!</v>
      </c>
      <c r="M220" s="152" t="e">
        <f>VLOOKUP("belgica",#REF!,2,FALSE)</f>
        <v>#REF!</v>
      </c>
      <c r="N220" s="151" t="e">
        <f>VLOOKUP("belgica",#REF!,7,FALSE)/VLOOKUP("belgica",#REF!,7,FALSE)-1</f>
        <v>#REF!</v>
      </c>
      <c r="O220" s="152" t="e">
        <f>VLOOKUP("belgica",#REF!,7,FALSE)</f>
        <v>#REF!</v>
      </c>
      <c r="P220" s="151" t="e">
        <f>VLOOKUP("belgica",#REF!,8,FALSE)/VLOOKUP("belgica",#REF!,8,FALSE)-1</f>
        <v>#REF!</v>
      </c>
      <c r="Q220" s="152" t="e">
        <f>VLOOKUP("belgica",#REF!,8,FALSE)</f>
        <v>#REF!</v>
      </c>
    </row>
    <row r="221" spans="3:18" ht="24" hidden="1" customHeight="1" x14ac:dyDescent="0.2">
      <c r="C221" s="150" t="s">
        <v>43</v>
      </c>
      <c r="D221" s="151" t="e">
        <f>VLOOKUP("alemania",#REF!,6,FALSE)/VLOOKUP("alemania",#REF!,6,FALSE)-1</f>
        <v>#REF!</v>
      </c>
      <c r="E221" s="152" t="e">
        <f>VLOOKUP("alemania",#REF!,6,FALSE)</f>
        <v>#REF!</v>
      </c>
      <c r="F221" s="151" t="e">
        <f>VLOOKUP("alemania",#REF!,5,FALSE)/VLOOKUP("alemania",#REF!,5,FALSE)-1</f>
        <v>#REF!</v>
      </c>
      <c r="G221" s="152" t="e">
        <f>VLOOKUP("alemania",#REF!,5,FALSE)</f>
        <v>#REF!</v>
      </c>
      <c r="H221" s="151" t="e">
        <f>VLOOKUP("alemania",#REF!,4,FALSE)/VLOOKUP("alemania",#REF!,4,FALSE)-1</f>
        <v>#REF!</v>
      </c>
      <c r="I221" s="152" t="e">
        <f>VLOOKUP("alemania",#REF!,4,FALSE)</f>
        <v>#REF!</v>
      </c>
      <c r="J221" s="151" t="e">
        <f>VLOOKUP("alemania",#REF!,3,FALSE)/VLOOKUP("alemania",#REF!,3,FALSE)-1</f>
        <v>#REF!</v>
      </c>
      <c r="K221" s="152" t="e">
        <f>VLOOKUP("alemania",#REF!,3,FALSE)</f>
        <v>#REF!</v>
      </c>
      <c r="L221" s="151" t="e">
        <f>VLOOKUP("alemania",#REF!,2,FALSE)/VLOOKUP("alemania",#REF!,2,FALSE)-1</f>
        <v>#REF!</v>
      </c>
      <c r="M221" s="152" t="e">
        <f>VLOOKUP("alemania",#REF!,2,FALSE)</f>
        <v>#REF!</v>
      </c>
      <c r="N221" s="151" t="e">
        <f>VLOOKUP("alemania",#REF!,7,FALSE)/VLOOKUP("alemania",#REF!,7,FALSE)-1</f>
        <v>#REF!</v>
      </c>
      <c r="O221" s="152" t="e">
        <f>VLOOKUP("alemania",#REF!,7,FALSE)</f>
        <v>#REF!</v>
      </c>
      <c r="P221" s="151" t="e">
        <f>VLOOKUP("alemania",#REF!,8,FALSE)/VLOOKUP("alemania",#REF!,8,FALSE)-1</f>
        <v>#REF!</v>
      </c>
      <c r="Q221" s="152" t="e">
        <f>VLOOKUP("alemania",#REF!,8,FALSE)</f>
        <v>#REF!</v>
      </c>
    </row>
    <row r="222" spans="3:18" ht="24" hidden="1" customHeight="1" x14ac:dyDescent="0.2">
      <c r="C222" s="150" t="s">
        <v>44</v>
      </c>
      <c r="D222" s="151" t="e">
        <f>VLOOKUP("francia",#REF!,6,FALSE)/VLOOKUP("francia",#REF!,6,FALSE)-1</f>
        <v>#REF!</v>
      </c>
      <c r="E222" s="152" t="e">
        <f>VLOOKUP("francia",#REF!,6,FALSE)</f>
        <v>#REF!</v>
      </c>
      <c r="F222" s="151" t="e">
        <f>VLOOKUP("francia",#REF!,5,FALSE)/VLOOKUP("francia",#REF!,5,FALSE)-1</f>
        <v>#REF!</v>
      </c>
      <c r="G222" s="152" t="e">
        <f>VLOOKUP("francia",#REF!,5,FALSE)</f>
        <v>#REF!</v>
      </c>
      <c r="H222" s="151" t="e">
        <f>VLOOKUP("francia",#REF!,4,FALSE)/VLOOKUP("francia",#REF!,4,FALSE)-1</f>
        <v>#REF!</v>
      </c>
      <c r="I222" s="152" t="e">
        <f>VLOOKUP("francia",#REF!,4,FALSE)</f>
        <v>#REF!</v>
      </c>
      <c r="J222" s="151" t="e">
        <f>VLOOKUP("francia",#REF!,3,FALSE)/VLOOKUP("francia",#REF!,3,FALSE)-1</f>
        <v>#REF!</v>
      </c>
      <c r="K222" s="152" t="e">
        <f>VLOOKUP("francia",#REF!,3,FALSE)</f>
        <v>#REF!</v>
      </c>
      <c r="L222" s="151" t="e">
        <f>VLOOKUP("francia",#REF!,2,FALSE)/VLOOKUP("francia",#REF!,2,FALSE)-1</f>
        <v>#REF!</v>
      </c>
      <c r="M222" s="152" t="e">
        <f>VLOOKUP("francia",#REF!,2,FALSE)</f>
        <v>#REF!</v>
      </c>
      <c r="N222" s="151" t="e">
        <f>VLOOKUP("francia",#REF!,7,FALSE)/VLOOKUP("francia",#REF!,7,FALSE)-1</f>
        <v>#REF!</v>
      </c>
      <c r="O222" s="152" t="e">
        <f>VLOOKUP("francia",#REF!,7,FALSE)</f>
        <v>#REF!</v>
      </c>
      <c r="P222" s="151" t="e">
        <f>VLOOKUP("francia",#REF!,8,FALSE)/VLOOKUP("francia",#REF!,8,FALSE)-1</f>
        <v>#REF!</v>
      </c>
      <c r="Q222" s="152" t="e">
        <f>VLOOKUP("francia",#REF!,8,FALSE)</f>
        <v>#REF!</v>
      </c>
    </row>
    <row r="223" spans="3:18" ht="24" hidden="1" customHeight="1" x14ac:dyDescent="0.2">
      <c r="C223" s="150" t="s">
        <v>45</v>
      </c>
      <c r="D223" s="151" t="e">
        <f>VLOOKUP("reino unido",#REF!,6,FALSE)/VLOOKUP("reino unido",#REF!,6,FALSE)-1</f>
        <v>#REF!</v>
      </c>
      <c r="E223" s="152" t="e">
        <f>VLOOKUP("reino unido",#REF!,6,FALSE)</f>
        <v>#REF!</v>
      </c>
      <c r="F223" s="151" t="e">
        <f>VLOOKUP("reino unido",#REF!,5,FALSE)/VLOOKUP("reino unido",#REF!,5,FALSE)-1</f>
        <v>#REF!</v>
      </c>
      <c r="G223" s="152" t="e">
        <f>VLOOKUP("reino unido",#REF!,5,FALSE)</f>
        <v>#REF!</v>
      </c>
      <c r="H223" s="151" t="e">
        <f>VLOOKUP("reino unido",#REF!,4,FALSE)/VLOOKUP("reino unido",#REF!,4,FALSE)-1</f>
        <v>#REF!</v>
      </c>
      <c r="I223" s="152" t="e">
        <f>VLOOKUP("reino unido",#REF!,4,FALSE)</f>
        <v>#REF!</v>
      </c>
      <c r="J223" s="151" t="e">
        <f>VLOOKUP("reino unido",#REF!,3,FALSE)/VLOOKUP("reino unido",#REF!,3,FALSE)-1</f>
        <v>#REF!</v>
      </c>
      <c r="K223" s="152" t="e">
        <f>VLOOKUP("reino unido",#REF!,3,FALSE)</f>
        <v>#REF!</v>
      </c>
      <c r="L223" s="151" t="e">
        <f>VLOOKUP("reino unido",#REF!,2,FALSE)/VLOOKUP("reino unido",#REF!,2,FALSE)-1</f>
        <v>#REF!</v>
      </c>
      <c r="M223" s="152" t="e">
        <f>VLOOKUP("reino unido",#REF!,2,FALSE)</f>
        <v>#REF!</v>
      </c>
      <c r="N223" s="151" t="e">
        <f>VLOOKUP("reino unido",#REF!,7,FALSE)/VLOOKUP("reino unido",#REF!,7,FALSE)-1</f>
        <v>#REF!</v>
      </c>
      <c r="O223" s="152" t="e">
        <f>VLOOKUP("reino unido",#REF!,7,FALSE)</f>
        <v>#REF!</v>
      </c>
      <c r="P223" s="151" t="e">
        <f>VLOOKUP("reino unido",#REF!,8,FALSE)/VLOOKUP("reino unido",#REF!,8,FALSE)-1</f>
        <v>#REF!</v>
      </c>
      <c r="Q223" s="152" t="e">
        <f>VLOOKUP("reino unido",#REF!,8,FALSE)</f>
        <v>#REF!</v>
      </c>
    </row>
    <row r="224" spans="3:18" ht="24" hidden="1" customHeight="1" x14ac:dyDescent="0.2">
      <c r="C224" s="150" t="s">
        <v>46</v>
      </c>
      <c r="D224" s="151" t="e">
        <f>VLOOKUP("irlanda",#REF!,6,FALSE)/VLOOKUP("irlanda",#REF!,6,FALSE)-1</f>
        <v>#REF!</v>
      </c>
      <c r="E224" s="152" t="e">
        <f>VLOOKUP("irlanda",#REF!,6,FALSE)</f>
        <v>#REF!</v>
      </c>
      <c r="F224" s="151" t="e">
        <f>VLOOKUP("irlanda",#REF!,5,FALSE)/VLOOKUP("irlanda",#REF!,5,FALSE)-1</f>
        <v>#REF!</v>
      </c>
      <c r="G224" s="152" t="e">
        <f>VLOOKUP("irlanda",#REF!,5,FALSE)</f>
        <v>#REF!</v>
      </c>
      <c r="H224" s="151" t="e">
        <f>VLOOKUP("irlanda",#REF!,4,FALSE)/VLOOKUP("irlanda",#REF!,4,FALSE)-1</f>
        <v>#REF!</v>
      </c>
      <c r="I224" s="152" t="e">
        <f>VLOOKUP("irlanda",#REF!,4,FALSE)</f>
        <v>#REF!</v>
      </c>
      <c r="J224" s="151" t="e">
        <f>VLOOKUP("irlanda",#REF!,3,FALSE)/VLOOKUP("irlanda",#REF!,3,FALSE)-1</f>
        <v>#REF!</v>
      </c>
      <c r="K224" s="152" t="e">
        <f>VLOOKUP("irlanda",#REF!,3,FALSE)</f>
        <v>#REF!</v>
      </c>
      <c r="L224" s="151" t="e">
        <f>VLOOKUP("irlanda",#REF!,2,FALSE)/VLOOKUP("irlanda",#REF!,2,FALSE)-1</f>
        <v>#REF!</v>
      </c>
      <c r="M224" s="152" t="e">
        <f>VLOOKUP("irlanda",#REF!,2,FALSE)</f>
        <v>#REF!</v>
      </c>
      <c r="N224" s="151" t="e">
        <f>VLOOKUP("irlanda",#REF!,7,FALSE)/VLOOKUP("irlanda",#REF!,7,FALSE)-1</f>
        <v>#REF!</v>
      </c>
      <c r="O224" s="152" t="e">
        <f>VLOOKUP("irlanda",#REF!,7,FALSE)</f>
        <v>#REF!</v>
      </c>
      <c r="P224" s="151" t="e">
        <f>VLOOKUP("irlanda",#REF!,8,FALSE)/VLOOKUP("irlanda",#REF!,8,FALSE)-1</f>
        <v>#REF!</v>
      </c>
      <c r="Q224" s="152" t="e">
        <f>VLOOKUP("irlanda",#REF!,8,FALSE)</f>
        <v>#REF!</v>
      </c>
    </row>
    <row r="225" spans="3:17" ht="24" hidden="1" customHeight="1" x14ac:dyDescent="0.2">
      <c r="C225" s="150" t="s">
        <v>47</v>
      </c>
      <c r="D225" s="151" t="e">
        <f>VLOOKUP("italia",#REF!,6,FALSE)/VLOOKUP("italia",#REF!,6,FALSE)-1</f>
        <v>#REF!</v>
      </c>
      <c r="E225" s="152" t="e">
        <f>VLOOKUP("italia",#REF!,6,FALSE)</f>
        <v>#REF!</v>
      </c>
      <c r="F225" s="151" t="e">
        <f>VLOOKUP("italia",#REF!,5,FALSE)/VLOOKUP("italia",#REF!,5,FALSE)-1</f>
        <v>#REF!</v>
      </c>
      <c r="G225" s="152" t="e">
        <f>VLOOKUP("italia",#REF!,5,FALSE)</f>
        <v>#REF!</v>
      </c>
      <c r="H225" s="151" t="e">
        <f>VLOOKUP("italia",#REF!,4,FALSE)/VLOOKUP("italia",#REF!,4,FALSE)-1</f>
        <v>#REF!</v>
      </c>
      <c r="I225" s="152" t="e">
        <f>VLOOKUP("italia",#REF!,4,FALSE)</f>
        <v>#REF!</v>
      </c>
      <c r="J225" s="151" t="e">
        <f>VLOOKUP("italia",#REF!,3,FALSE)/VLOOKUP("italia",#REF!,3,FALSE)-1</f>
        <v>#REF!</v>
      </c>
      <c r="K225" s="152" t="e">
        <f>VLOOKUP("italia",#REF!,3,FALSE)</f>
        <v>#REF!</v>
      </c>
      <c r="L225" s="151" t="e">
        <f>VLOOKUP("italia",#REF!,2,FALSE)/VLOOKUP("italia",#REF!,2,FALSE)-1</f>
        <v>#REF!</v>
      </c>
      <c r="M225" s="152" t="e">
        <f>VLOOKUP("italia",#REF!,2,FALSE)</f>
        <v>#REF!</v>
      </c>
      <c r="N225" s="151" t="e">
        <f>VLOOKUP("italia",#REF!,7,FALSE)/VLOOKUP("italia",#REF!,7,FALSE)-1</f>
        <v>#REF!</v>
      </c>
      <c r="O225" s="152" t="e">
        <f>VLOOKUP("italia",#REF!,7,FALSE)</f>
        <v>#REF!</v>
      </c>
      <c r="P225" s="151" t="e">
        <f>VLOOKUP("italia",#REF!,8,FALSE)/VLOOKUP("italia",#REF!,8,FALSE)-1</f>
        <v>#REF!</v>
      </c>
      <c r="Q225" s="152" t="e">
        <f>VLOOKUP("italia",#REF!,8,FALSE)</f>
        <v>#REF!</v>
      </c>
    </row>
    <row r="226" spans="3:17" ht="24" hidden="1" customHeight="1" x14ac:dyDescent="0.2">
      <c r="C226" s="150" t="s">
        <v>48</v>
      </c>
      <c r="D226" s="151" t="e">
        <f>(VLOOKUP("suecia",#REF!,6,FALSE)+VLOOKUP("noruega",#REF!,6,FALSE)+VLOOKUP("dinamarca",#REF!,6,FALSE)+VLOOKUP("finlandia",#REF!,6,FALSE))/(VLOOKUP("suecia",#REF!,6,FALSE)+VLOOKUP("noruega",#REF!,6,FALSE)+VLOOKUP("dinamarca",#REF!,6,FALSE)+VLOOKUP("finlandia",#REF!,6,FALSE))-1</f>
        <v>#REF!</v>
      </c>
      <c r="E226" s="152" t="e">
        <f>(VLOOKUP("suecia",#REF!,6,FALSE)+VLOOKUP("noruega",#REF!,6,FALSE)+VLOOKUP("dinamarca",#REF!,6,FALSE)+VLOOKUP("finlandia",#REF!,6,FALSE))</f>
        <v>#REF!</v>
      </c>
      <c r="F226" s="151" t="e">
        <f>(VLOOKUP("suecia",#REF!,5,FALSE)+VLOOKUP("noruega",#REF!,5,FALSE)+VLOOKUP("dinamarca",#REF!,5,FALSE)+VLOOKUP("finlandia",#REF!,5,FALSE))/(VLOOKUP("suecia",#REF!,5,FALSE)+VLOOKUP("noruega",#REF!,5,FALSE)+VLOOKUP("dinamarca",#REF!,5,FALSE)+VLOOKUP("finlandia",#REF!,5,FALSE))-1</f>
        <v>#REF!</v>
      </c>
      <c r="G226" s="152" t="e">
        <f>(VLOOKUP("suecia",#REF!,5,FALSE)+VLOOKUP("noruega",#REF!,5,FALSE)+VLOOKUP("dinamarca",#REF!,5,FALSE)+VLOOKUP("finlandia",#REF!,5,FALSE))</f>
        <v>#REF!</v>
      </c>
      <c r="H226" s="151" t="e">
        <f>(VLOOKUP("suecia",#REF!,4,FALSE)+VLOOKUP("noruega",#REF!,4,FALSE)+VLOOKUP("dinamarca",#REF!,4,FALSE)+VLOOKUP("finlandia",#REF!,4,FALSE))/(VLOOKUP("suecia",#REF!,4,FALSE)+VLOOKUP("noruega",#REF!,4,FALSE)+VLOOKUP("dinamarca",#REF!,4,FALSE)+VLOOKUP("finlandia",#REF!,4,FALSE))-1</f>
        <v>#REF!</v>
      </c>
      <c r="I226" s="152" t="e">
        <f>(VLOOKUP("suecia",#REF!,4,FALSE)+VLOOKUP("noruega",#REF!,4,FALSE)+VLOOKUP("dinamarca",#REF!,4,FALSE)+VLOOKUP("finlandia",#REF!,4,FALSE))</f>
        <v>#REF!</v>
      </c>
      <c r="J226" s="151" t="e">
        <f>(VLOOKUP("suecia",#REF!,3,FALSE)+VLOOKUP("noruega",#REF!,3,FALSE)+VLOOKUP("dinamarca",#REF!,3,FALSE)+VLOOKUP("finlandia",#REF!,3,FALSE))/(VLOOKUP("suecia",#REF!,3,FALSE)+VLOOKUP("noruega",#REF!,3,FALSE)+VLOOKUP("dinamarca",#REF!,3,FALSE)+VLOOKUP("finlandia",#REF!,3,FALSE))-1</f>
        <v>#REF!</v>
      </c>
      <c r="K226" s="152" t="e">
        <f>(VLOOKUP("suecia",#REF!,3,FALSE)+VLOOKUP("noruega",#REF!,3,FALSE)+VLOOKUP("dinamarca",#REF!,3,FALSE)+VLOOKUP("finlandia",#REF!,3,FALSE))</f>
        <v>#REF!</v>
      </c>
      <c r="L226" s="151" t="e">
        <f>(VLOOKUP("suecia",#REF!,2,FALSE)+VLOOKUP("noruega",#REF!,2,FALSE)+VLOOKUP("dinamarca",#REF!,2,FALSE)+VLOOKUP("finlandia",#REF!,2,FALSE))/(VLOOKUP("suecia",#REF!,2,FALSE)+VLOOKUP("noruega",#REF!,2,FALSE)+VLOOKUP("dinamarca",#REF!,2,FALSE)+VLOOKUP("finlandia",#REF!,2,FALSE))-1</f>
        <v>#REF!</v>
      </c>
      <c r="M226" s="152" t="e">
        <f>(VLOOKUP("suecia",#REF!,2,FALSE)+VLOOKUP("noruega",#REF!,2,FALSE)+VLOOKUP("dinamarca",#REF!,2,FALSE)+VLOOKUP("finlandia",#REF!,2,FALSE))</f>
        <v>#REF!</v>
      </c>
      <c r="N226" s="151" t="e">
        <f>(VLOOKUP("suecia",#REF!,7,FALSE)+VLOOKUP("noruega",#REF!,7,FALSE)+VLOOKUP("dinamarca",#REF!,7,FALSE)+VLOOKUP("finlandia",#REF!,7,FALSE))/(VLOOKUP("suecia",#REF!,7,FALSE)+VLOOKUP("noruega",#REF!,7,FALSE)+VLOOKUP("dinamarca",#REF!,7,FALSE)+VLOOKUP("finlandia",#REF!,7,FALSE))-1</f>
        <v>#REF!</v>
      </c>
      <c r="O226" s="152" t="e">
        <f>(VLOOKUP("suecia",#REF!,7,FALSE)+VLOOKUP("noruega",#REF!,7,FALSE)+VLOOKUP("dinamarca",#REF!,7,FALSE)+VLOOKUP("finlandia",#REF!,7,FALSE))</f>
        <v>#REF!</v>
      </c>
      <c r="P226" s="151" t="e">
        <f>(VLOOKUP("suecia",#REF!,8,FALSE)+VLOOKUP("noruega",#REF!,8,FALSE)+VLOOKUP("dinamarca",#REF!,8,FALSE)+VLOOKUP("finlandia",#REF!,8,FALSE))/(VLOOKUP("suecia",#REF!,8,FALSE)+VLOOKUP("noruega",#REF!,8,FALSE)+VLOOKUP("dinamarca",#REF!,8,FALSE)+VLOOKUP("finlandia",#REF!,8,FALSE))-1</f>
        <v>#REF!</v>
      </c>
      <c r="Q226" s="152" t="e">
        <f>(VLOOKUP("suecia",#REF!,8,FALSE)+VLOOKUP("noruega",#REF!,8,FALSE)+VLOOKUP("dinamarca",#REF!,8,FALSE)+VLOOKUP("finlandia",#REF!,8,FALSE))</f>
        <v>#REF!</v>
      </c>
    </row>
    <row r="227" spans="3:17" ht="24" hidden="1" customHeight="1" x14ac:dyDescent="0.2">
      <c r="C227" s="153" t="s">
        <v>49</v>
      </c>
      <c r="D227" s="151" t="e">
        <f>VLOOKUP("suecia",#REF!,6,FALSE)/VLOOKUP("suecia",#REF!,6,FALSE)-1</f>
        <v>#REF!</v>
      </c>
      <c r="E227" s="152" t="e">
        <f>VLOOKUP("suecia",#REF!,6,FALSE)</f>
        <v>#REF!</v>
      </c>
      <c r="F227" s="151" t="e">
        <f>VLOOKUP("suecia",#REF!,5,FALSE)/VLOOKUP("suecia",#REF!,5,FALSE)-1</f>
        <v>#REF!</v>
      </c>
      <c r="G227" s="152" t="e">
        <f>VLOOKUP("suecia",#REF!,5,FALSE)</f>
        <v>#REF!</v>
      </c>
      <c r="H227" s="151" t="e">
        <f>VLOOKUP("suecia",#REF!,4,FALSE)/VLOOKUP("suecia",#REF!,4,FALSE)-1</f>
        <v>#REF!</v>
      </c>
      <c r="I227" s="152" t="e">
        <f>VLOOKUP("suecia",#REF!,4,FALSE)</f>
        <v>#REF!</v>
      </c>
      <c r="J227" s="151" t="e">
        <f>VLOOKUP("suecia",#REF!,3,FALSE)/VLOOKUP("suecia",#REF!,3,FALSE)-1</f>
        <v>#REF!</v>
      </c>
      <c r="K227" s="152" t="e">
        <f>VLOOKUP("suecia",#REF!,3,FALSE)</f>
        <v>#REF!</v>
      </c>
      <c r="L227" s="151" t="e">
        <f>VLOOKUP("suecia",#REF!,2,FALSE)/VLOOKUP("suecia",#REF!,2,FALSE)-1</f>
        <v>#REF!</v>
      </c>
      <c r="M227" s="152" t="e">
        <f>VLOOKUP("suecia",#REF!,2,FALSE)</f>
        <v>#REF!</v>
      </c>
      <c r="N227" s="151" t="e">
        <f>VLOOKUP("suecia",#REF!,7,FALSE)/VLOOKUP("suecia",#REF!,7,FALSE)-1</f>
        <v>#REF!</v>
      </c>
      <c r="O227" s="152" t="e">
        <f>VLOOKUP("suecia",#REF!,7,FALSE)</f>
        <v>#REF!</v>
      </c>
      <c r="P227" s="151" t="e">
        <f>VLOOKUP("suecia",#REF!,8,FALSE)/VLOOKUP("suecia",#REF!,8,FALSE)-1</f>
        <v>#REF!</v>
      </c>
      <c r="Q227" s="152" t="e">
        <f>VLOOKUP("suecia",#REF!,8,FALSE)</f>
        <v>#REF!</v>
      </c>
    </row>
    <row r="228" spans="3:17" ht="24" hidden="1" customHeight="1" x14ac:dyDescent="0.2">
      <c r="C228" s="153" t="s">
        <v>50</v>
      </c>
      <c r="D228" s="151" t="e">
        <f>VLOOKUP("noruega",#REF!,6,FALSE)/VLOOKUP("noruega",#REF!,6,FALSE)-1</f>
        <v>#REF!</v>
      </c>
      <c r="E228" s="152" t="e">
        <f>VLOOKUP("noruega",#REF!,6,FALSE)</f>
        <v>#REF!</v>
      </c>
      <c r="F228" s="151" t="e">
        <f>VLOOKUP("noruega",#REF!,5,FALSE)/VLOOKUP("noruega",#REF!,5,FALSE)-1</f>
        <v>#REF!</v>
      </c>
      <c r="G228" s="152" t="e">
        <f>VLOOKUP("noruega",#REF!,5,FALSE)</f>
        <v>#REF!</v>
      </c>
      <c r="H228" s="151" t="e">
        <f>VLOOKUP("noruega",#REF!,4,FALSE)/VLOOKUP("noruega",#REF!,4,FALSE)-1</f>
        <v>#REF!</v>
      </c>
      <c r="I228" s="152" t="e">
        <f>VLOOKUP("noruega",#REF!,4,FALSE)</f>
        <v>#REF!</v>
      </c>
      <c r="J228" s="151" t="e">
        <f>VLOOKUP("noruega",#REF!,3,FALSE)/VLOOKUP("noruega",#REF!,3,FALSE)-1</f>
        <v>#REF!</v>
      </c>
      <c r="K228" s="152" t="e">
        <f>VLOOKUP("noruega",#REF!,3,FALSE)</f>
        <v>#REF!</v>
      </c>
      <c r="L228" s="151" t="e">
        <f>VLOOKUP("noruega",#REF!,2,FALSE)/VLOOKUP("noruega",#REF!,2,FALSE)-1</f>
        <v>#REF!</v>
      </c>
      <c r="M228" s="152" t="e">
        <f>VLOOKUP("noruega",#REF!,2,FALSE)</f>
        <v>#REF!</v>
      </c>
      <c r="N228" s="151" t="e">
        <f>VLOOKUP("noruega",#REF!,7,FALSE)/VLOOKUP("noruega",#REF!,7,FALSE)-1</f>
        <v>#REF!</v>
      </c>
      <c r="O228" s="152" t="e">
        <f>VLOOKUP("noruega",#REF!,7,FALSE)</f>
        <v>#REF!</v>
      </c>
      <c r="P228" s="151" t="e">
        <f>VLOOKUP("noruega",#REF!,8,FALSE)/VLOOKUP("noruega",#REF!,8,FALSE)-1</f>
        <v>#REF!</v>
      </c>
      <c r="Q228" s="152" t="e">
        <f>VLOOKUP("noruega",#REF!,8,FALSE)</f>
        <v>#REF!</v>
      </c>
    </row>
    <row r="229" spans="3:17" ht="24" hidden="1" customHeight="1" x14ac:dyDescent="0.2">
      <c r="C229" s="153" t="s">
        <v>51</v>
      </c>
      <c r="D229" s="151" t="e">
        <f>VLOOKUP("dinamarca",#REF!,6,FALSE)/VLOOKUP("dinamarca",#REF!,6,FALSE)-1</f>
        <v>#REF!</v>
      </c>
      <c r="E229" s="152" t="e">
        <f>VLOOKUP("dinamarca",#REF!,6,FALSE)</f>
        <v>#REF!</v>
      </c>
      <c r="F229" s="151" t="e">
        <f>VLOOKUP("dinamarca",#REF!,5,FALSE)/VLOOKUP("dinamarca",#REF!,5,FALSE)-1</f>
        <v>#REF!</v>
      </c>
      <c r="G229" s="152" t="e">
        <f>VLOOKUP("dinamarca",#REF!,5,FALSE)</f>
        <v>#REF!</v>
      </c>
      <c r="H229" s="151" t="e">
        <f>VLOOKUP("dinamarca",#REF!,4,FALSE)/VLOOKUP("dinamarca",#REF!,4,FALSE)-1</f>
        <v>#REF!</v>
      </c>
      <c r="I229" s="152" t="e">
        <f>VLOOKUP("dinamarca",#REF!,4,FALSE)</f>
        <v>#REF!</v>
      </c>
      <c r="J229" s="151" t="e">
        <f>VLOOKUP("dinamarca",#REF!,3,FALSE)/VLOOKUP("dinamarca",#REF!,3,FALSE)-1</f>
        <v>#REF!</v>
      </c>
      <c r="K229" s="152" t="e">
        <f>VLOOKUP("dinamarca",#REF!,3,FALSE)</f>
        <v>#REF!</v>
      </c>
      <c r="L229" s="151" t="e">
        <f>VLOOKUP("dinamarca",#REF!,2,FALSE)/VLOOKUP("dinamarca",#REF!,2,FALSE)-1</f>
        <v>#REF!</v>
      </c>
      <c r="M229" s="152" t="e">
        <f>VLOOKUP("dinamarca",#REF!,2,FALSE)</f>
        <v>#REF!</v>
      </c>
      <c r="N229" s="151" t="e">
        <f>VLOOKUP("dinamarca",#REF!,7,FALSE)/VLOOKUP("dinamarca",#REF!,7,FALSE)-1</f>
        <v>#REF!</v>
      </c>
      <c r="O229" s="152" t="e">
        <f>VLOOKUP("dinamarca",#REF!,7,FALSE)</f>
        <v>#REF!</v>
      </c>
      <c r="P229" s="151" t="e">
        <f>VLOOKUP("dinamarca",#REF!,8,FALSE)/VLOOKUP("dinamarca",#REF!,8,FALSE)-1</f>
        <v>#REF!</v>
      </c>
      <c r="Q229" s="152" t="e">
        <f>VLOOKUP("dinamarca",#REF!,8,FALSE)</f>
        <v>#REF!</v>
      </c>
    </row>
    <row r="230" spans="3:17" ht="24" hidden="1" customHeight="1" x14ac:dyDescent="0.2">
      <c r="C230" s="153" t="s">
        <v>52</v>
      </c>
      <c r="D230" s="151" t="s">
        <v>38</v>
      </c>
      <c r="E230" s="152" t="e">
        <f>VLOOKUP("finlandia",#REF!,6,FALSE)</f>
        <v>#REF!</v>
      </c>
      <c r="F230" s="151" t="e">
        <f>VLOOKUP("finlandia",#REF!,5,FALSE)/VLOOKUP("finlandia",#REF!,5,FALSE)-1</f>
        <v>#REF!</v>
      </c>
      <c r="G230" s="152" t="e">
        <f>VLOOKUP("finlandia",#REF!,5,FALSE)</f>
        <v>#REF!</v>
      </c>
      <c r="H230" s="151" t="e">
        <f>VLOOKUP("finlandia",#REF!,4,FALSE)/VLOOKUP("finlandia",#REF!,4,FALSE)-1</f>
        <v>#REF!</v>
      </c>
      <c r="I230" s="152" t="e">
        <f>VLOOKUP("finlandia",#REF!,4,FALSE)</f>
        <v>#REF!</v>
      </c>
      <c r="J230" s="151" t="e">
        <f>VLOOKUP("finlandia",#REF!,3,FALSE)/VLOOKUP("finlandia",#REF!,3,FALSE)-1</f>
        <v>#REF!</v>
      </c>
      <c r="K230" s="152" t="e">
        <f>VLOOKUP("finlandia",#REF!,3,FALSE)</f>
        <v>#REF!</v>
      </c>
      <c r="L230" s="151" t="s">
        <v>38</v>
      </c>
      <c r="M230" s="152" t="e">
        <f>VLOOKUP("finlandia",#REF!,2,FALSE)</f>
        <v>#REF!</v>
      </c>
      <c r="N230" s="151" t="e">
        <f>VLOOKUP("finlandia",#REF!,7,FALSE)/VLOOKUP("finlandia",#REF!,7,FALSE)-1</f>
        <v>#REF!</v>
      </c>
      <c r="O230" s="152" t="e">
        <f>VLOOKUP("finlandia",#REF!,7,FALSE)</f>
        <v>#REF!</v>
      </c>
      <c r="P230" s="151" t="e">
        <f>VLOOKUP("finlandia",#REF!,8,FALSE)/VLOOKUP("finlandia",#REF!,8,FALSE)-1</f>
        <v>#REF!</v>
      </c>
      <c r="Q230" s="152" t="e">
        <f>VLOOKUP("finlandia",#REF!,8,FALSE)</f>
        <v>#REF!</v>
      </c>
    </row>
    <row r="231" spans="3:17" ht="24" hidden="1" customHeight="1" x14ac:dyDescent="0.2">
      <c r="C231" s="150" t="s">
        <v>53</v>
      </c>
      <c r="D231" s="151" t="e">
        <f>VLOOKUP("suiza",#REF!,6,FALSE)/VLOOKUP("suiza",#REF!,6,FALSE)-1</f>
        <v>#REF!</v>
      </c>
      <c r="E231" s="152" t="e">
        <f>VLOOKUP("suiza",#REF!,6,FALSE)</f>
        <v>#REF!</v>
      </c>
      <c r="F231" s="151" t="e">
        <f>VLOOKUP("suiza",#REF!,5,FALSE)/VLOOKUP("suiza",#REF!,5,FALSE)-1</f>
        <v>#REF!</v>
      </c>
      <c r="G231" s="152" t="e">
        <f>VLOOKUP("suiza",#REF!,5,FALSE)</f>
        <v>#REF!</v>
      </c>
      <c r="H231" s="151" t="e">
        <f>VLOOKUP("suiza",#REF!,4,FALSE)/VLOOKUP("suiza",#REF!,4,FALSE)-1</f>
        <v>#REF!</v>
      </c>
      <c r="I231" s="152" t="e">
        <f>VLOOKUP("suiza",#REF!,4,FALSE)</f>
        <v>#REF!</v>
      </c>
      <c r="J231" s="151" t="e">
        <f>VLOOKUP("suiza",#REF!,3,FALSE)/VLOOKUP("suiza",#REF!,3,FALSE)-1</f>
        <v>#REF!</v>
      </c>
      <c r="K231" s="152" t="e">
        <f>VLOOKUP("suiza",#REF!,3,FALSE)</f>
        <v>#REF!</v>
      </c>
      <c r="L231" s="151" t="e">
        <f>VLOOKUP("suiza",#REF!,2,FALSE)/VLOOKUP("suiza",#REF!,2,FALSE)-1</f>
        <v>#REF!</v>
      </c>
      <c r="M231" s="152" t="e">
        <f>VLOOKUP("suiza",#REF!,2,FALSE)</f>
        <v>#REF!</v>
      </c>
      <c r="N231" s="151" t="e">
        <f>VLOOKUP("suiza",#REF!,7,FALSE)/VLOOKUP("suiza",#REF!,7,FALSE)-1</f>
        <v>#REF!</v>
      </c>
      <c r="O231" s="152" t="e">
        <f>VLOOKUP("suiza",#REF!,7,FALSE)</f>
        <v>#REF!</v>
      </c>
      <c r="P231" s="151" t="e">
        <f>VLOOKUP("suiza",#REF!,8,FALSE)/VLOOKUP("suiza",#REF!,8,FALSE)-1</f>
        <v>#REF!</v>
      </c>
      <c r="Q231" s="152" t="e">
        <f>VLOOKUP("suiza",#REF!,8,FALSE)</f>
        <v>#REF!</v>
      </c>
    </row>
    <row r="232" spans="3:17" ht="24" hidden="1" customHeight="1" x14ac:dyDescent="0.2">
      <c r="C232" s="150" t="s">
        <v>54</v>
      </c>
      <c r="D232" s="151" t="e">
        <f>VLOOKUP("austria",#REF!,6,FALSE)/VLOOKUP("austria",#REF!,6,FALSE)-1</f>
        <v>#REF!</v>
      </c>
      <c r="E232" s="152" t="e">
        <f>VLOOKUP("austria",#REF!,6,FALSE)</f>
        <v>#REF!</v>
      </c>
      <c r="F232" s="151" t="e">
        <f>VLOOKUP("austria",#REF!,5,FALSE)/VLOOKUP("austria",#REF!,5,FALSE)-1</f>
        <v>#REF!</v>
      </c>
      <c r="G232" s="152" t="e">
        <f>VLOOKUP("austria",#REF!,5,FALSE)</f>
        <v>#REF!</v>
      </c>
      <c r="H232" s="151" t="e">
        <f>VLOOKUP("austria",#REF!,4,FALSE)/VLOOKUP("austria",#REF!,4,FALSE)-1</f>
        <v>#REF!</v>
      </c>
      <c r="I232" s="152" t="e">
        <f>VLOOKUP("austria",#REF!,4,FALSE)</f>
        <v>#REF!</v>
      </c>
      <c r="J232" s="151" t="e">
        <f>VLOOKUP("austria",#REF!,3,FALSE)/VLOOKUP("austria",#REF!,3,FALSE)-1</f>
        <v>#REF!</v>
      </c>
      <c r="K232" s="152" t="e">
        <f>VLOOKUP("austria",#REF!,3,FALSE)</f>
        <v>#REF!</v>
      </c>
      <c r="L232" s="151" t="e">
        <f>VLOOKUP("austria",#REF!,2,FALSE)/VLOOKUP("austria",#REF!,2,FALSE)-1</f>
        <v>#REF!</v>
      </c>
      <c r="M232" s="152" t="e">
        <f>VLOOKUP("austria",#REF!,2,FALSE)</f>
        <v>#REF!</v>
      </c>
      <c r="N232" s="151" t="e">
        <f>VLOOKUP("austria",#REF!,7,FALSE)/VLOOKUP("austria",#REF!,7,FALSE)-1</f>
        <v>#REF!</v>
      </c>
      <c r="O232" s="152" t="e">
        <f>VLOOKUP("austria",#REF!,7,FALSE)</f>
        <v>#REF!</v>
      </c>
      <c r="P232" s="151" t="e">
        <f>VLOOKUP("austria",#REF!,8,FALSE)/VLOOKUP("austria",#REF!,8,FALSE)-1</f>
        <v>#REF!</v>
      </c>
      <c r="Q232" s="152" t="e">
        <f>VLOOKUP("austria",#REF!,8,FALSE)</f>
        <v>#REF!</v>
      </c>
    </row>
    <row r="233" spans="3:17" ht="24" hidden="1" customHeight="1" x14ac:dyDescent="0.2">
      <c r="C233" s="150" t="s">
        <v>55</v>
      </c>
      <c r="D233" s="151" t="e">
        <f>VLOOKUP("rusia",#REF!,6,FALSE)/VLOOKUP("rusia",#REF!,6,FALSE)-1</f>
        <v>#REF!</v>
      </c>
      <c r="E233" s="152" t="e">
        <f>VLOOKUP("rusia",#REF!,6,FALSE)</f>
        <v>#REF!</v>
      </c>
      <c r="F233" s="151" t="e">
        <f>VLOOKUP("rusia",#REF!,5,FALSE)/VLOOKUP("rusia",#REF!,5,FALSE)-1</f>
        <v>#REF!</v>
      </c>
      <c r="G233" s="152" t="e">
        <f>VLOOKUP("rusia",#REF!,5,FALSE)</f>
        <v>#REF!</v>
      </c>
      <c r="H233" s="151" t="e">
        <f>VLOOKUP("rusia",#REF!,4,FALSE)/VLOOKUP("rusia",#REF!,4,FALSE)-1</f>
        <v>#REF!</v>
      </c>
      <c r="I233" s="152" t="e">
        <f>VLOOKUP("rusia",#REF!,4,FALSE)</f>
        <v>#REF!</v>
      </c>
      <c r="J233" s="151" t="e">
        <f>VLOOKUP("rusia",#REF!,3,FALSE)/VLOOKUP("rusia",#REF!,3,FALSE)-1</f>
        <v>#REF!</v>
      </c>
      <c r="K233" s="152" t="e">
        <f>VLOOKUP("rusia",#REF!,3,FALSE)</f>
        <v>#REF!</v>
      </c>
      <c r="L233" s="151" t="e">
        <f>VLOOKUP("rusia",#REF!,2,FALSE)/VLOOKUP("rusia",#REF!,2,FALSE)-1</f>
        <v>#REF!</v>
      </c>
      <c r="M233" s="152" t="e">
        <f>VLOOKUP("rusia",#REF!,2,FALSE)</f>
        <v>#REF!</v>
      </c>
      <c r="N233" s="151" t="e">
        <f>VLOOKUP("rusia",#REF!,7,FALSE)/VLOOKUP("rusia",#REF!,7,FALSE)-1</f>
        <v>#REF!</v>
      </c>
      <c r="O233" s="152" t="e">
        <f>VLOOKUP("rusia",#REF!,7,FALSE)</f>
        <v>#REF!</v>
      </c>
      <c r="P233" s="151" t="e">
        <f>VLOOKUP("rusia",#REF!,8,FALSE)/VLOOKUP("rusia",#REF!,8,FALSE)-1</f>
        <v>#REF!</v>
      </c>
      <c r="Q233" s="152" t="e">
        <f>VLOOKUP("rusia",#REF!,8,FALSE)</f>
        <v>#REF!</v>
      </c>
    </row>
    <row r="234" spans="3:17" ht="24" hidden="1" customHeight="1" x14ac:dyDescent="0.2">
      <c r="C234" s="150" t="s">
        <v>56</v>
      </c>
      <c r="D234" s="151" t="e">
        <f>VLOOKUP("paises del este",#REF!,6,FALSE)/VLOOKUP("paises del este",#REF!,6,FALSE)-1</f>
        <v>#REF!</v>
      </c>
      <c r="E234" s="152" t="e">
        <f>VLOOKUP("paises del este",#REF!,6,FALSE)</f>
        <v>#REF!</v>
      </c>
      <c r="F234" s="151" t="e">
        <f>VLOOKUP("paises del este",#REF!,5,FALSE)/VLOOKUP("paises del este",#REF!,5,FALSE)-1</f>
        <v>#REF!</v>
      </c>
      <c r="G234" s="152" t="e">
        <f>VLOOKUP("paises del este",#REF!,5,FALSE)</f>
        <v>#REF!</v>
      </c>
      <c r="H234" s="151" t="e">
        <f>VLOOKUP("paises del este",#REF!,4,FALSE)/VLOOKUP("paises del este",#REF!,4,FALSE)-1</f>
        <v>#REF!</v>
      </c>
      <c r="I234" s="152" t="e">
        <f>VLOOKUP("paises del este",#REF!,4,FALSE)</f>
        <v>#REF!</v>
      </c>
      <c r="J234" s="151" t="e">
        <f>VLOOKUP("paises del este",#REF!,3,FALSE)/VLOOKUP("paises del este",#REF!,3,FALSE)-1</f>
        <v>#REF!</v>
      </c>
      <c r="K234" s="152" t="e">
        <f>VLOOKUP("paises del este",#REF!,3,FALSE)</f>
        <v>#REF!</v>
      </c>
      <c r="L234" s="151" t="e">
        <f>VLOOKUP("paises del este",#REF!,2,FALSE)/VLOOKUP("paises del este",#REF!,2,FALSE)-1</f>
        <v>#REF!</v>
      </c>
      <c r="M234" s="152" t="e">
        <f>VLOOKUP("paises del este",#REF!,2,FALSE)</f>
        <v>#REF!</v>
      </c>
      <c r="N234" s="151" t="e">
        <f>VLOOKUP("paises del este",#REF!,7,FALSE)/VLOOKUP("paises del este",#REF!,7,FALSE)-1</f>
        <v>#REF!</v>
      </c>
      <c r="O234" s="152" t="e">
        <f>VLOOKUP("paises del este",#REF!,7,FALSE)</f>
        <v>#REF!</v>
      </c>
      <c r="P234" s="151" t="e">
        <f>VLOOKUP("paises del este",#REF!,8,FALSE)/VLOOKUP("paises del este",#REF!,8,FALSE)-1</f>
        <v>#REF!</v>
      </c>
      <c r="Q234" s="152" t="e">
        <f>VLOOKUP("paises del este",#REF!,8,FALSE)</f>
        <v>#REF!</v>
      </c>
    </row>
    <row r="235" spans="3:17" ht="24" hidden="1" customHeight="1" x14ac:dyDescent="0.2">
      <c r="C235" s="150" t="s">
        <v>57</v>
      </c>
      <c r="D235" s="151" t="e">
        <f>VLOOKUP("resto de europa",#REF!,6,FALSE)/VLOOKUP("resto de europa",#REF!,6,FALSE)-1</f>
        <v>#REF!</v>
      </c>
      <c r="E235" s="152" t="e">
        <f>VLOOKUP("resto de europa",#REF!,6,FALSE)</f>
        <v>#REF!</v>
      </c>
      <c r="F235" s="151" t="e">
        <f>VLOOKUP("resto de europa",#REF!,5,FALSE)/VLOOKUP("resto de europa",#REF!,5,FALSE)-1</f>
        <v>#REF!</v>
      </c>
      <c r="G235" s="152" t="e">
        <f>VLOOKUP("resto de europa",#REF!,5,FALSE)</f>
        <v>#REF!</v>
      </c>
      <c r="H235" s="151" t="e">
        <f>VLOOKUP("resto de europa",#REF!,4,FALSE)/VLOOKUP("resto de europa",#REF!,4,FALSE)-1</f>
        <v>#REF!</v>
      </c>
      <c r="I235" s="152" t="e">
        <f>VLOOKUP("resto de europa",#REF!,4,FALSE)</f>
        <v>#REF!</v>
      </c>
      <c r="J235" s="151" t="e">
        <f>VLOOKUP("resto de europa",#REF!,3,FALSE)/VLOOKUP("resto de europa",#REF!,3,FALSE)-1</f>
        <v>#REF!</v>
      </c>
      <c r="K235" s="152" t="e">
        <f>VLOOKUP("resto de europa",#REF!,3,FALSE)</f>
        <v>#REF!</v>
      </c>
      <c r="L235" s="151" t="e">
        <f>VLOOKUP("resto de europa",#REF!,2,FALSE)/VLOOKUP("resto de europa",#REF!,2,FALSE)-1</f>
        <v>#REF!</v>
      </c>
      <c r="M235" s="152" t="e">
        <f>VLOOKUP("resto de europa",#REF!,2,FALSE)</f>
        <v>#REF!</v>
      </c>
      <c r="N235" s="151" t="e">
        <f>VLOOKUP("resto de europa",#REF!,7,FALSE)/VLOOKUP("resto de europa",#REF!,7,FALSE)-1</f>
        <v>#REF!</v>
      </c>
      <c r="O235" s="152" t="e">
        <f>VLOOKUP("resto de europa",#REF!,7,FALSE)</f>
        <v>#REF!</v>
      </c>
      <c r="P235" s="151" t="e">
        <f>VLOOKUP("resto de europa",#REF!,8,FALSE)/VLOOKUP("resto de europa",#REF!,8,FALSE)-1</f>
        <v>#REF!</v>
      </c>
      <c r="Q235" s="152" t="e">
        <f>VLOOKUP("resto de europa",#REF!,8,FALSE)</f>
        <v>#REF!</v>
      </c>
    </row>
    <row r="236" spans="3:17" ht="24" hidden="1" customHeight="1" x14ac:dyDescent="0.2">
      <c r="C236" s="150" t="s">
        <v>58</v>
      </c>
      <c r="D236" s="151" t="e">
        <f>VLOOKUP("usa",#REF!,6,FALSE)/VLOOKUP("usa",#REF!,6,FALSE)-1</f>
        <v>#REF!</v>
      </c>
      <c r="E236" s="152" t="e">
        <f>VLOOKUP("usa",#REF!,6,FALSE)</f>
        <v>#REF!</v>
      </c>
      <c r="F236" s="151" t="e">
        <f>VLOOKUP("usa",#REF!,5,FALSE)/VLOOKUP("usa",#REF!,5,FALSE)-1</f>
        <v>#REF!</v>
      </c>
      <c r="G236" s="152" t="e">
        <f>VLOOKUP("usa",#REF!,5,FALSE)</f>
        <v>#REF!</v>
      </c>
      <c r="H236" s="151" t="e">
        <f>VLOOKUP("usa",#REF!,4,FALSE)/VLOOKUP("usa",#REF!,4,FALSE)-1</f>
        <v>#REF!</v>
      </c>
      <c r="I236" s="152" t="e">
        <f>VLOOKUP("usa",#REF!,4,FALSE)</f>
        <v>#REF!</v>
      </c>
      <c r="J236" s="151" t="e">
        <f>VLOOKUP("usa",#REF!,3,FALSE)/VLOOKUP("usa",#REF!,3,FALSE)-1</f>
        <v>#REF!</v>
      </c>
      <c r="K236" s="152" t="e">
        <f>VLOOKUP("usa",#REF!,3,FALSE)</f>
        <v>#REF!</v>
      </c>
      <c r="L236" s="151" t="e">
        <f>VLOOKUP("usa",#REF!,2,FALSE)/VLOOKUP("usa",#REF!,2,FALSE)-1</f>
        <v>#REF!</v>
      </c>
      <c r="M236" s="152" t="e">
        <f>VLOOKUP("usa",#REF!,2,FALSE)</f>
        <v>#REF!</v>
      </c>
      <c r="N236" s="151" t="e">
        <f>VLOOKUP("usa",#REF!,7,FALSE)/VLOOKUP("usa",#REF!,7,FALSE)-1</f>
        <v>#REF!</v>
      </c>
      <c r="O236" s="152" t="e">
        <f>VLOOKUP("usa",#REF!,7,FALSE)</f>
        <v>#REF!</v>
      </c>
      <c r="P236" s="151" t="e">
        <f>VLOOKUP("usa",#REF!,8,FALSE)/VLOOKUP("usa",#REF!,8,FALSE)-1</f>
        <v>#REF!</v>
      </c>
      <c r="Q236" s="152" t="e">
        <f>VLOOKUP("usa",#REF!,8,FALSE)</f>
        <v>#REF!</v>
      </c>
    </row>
    <row r="237" spans="3:17" ht="24" hidden="1" customHeight="1" x14ac:dyDescent="0.2">
      <c r="C237" s="150" t="s">
        <v>59</v>
      </c>
      <c r="D237" s="151" t="e">
        <f>VLOOKUP("resto de america",#REF!,6,FALSE)/VLOOKUP("resto de america",#REF!,6,FALSE)-1</f>
        <v>#REF!</v>
      </c>
      <c r="E237" s="152" t="e">
        <f>VLOOKUP("resto de america",#REF!,6,FALSE)</f>
        <v>#REF!</v>
      </c>
      <c r="F237" s="151" t="e">
        <f>VLOOKUP("resto de america",#REF!,5,FALSE)/VLOOKUP("resto de america",#REF!,5,FALSE)-1</f>
        <v>#REF!</v>
      </c>
      <c r="G237" s="152" t="e">
        <f>VLOOKUP("resto de america",#REF!,5,FALSE)</f>
        <v>#REF!</v>
      </c>
      <c r="H237" s="151" t="e">
        <f>VLOOKUP("resto de america",#REF!,4,FALSE)/VLOOKUP("resto de america",#REF!,4,FALSE)-1</f>
        <v>#REF!</v>
      </c>
      <c r="I237" s="152" t="e">
        <f>VLOOKUP("resto de america",#REF!,4,FALSE)</f>
        <v>#REF!</v>
      </c>
      <c r="J237" s="151" t="e">
        <f>VLOOKUP("resto de america",#REF!,3,FALSE)/VLOOKUP("resto de america",#REF!,3,FALSE)-1</f>
        <v>#REF!</v>
      </c>
      <c r="K237" s="152" t="e">
        <f>VLOOKUP("resto de america",#REF!,3,FALSE)</f>
        <v>#REF!</v>
      </c>
      <c r="L237" s="151" t="e">
        <f>VLOOKUP("resto de america",#REF!,2,FALSE)/VLOOKUP("resto de america",#REF!,2,FALSE)-1</f>
        <v>#REF!</v>
      </c>
      <c r="M237" s="152" t="e">
        <f>VLOOKUP("resto de america",#REF!,2,FALSE)</f>
        <v>#REF!</v>
      </c>
      <c r="N237" s="151" t="e">
        <f>VLOOKUP("resto de america",#REF!,7,FALSE)/VLOOKUP("resto de america",#REF!,7,FALSE)-1</f>
        <v>#REF!</v>
      </c>
      <c r="O237" s="152" t="e">
        <f>VLOOKUP("resto de america",#REF!,7,FALSE)</f>
        <v>#REF!</v>
      </c>
      <c r="P237" s="151" t="e">
        <f>VLOOKUP("resto de america",#REF!,8,FALSE)/VLOOKUP("resto de america",#REF!,8,FALSE)-1</f>
        <v>#REF!</v>
      </c>
      <c r="Q237" s="152" t="e">
        <f>VLOOKUP("resto de america",#REF!,8,FALSE)</f>
        <v>#REF!</v>
      </c>
    </row>
    <row r="238" spans="3:17" ht="24" hidden="1" customHeight="1" x14ac:dyDescent="0.2">
      <c r="C238" s="150" t="s">
        <v>60</v>
      </c>
      <c r="D238" s="151" t="e">
        <f>VLOOKUP("resto del mundo",#REF!,6,FALSE)/VLOOKUP("resto del mundo",#REF!,6,FALSE)-1</f>
        <v>#REF!</v>
      </c>
      <c r="E238" s="152" t="e">
        <f>VLOOKUP("resto del mundo",#REF!,6,FALSE)</f>
        <v>#REF!</v>
      </c>
      <c r="F238" s="151" t="e">
        <f>VLOOKUP("resto del mundo",#REF!,5,FALSE)/VLOOKUP("resto del mundo",#REF!,5,FALSE)-1</f>
        <v>#REF!</v>
      </c>
      <c r="G238" s="152" t="e">
        <f>VLOOKUP("resto del mundo",#REF!,5,FALSE)</f>
        <v>#REF!</v>
      </c>
      <c r="H238" s="151" t="e">
        <f>VLOOKUP("resto del mundo",#REF!,4,FALSE)/VLOOKUP("resto del mundo",#REF!,4,FALSE)-1</f>
        <v>#REF!</v>
      </c>
      <c r="I238" s="152" t="e">
        <f>VLOOKUP("resto del mundo",#REF!,4,FALSE)</f>
        <v>#REF!</v>
      </c>
      <c r="J238" s="151" t="e">
        <f>VLOOKUP("resto del mundo",#REF!,3,FALSE)/VLOOKUP("resto del mundo",#REF!,3,FALSE)-1</f>
        <v>#REF!</v>
      </c>
      <c r="K238" s="152" t="e">
        <f>VLOOKUP("resto del mundo",#REF!,3,FALSE)</f>
        <v>#REF!</v>
      </c>
      <c r="L238" s="151" t="e">
        <f>VLOOKUP("resto del mundo",#REF!,2,FALSE)/VLOOKUP("resto del mundo",#REF!,2,FALSE)-1</f>
        <v>#REF!</v>
      </c>
      <c r="M238" s="152" t="e">
        <f>VLOOKUP("resto del mundo",#REF!,2,FALSE)</f>
        <v>#REF!</v>
      </c>
      <c r="N238" s="151" t="e">
        <f>VLOOKUP("resto del mundo",#REF!,7,FALSE)/VLOOKUP("resto del mundo",#REF!,7,FALSE)-1</f>
        <v>#REF!</v>
      </c>
      <c r="O238" s="152" t="e">
        <f>VLOOKUP("resto del mundo",#REF!,7,FALSE)</f>
        <v>#REF!</v>
      </c>
      <c r="P238" s="151" t="e">
        <f>VLOOKUP("resto del mundo",#REF!,8,FALSE)/VLOOKUP("resto del mundo",#REF!,8,FALSE)-1</f>
        <v>#REF!</v>
      </c>
      <c r="Q238" s="152" t="e">
        <f>VLOOKUP("resto del mundo",#REF!,8,FALSE)</f>
        <v>#REF!</v>
      </c>
    </row>
    <row r="239" spans="3:17" ht="24" hidden="1" customHeight="1" x14ac:dyDescent="0.2">
      <c r="C239" s="150" t="s">
        <v>61</v>
      </c>
      <c r="D239" s="151" t="e">
        <f>(VLOOKUP("total",#REF!,6,FALSE)-VLOOKUP("españa",#REF!,6,FALSE))/(VLOOKUP("total",#REF!,6,FALSE)-VLOOKUP("españa",#REF!,6,FALSE))-1</f>
        <v>#REF!</v>
      </c>
      <c r="E239" s="152" t="e">
        <f>VLOOKUP("total",#REF!,6,FALSE)-VLOOKUP("españa",#REF!,6,FALSE)</f>
        <v>#REF!</v>
      </c>
      <c r="F239" s="151" t="e">
        <f>(VLOOKUP("total",#REF!,5,FALSE)-VLOOKUP("españa",#REF!,5,FALSE))/(VLOOKUP("total",#REF!,5,FALSE)-VLOOKUP("españa",#REF!,5,FALSE))-1</f>
        <v>#REF!</v>
      </c>
      <c r="G239" s="152" t="e">
        <f>VLOOKUP("total",#REF!,5,FALSE)-VLOOKUP("españa",#REF!,5,FALSE)</f>
        <v>#REF!</v>
      </c>
      <c r="H239" s="151" t="e">
        <f>(VLOOKUP("total",#REF!,4,FALSE)-VLOOKUP("españa",#REF!,4,FALSE))/(VLOOKUP("total",#REF!,4,FALSE)-VLOOKUP("españa",#REF!,4,FALSE))-1</f>
        <v>#REF!</v>
      </c>
      <c r="I239" s="152" t="e">
        <f>VLOOKUP("total",#REF!,4,FALSE)-VLOOKUP("españa",#REF!,4,FALSE)</f>
        <v>#REF!</v>
      </c>
      <c r="J239" s="151" t="e">
        <f>(VLOOKUP("total",#REF!,3,FALSE)-VLOOKUP("españa",#REF!,3,FALSE))/(VLOOKUP("total",#REF!,3,FALSE)-VLOOKUP("españa",#REF!,3,FALSE))-1</f>
        <v>#REF!</v>
      </c>
      <c r="K239" s="152" t="e">
        <f>VLOOKUP("total",#REF!,3,FALSE)-VLOOKUP("españa",#REF!,3,FALSE)</f>
        <v>#REF!</v>
      </c>
      <c r="L239" s="151" t="e">
        <f>(VLOOKUP("total",#REF!,2,FALSE)-VLOOKUP("españa",#REF!,2,FALSE))/(VLOOKUP("total",#REF!,2,FALSE)-VLOOKUP("españa",#REF!,2,FALSE))-1</f>
        <v>#REF!</v>
      </c>
      <c r="M239" s="152" t="e">
        <f>VLOOKUP("total",#REF!,2,FALSE)-VLOOKUP("españa",#REF!,2,FALSE)</f>
        <v>#REF!</v>
      </c>
      <c r="N239" s="151" t="e">
        <f>(VLOOKUP("total",#REF!,7,FALSE)-VLOOKUP("españa",#REF!,7,FALSE))/(VLOOKUP("total",#REF!,7,FALSE)-VLOOKUP("españa",#REF!,7,FALSE))-1</f>
        <v>#REF!</v>
      </c>
      <c r="O239" s="152" t="e">
        <f>VLOOKUP("total",#REF!,7,FALSE)-VLOOKUP("españa",#REF!,7,FALSE)</f>
        <v>#REF!</v>
      </c>
      <c r="P239" s="151" t="e">
        <f>(VLOOKUP("total",#REF!,8,FALSE)-VLOOKUP("españa",#REF!,8,FALSE))/(VLOOKUP("total",#REF!,8,FALSE)-VLOOKUP("españa",#REF!,8,FALSE))-1</f>
        <v>#REF!</v>
      </c>
      <c r="Q239" s="152" t="e">
        <f>VLOOKUP("total",#REF!,8,FALSE)-VLOOKUP("españa",#REF!,8,FALSE)</f>
        <v>#REF!</v>
      </c>
    </row>
    <row r="240" spans="3:17" ht="24" hidden="1" customHeight="1" x14ac:dyDescent="0.2">
      <c r="C240" s="150" t="s">
        <v>8</v>
      </c>
      <c r="D240" s="151" t="e">
        <f>VLOOKUP("total",#REF!,6,FALSE)/VLOOKUP("total",#REF!,6,FALSE)-1</f>
        <v>#REF!</v>
      </c>
      <c r="E240" s="152" t="e">
        <f>VLOOKUP("total",#REF!,6,FALSE)</f>
        <v>#REF!</v>
      </c>
      <c r="F240" s="151" t="e">
        <f>VLOOKUP("total",#REF!,5,FALSE)/VLOOKUP("total",#REF!,5,FALSE)-1</f>
        <v>#REF!</v>
      </c>
      <c r="G240" s="152" t="e">
        <f>VLOOKUP("total",#REF!,5,FALSE)</f>
        <v>#REF!</v>
      </c>
      <c r="H240" s="151" t="e">
        <f>VLOOKUP("total",#REF!,4,FALSE)/VLOOKUP("total",#REF!,4,FALSE)-1</f>
        <v>#REF!</v>
      </c>
      <c r="I240" s="152" t="e">
        <f>VLOOKUP("total",#REF!,4,FALSE)</f>
        <v>#REF!</v>
      </c>
      <c r="J240" s="151" t="e">
        <f>VLOOKUP("total",#REF!,3,FALSE)/VLOOKUP("total",#REF!,3,FALSE)-1</f>
        <v>#REF!</v>
      </c>
      <c r="K240" s="152" t="e">
        <f>VLOOKUP("total",#REF!,3,FALSE)</f>
        <v>#REF!</v>
      </c>
      <c r="L240" s="151" t="e">
        <f>VLOOKUP("total",#REF!,2,FALSE)/VLOOKUP("total",#REF!,2,FALSE)-1</f>
        <v>#REF!</v>
      </c>
      <c r="M240" s="152" t="e">
        <f>VLOOKUP("total",#REF!,2,FALSE)</f>
        <v>#REF!</v>
      </c>
      <c r="N240" s="151" t="e">
        <f>VLOOKUP("total",#REF!,7,FALSE)/VLOOKUP("total",#REF!,7,FALSE)-1</f>
        <v>#REF!</v>
      </c>
      <c r="O240" s="152" t="e">
        <f>VLOOKUP("total",#REF!,7,FALSE)</f>
        <v>#REF!</v>
      </c>
      <c r="P240" s="151" t="e">
        <f>VLOOKUP("total",#REF!,8,FALSE)/VLOOKUP("total",#REF!,8,FALSE)-1</f>
        <v>#REF!</v>
      </c>
      <c r="Q240" s="152" t="e">
        <f>VLOOKUP("total",#REF!,8,FALSE)</f>
        <v>#REF!</v>
      </c>
    </row>
    <row r="241" spans="3:13" ht="18" customHeight="1" thickBot="1" x14ac:dyDescent="0.25">
      <c r="C241" s="3"/>
    </row>
    <row r="242" spans="3:13" ht="50.25" customHeight="1" thickBot="1" x14ac:dyDescent="0.25">
      <c r="C242" s="2"/>
      <c r="D242" s="2"/>
      <c r="E242" s="280" t="str">
        <f>$E$1</f>
        <v>INDICADORES TURÍSTICOS DE TENERIFE definitivo</v>
      </c>
      <c r="F242" s="280"/>
      <c r="G242" s="280"/>
      <c r="H242" s="280"/>
      <c r="I242" s="280"/>
      <c r="J242" s="280"/>
      <c r="K242" s="280"/>
      <c r="L242" s="2"/>
      <c r="M242" s="2"/>
    </row>
    <row r="243" spans="3:13" ht="5.25" customHeight="1" thickBot="1" x14ac:dyDescent="0.25">
      <c r="C243" s="3"/>
    </row>
    <row r="244" spans="3:13" ht="28.5" customHeight="1" thickBot="1" x14ac:dyDescent="0.25">
      <c r="C244" s="281" t="s">
        <v>67</v>
      </c>
      <c r="D244" s="282"/>
      <c r="E244" s="282"/>
      <c r="F244" s="282"/>
      <c r="G244" s="282"/>
      <c r="H244" s="282"/>
      <c r="I244" s="282"/>
      <c r="J244" s="282"/>
      <c r="K244" s="282"/>
      <c r="L244" s="282"/>
      <c r="M244" s="283"/>
    </row>
    <row r="245" spans="3:13" ht="5.25" customHeight="1" thickBot="1" x14ac:dyDescent="0.25">
      <c r="C245" s="155"/>
      <c r="D245" s="156"/>
      <c r="E245" s="156"/>
      <c r="F245" s="156"/>
      <c r="G245" s="157"/>
      <c r="H245" s="157"/>
      <c r="I245" s="157"/>
      <c r="J245" s="156"/>
      <c r="K245" s="156"/>
      <c r="L245" s="156"/>
      <c r="M245" s="158"/>
    </row>
    <row r="246" spans="3:13" ht="32.25" customHeight="1" thickTop="1" thickBot="1" x14ac:dyDescent="0.25">
      <c r="C246" s="121"/>
      <c r="D246" s="326" t="s">
        <v>7</v>
      </c>
      <c r="E246" s="327"/>
      <c r="F246" s="326" t="s">
        <v>30</v>
      </c>
      <c r="G246" s="327"/>
      <c r="H246" s="326" t="s">
        <v>31</v>
      </c>
      <c r="I246" s="327"/>
      <c r="J246" s="326" t="s">
        <v>32</v>
      </c>
      <c r="K246" s="327"/>
      <c r="L246" s="326" t="s">
        <v>33</v>
      </c>
      <c r="M246" s="328"/>
    </row>
    <row r="247" spans="3:13" ht="31.5" customHeight="1" thickBot="1" x14ac:dyDescent="0.25">
      <c r="C247" s="122"/>
      <c r="D247" s="159" t="s">
        <v>68</v>
      </c>
      <c r="E247" s="160" t="s">
        <v>69</v>
      </c>
      <c r="F247" s="159" t="s">
        <v>68</v>
      </c>
      <c r="G247" s="160" t="s">
        <v>69</v>
      </c>
      <c r="H247" s="159" t="s">
        <v>68</v>
      </c>
      <c r="I247" s="160" t="s">
        <v>69</v>
      </c>
      <c r="J247" s="159" t="s">
        <v>68</v>
      </c>
      <c r="K247" s="160" t="s">
        <v>69</v>
      </c>
      <c r="L247" s="159" t="s">
        <v>68</v>
      </c>
      <c r="M247" s="161" t="s">
        <v>69</v>
      </c>
    </row>
    <row r="248" spans="3:13" ht="18.75" thickBot="1" x14ac:dyDescent="0.25">
      <c r="C248" s="125" t="s">
        <v>36</v>
      </c>
      <c r="D248" s="162">
        <v>0.21193334829443447</v>
      </c>
      <c r="E248" s="163">
        <v>0.1751813449054791</v>
      </c>
      <c r="F248" s="162">
        <v>0.71835205992509366</v>
      </c>
      <c r="G248" s="163">
        <v>0.65077790028175919</v>
      </c>
      <c r="H248" s="162">
        <v>0.49851838940212656</v>
      </c>
      <c r="I248" s="163">
        <v>0.46483590087073007</v>
      </c>
      <c r="J248" s="162">
        <v>0.50286924749501249</v>
      </c>
      <c r="K248" s="163">
        <v>0.37901885615209707</v>
      </c>
      <c r="L248" s="162">
        <v>0.10595954542205703</v>
      </c>
      <c r="M248" s="164">
        <v>9.3066103316902293E-2</v>
      </c>
    </row>
    <row r="249" spans="3:13" ht="26.25" thickBot="1" x14ac:dyDescent="0.25">
      <c r="C249" s="165" t="s">
        <v>70</v>
      </c>
      <c r="D249" s="166">
        <v>4.6218811833670471E-2</v>
      </c>
      <c r="E249" s="167">
        <v>3.9697999281864314E-2</v>
      </c>
      <c r="F249" s="166"/>
      <c r="G249" s="167"/>
      <c r="H249" s="166"/>
      <c r="I249" s="167"/>
      <c r="J249" s="166"/>
      <c r="K249" s="167"/>
      <c r="L249" s="166"/>
      <c r="M249" s="168"/>
    </row>
    <row r="250" spans="3:13" ht="26.25" thickBot="1" x14ac:dyDescent="0.25">
      <c r="C250" s="165" t="s">
        <v>39</v>
      </c>
      <c r="D250" s="166">
        <v>2.9185916671229384E-2</v>
      </c>
      <c r="E250" s="167">
        <v>2.3249973627105354E-2</v>
      </c>
      <c r="F250" s="166"/>
      <c r="G250" s="167"/>
      <c r="H250" s="166"/>
      <c r="I250" s="167"/>
      <c r="J250" s="166"/>
      <c r="K250" s="167"/>
      <c r="L250" s="166"/>
      <c r="M250" s="168"/>
    </row>
    <row r="251" spans="3:13" ht="18.75" thickBot="1" x14ac:dyDescent="0.25">
      <c r="C251" s="165" t="s">
        <v>40</v>
      </c>
      <c r="D251" s="166">
        <v>0.13652861978953462</v>
      </c>
      <c r="E251" s="167">
        <v>0.11223337199647544</v>
      </c>
      <c r="F251" s="166"/>
      <c r="G251" s="167"/>
      <c r="H251" s="166"/>
      <c r="I251" s="167"/>
      <c r="J251" s="166"/>
      <c r="K251" s="167"/>
      <c r="L251" s="166"/>
      <c r="M251" s="168"/>
    </row>
    <row r="252" spans="3:13" ht="18.75" thickBot="1" x14ac:dyDescent="0.25">
      <c r="C252" s="169" t="s">
        <v>41</v>
      </c>
      <c r="D252" s="170">
        <v>3.8509011186300235E-2</v>
      </c>
      <c r="E252" s="171">
        <v>3.0448175692461416E-2</v>
      </c>
      <c r="F252" s="170">
        <v>4.6548956661316213E-3</v>
      </c>
      <c r="G252" s="171">
        <v>7.2032341051084161E-3</v>
      </c>
      <c r="H252" s="170">
        <v>1.8476555691127768E-2</v>
      </c>
      <c r="I252" s="171">
        <v>2.1935699933020764E-2</v>
      </c>
      <c r="J252" s="170">
        <v>1.4480733451390913E-2</v>
      </c>
      <c r="K252" s="171">
        <v>1.3564670662275097E-2</v>
      </c>
      <c r="L252" s="170">
        <v>4.6775784432849687E-2</v>
      </c>
      <c r="M252" s="172">
        <v>3.6030550891067659E-2</v>
      </c>
    </row>
    <row r="253" spans="3:13" ht="24" customHeight="1" thickBot="1" x14ac:dyDescent="0.25">
      <c r="C253" s="173" t="s">
        <v>42</v>
      </c>
      <c r="D253" s="166">
        <v>3.2652603231597847E-2</v>
      </c>
      <c r="E253" s="167">
        <v>3.1215947273835056E-2</v>
      </c>
      <c r="F253" s="166">
        <v>9.630818619582664E-3</v>
      </c>
      <c r="G253" s="167">
        <v>7.9505083915227242E-3</v>
      </c>
      <c r="H253" s="166">
        <v>1.8476555691127768E-2</v>
      </c>
      <c r="I253" s="167">
        <v>1.402377762893503E-2</v>
      </c>
      <c r="J253" s="166">
        <v>8.383582524489475E-3</v>
      </c>
      <c r="K253" s="167">
        <v>8.3811786444928389E-3</v>
      </c>
      <c r="L253" s="166">
        <v>4.0305910942748907E-2</v>
      </c>
      <c r="M253" s="168">
        <v>3.8382175035660764E-2</v>
      </c>
    </row>
    <row r="254" spans="3:13" ht="24" customHeight="1" thickBot="1" x14ac:dyDescent="0.25">
      <c r="C254" s="169" t="s">
        <v>43</v>
      </c>
      <c r="D254" s="170">
        <v>0.10307839041568843</v>
      </c>
      <c r="E254" s="171">
        <v>0.11681480088118242</v>
      </c>
      <c r="F254" s="170">
        <v>3.4991974317817018E-2</v>
      </c>
      <c r="G254" s="171">
        <v>5.5506553963003795E-2</v>
      </c>
      <c r="H254" s="170">
        <v>0.19504967753181104</v>
      </c>
      <c r="I254" s="171">
        <v>0.19139316811788346</v>
      </c>
      <c r="J254" s="170">
        <v>0.19170159826051872</v>
      </c>
      <c r="K254" s="171">
        <v>0.25094640725208928</v>
      </c>
      <c r="L254" s="170">
        <v>8.2601672503752416E-2</v>
      </c>
      <c r="M254" s="172">
        <v>8.6847588610223347E-2</v>
      </c>
    </row>
    <row r="255" spans="3:13" ht="24" customHeight="1" thickBot="1" x14ac:dyDescent="0.25">
      <c r="C255" s="173" t="s">
        <v>44</v>
      </c>
      <c r="D255" s="166">
        <v>4.9211952768954563E-2</v>
      </c>
      <c r="E255" s="167">
        <v>3.8296446478917265E-2</v>
      </c>
      <c r="F255" s="166">
        <v>2.6110219368646336E-2</v>
      </c>
      <c r="G255" s="167">
        <v>2.7122381477398014E-2</v>
      </c>
      <c r="H255" s="166">
        <v>8.6456336064145017E-2</v>
      </c>
      <c r="I255" s="167">
        <v>8.5356664434025453E-2</v>
      </c>
      <c r="J255" s="166">
        <v>5.9413597543206832E-2</v>
      </c>
      <c r="K255" s="167">
        <v>4.0247055788532722E-2</v>
      </c>
      <c r="L255" s="166">
        <v>4.7233221356586377E-2</v>
      </c>
      <c r="M255" s="168">
        <v>3.7673654370474693E-2</v>
      </c>
    </row>
    <row r="256" spans="3:13" ht="24" customHeight="1" thickBot="1" x14ac:dyDescent="0.25">
      <c r="C256" s="169" t="s">
        <v>45</v>
      </c>
      <c r="D256" s="170">
        <v>0.34822106753210885</v>
      </c>
      <c r="E256" s="171">
        <v>0.33737693032856786</v>
      </c>
      <c r="F256" s="170">
        <v>3.2637774210807921E-2</v>
      </c>
      <c r="G256" s="171">
        <v>4.913634693127527E-2</v>
      </c>
      <c r="H256" s="170">
        <v>3.4512811573993378E-2</v>
      </c>
      <c r="I256" s="171">
        <v>5.5927662424648361E-2</v>
      </c>
      <c r="J256" s="170">
        <v>7.4152114949227771E-2</v>
      </c>
      <c r="K256" s="171">
        <v>9.5246665826748983E-2</v>
      </c>
      <c r="L256" s="170">
        <v>0.44014009005789434</v>
      </c>
      <c r="M256" s="172">
        <v>0.41752451113157468</v>
      </c>
    </row>
    <row r="257" spans="3:13" ht="24" customHeight="1" thickBot="1" x14ac:dyDescent="0.25">
      <c r="C257" s="173" t="s">
        <v>46</v>
      </c>
      <c r="D257" s="166">
        <v>1.9522079132716474E-2</v>
      </c>
      <c r="E257" s="167">
        <v>1.8788467412757841E-2</v>
      </c>
      <c r="F257" s="166">
        <v>2.7822364901016585E-3</v>
      </c>
      <c r="G257" s="167">
        <v>4.7776552737963983E-3</v>
      </c>
      <c r="H257" s="166">
        <v>2.7889140665853232E-3</v>
      </c>
      <c r="I257" s="167">
        <v>5.7350971198928333E-3</v>
      </c>
      <c r="J257" s="166">
        <v>6.2092309071753605E-3</v>
      </c>
      <c r="K257" s="167">
        <v>7.2082935872284518E-3</v>
      </c>
      <c r="L257" s="166">
        <v>2.408691301550997E-2</v>
      </c>
      <c r="M257" s="168">
        <v>2.2627882202119785E-2</v>
      </c>
    </row>
    <row r="258" spans="3:13" ht="24" customHeight="1" thickBot="1" x14ac:dyDescent="0.25">
      <c r="C258" s="169" t="s">
        <v>47</v>
      </c>
      <c r="D258" s="170">
        <v>2.6686144869493163E-2</v>
      </c>
      <c r="E258" s="171">
        <v>2.7802654186356808E-2</v>
      </c>
      <c r="F258" s="170">
        <v>2.4505082932049223E-2</v>
      </c>
      <c r="G258" s="171">
        <v>2.8629180448364572E-2</v>
      </c>
      <c r="H258" s="170">
        <v>2.6668990761722154E-2</v>
      </c>
      <c r="I258" s="171">
        <v>2.813127930341594E-2</v>
      </c>
      <c r="J258" s="170">
        <v>1.5366165295554908E-2</v>
      </c>
      <c r="K258" s="171">
        <v>1.5499481050857015E-2</v>
      </c>
      <c r="L258" s="170">
        <v>2.9690515331284396E-2</v>
      </c>
      <c r="M258" s="172">
        <v>3.071050683422711E-2</v>
      </c>
    </row>
    <row r="259" spans="3:13" ht="24" customHeight="1" thickBot="1" x14ac:dyDescent="0.25">
      <c r="C259" s="173" t="s">
        <v>48</v>
      </c>
      <c r="D259" s="166">
        <v>6.0590301753901392E-2</v>
      </c>
      <c r="E259" s="167">
        <v>0.1191608914705513</v>
      </c>
      <c r="F259" s="166">
        <v>3.3493846976993043E-2</v>
      </c>
      <c r="G259" s="167">
        <v>5.1598676957001106E-2</v>
      </c>
      <c r="H259" s="166">
        <v>1.2027191912149206E-2</v>
      </c>
      <c r="I259" s="167">
        <v>2.1224045545880778E-2</v>
      </c>
      <c r="J259" s="166">
        <v>3.6302705610723809E-2</v>
      </c>
      <c r="K259" s="167">
        <v>9.4700719329505717E-2</v>
      </c>
      <c r="L259" s="166">
        <v>6.9030090772639552E-2</v>
      </c>
      <c r="M259" s="168">
        <v>0.13072314609176103</v>
      </c>
    </row>
    <row r="260" spans="3:13" ht="24" customHeight="1" thickBot="1" x14ac:dyDescent="0.25">
      <c r="C260" s="174" t="s">
        <v>49</v>
      </c>
      <c r="D260" s="170">
        <v>2.5257647424388897E-2</v>
      </c>
      <c r="E260" s="171">
        <v>4.2924463889783097E-2</v>
      </c>
      <c r="F260" s="170">
        <v>1.2787586944890315E-2</v>
      </c>
      <c r="G260" s="171">
        <v>1.9245375474702928E-2</v>
      </c>
      <c r="H260" s="170">
        <v>3.4861425832316542E-3</v>
      </c>
      <c r="I260" s="171">
        <v>9.7119892833221703E-3</v>
      </c>
      <c r="J260" s="170">
        <v>1.1846853914953711E-2</v>
      </c>
      <c r="K260" s="171">
        <v>2.4957554159692349E-2</v>
      </c>
      <c r="L260" s="170">
        <v>2.9701951254377815E-2</v>
      </c>
      <c r="M260" s="172">
        <v>4.9219435566870702E-2</v>
      </c>
    </row>
    <row r="261" spans="3:13" ht="24" customHeight="1" thickBot="1" x14ac:dyDescent="0.25">
      <c r="C261" s="165" t="s">
        <v>50</v>
      </c>
      <c r="D261" s="166">
        <v>8.8903466372048066E-3</v>
      </c>
      <c r="E261" s="167">
        <v>1.9480558652538938E-2</v>
      </c>
      <c r="F261" s="166">
        <v>8.0256821829855531E-3</v>
      </c>
      <c r="G261" s="167">
        <v>1.2483155702560334E-2</v>
      </c>
      <c r="H261" s="166">
        <v>3.3118354540700714E-3</v>
      </c>
      <c r="I261" s="167">
        <v>3.1815137307434696E-3</v>
      </c>
      <c r="J261" s="166">
        <v>3.642599358902513E-3</v>
      </c>
      <c r="K261" s="167">
        <v>8.5821589484230548E-3</v>
      </c>
      <c r="L261" s="166">
        <v>1.0366664284182689E-2</v>
      </c>
      <c r="M261" s="168">
        <v>2.2798331618005527E-2</v>
      </c>
    </row>
    <row r="262" spans="3:13" ht="24" customHeight="1" thickBot="1" x14ac:dyDescent="0.25">
      <c r="C262" s="174" t="s">
        <v>51</v>
      </c>
      <c r="D262" s="170">
        <v>1.3240574506283662E-2</v>
      </c>
      <c r="E262" s="171">
        <v>2.5139583615535092E-2</v>
      </c>
      <c r="F262" s="170">
        <v>5.4574638844301767E-3</v>
      </c>
      <c r="G262" s="171">
        <v>9.8125689084895256E-3</v>
      </c>
      <c r="H262" s="170">
        <v>4.0090639707164024E-3</v>
      </c>
      <c r="I262" s="171">
        <v>5.2746148693904888E-3</v>
      </c>
      <c r="J262" s="170">
        <v>7.4309026921611258E-3</v>
      </c>
      <c r="K262" s="171">
        <v>1.5277502804725137E-2</v>
      </c>
      <c r="L262" s="170">
        <v>1.5289829175898792E-2</v>
      </c>
      <c r="M262" s="172">
        <v>2.8760449957568206E-2</v>
      </c>
    </row>
    <row r="263" spans="3:13" ht="24" customHeight="1" thickBot="1" x14ac:dyDescent="0.25">
      <c r="C263" s="165" t="s">
        <v>52</v>
      </c>
      <c r="D263" s="166">
        <v>1.320173318602403E-2</v>
      </c>
      <c r="E263" s="167">
        <v>3.161628531269417E-2</v>
      </c>
      <c r="F263" s="166">
        <v>7.2231139646869984E-3</v>
      </c>
      <c r="G263" s="167">
        <v>1.0057576871248315E-2</v>
      </c>
      <c r="H263" s="166">
        <v>1.220149904131079E-3</v>
      </c>
      <c r="I263" s="167">
        <v>3.0559276624246485E-3</v>
      </c>
      <c r="J263" s="166">
        <v>1.3382349644706462E-2</v>
      </c>
      <c r="K263" s="167">
        <v>4.5883503416665167E-2</v>
      </c>
      <c r="L263" s="166">
        <v>1.3671646058180258E-2</v>
      </c>
      <c r="M263" s="168">
        <v>2.9944928949316576E-2</v>
      </c>
    </row>
    <row r="264" spans="3:13" ht="24" customHeight="1" thickBot="1" x14ac:dyDescent="0.25">
      <c r="C264" s="169" t="s">
        <v>53</v>
      </c>
      <c r="D264" s="170">
        <v>1.2068861345118078E-2</v>
      </c>
      <c r="E264" s="171">
        <v>9.6777607832147575E-3</v>
      </c>
      <c r="F264" s="170">
        <v>7.651150347779561E-3</v>
      </c>
      <c r="G264" s="171">
        <v>6.8234717628322923E-3</v>
      </c>
      <c r="H264" s="170">
        <v>1.795363430364302E-2</v>
      </c>
      <c r="I264" s="171">
        <v>1.4567983924983255E-2</v>
      </c>
      <c r="J264" s="170">
        <v>1.0939006074734931E-2</v>
      </c>
      <c r="K264" s="171">
        <v>9.4610728148641441E-3</v>
      </c>
      <c r="L264" s="170">
        <v>1.2496604960331642E-2</v>
      </c>
      <c r="M264" s="172">
        <v>9.8138417926078407E-3</v>
      </c>
    </row>
    <row r="265" spans="3:13" ht="24" customHeight="1" thickBot="1" x14ac:dyDescent="0.25">
      <c r="C265" s="173" t="s">
        <v>54</v>
      </c>
      <c r="D265" s="166">
        <v>4.6695898356580584E-3</v>
      </c>
      <c r="E265" s="167">
        <v>5.8816787215945077E-3</v>
      </c>
      <c r="F265" s="166">
        <v>2.1401819154628142E-3</v>
      </c>
      <c r="G265" s="167">
        <v>3.4423618767609947E-3</v>
      </c>
      <c r="H265" s="166">
        <v>8.5410493289175531E-3</v>
      </c>
      <c r="I265" s="167">
        <v>1.1846952444742129E-2</v>
      </c>
      <c r="J265" s="166">
        <v>7.4421106901885184E-3</v>
      </c>
      <c r="K265" s="167">
        <v>7.8502306773936149E-3</v>
      </c>
      <c r="L265" s="166">
        <v>4.0340218712029158E-3</v>
      </c>
      <c r="M265" s="168">
        <v>5.4486033620425043E-3</v>
      </c>
    </row>
    <row r="266" spans="3:13" ht="24" customHeight="1" thickBot="1" x14ac:dyDescent="0.25">
      <c r="C266" s="169" t="s">
        <v>55</v>
      </c>
      <c r="D266" s="170">
        <v>1.4537443032730286E-2</v>
      </c>
      <c r="E266" s="171">
        <v>1.2875529419635977E-2</v>
      </c>
      <c r="F266" s="170">
        <v>1.0700909577314071E-2</v>
      </c>
      <c r="G266" s="171">
        <v>1.161337743476663E-2</v>
      </c>
      <c r="H266" s="170">
        <v>8.3667421997559704E-3</v>
      </c>
      <c r="I266" s="171">
        <v>8.4142665773610185E-3</v>
      </c>
      <c r="J266" s="170">
        <v>8.0809665777498828E-3</v>
      </c>
      <c r="K266" s="171">
        <v>7.8622295015088519E-3</v>
      </c>
      <c r="L266" s="170">
        <v>1.6490601100707599E-2</v>
      </c>
      <c r="M266" s="172">
        <v>1.4233970713034685E-2</v>
      </c>
    </row>
    <row r="267" spans="3:13" ht="24" customHeight="1" thickBot="1" x14ac:dyDescent="0.25">
      <c r="C267" s="173" t="s">
        <v>56</v>
      </c>
      <c r="D267" s="166">
        <v>3.2423871012291119E-2</v>
      </c>
      <c r="E267" s="167">
        <v>2.8420161901090181E-2</v>
      </c>
      <c r="F267" s="166">
        <v>8.7212413055109683E-3</v>
      </c>
      <c r="G267" s="167">
        <v>1.1184613499938748E-2</v>
      </c>
      <c r="H267" s="166">
        <v>1.0109813491371798E-2</v>
      </c>
      <c r="I267" s="167">
        <v>1.2474882786336235E-2</v>
      </c>
      <c r="J267" s="166">
        <v>1.8549236735334335E-2</v>
      </c>
      <c r="K267" s="167">
        <v>1.5205509860033717E-2</v>
      </c>
      <c r="L267" s="166">
        <v>3.7595597169609037E-2</v>
      </c>
      <c r="M267" s="168">
        <v>3.289312604950978E-2</v>
      </c>
    </row>
    <row r="268" spans="3:13" ht="24" customHeight="1" thickBot="1" x14ac:dyDescent="0.25">
      <c r="C268" s="169" t="s">
        <v>57</v>
      </c>
      <c r="D268" s="170">
        <v>2.4271509460019335E-2</v>
      </c>
      <c r="E268" s="171">
        <v>2.5831674855316188E-2</v>
      </c>
      <c r="F268" s="170">
        <v>2.5628678437667203E-2</v>
      </c>
      <c r="G268" s="171">
        <v>2.5003062599534484E-2</v>
      </c>
      <c r="H268" s="170">
        <v>1.4990413107896113E-2</v>
      </c>
      <c r="I268" s="171">
        <v>1.1930676490288011E-2</v>
      </c>
      <c r="J268" s="170">
        <v>2.5352491537961489E-2</v>
      </c>
      <c r="K268" s="171">
        <v>3.1403922415603268E-2</v>
      </c>
      <c r="L268" s="170">
        <v>2.4075477092416555E-2</v>
      </c>
      <c r="M268" s="172">
        <v>2.4778722712745789E-2</v>
      </c>
    </row>
    <row r="269" spans="3:13" ht="24" customHeight="1" thickBot="1" x14ac:dyDescent="0.25">
      <c r="C269" s="173" t="s">
        <v>58</v>
      </c>
      <c r="D269" s="166">
        <v>4.1581791189062283E-3</v>
      </c>
      <c r="E269" s="167">
        <v>4.1300626995177843E-3</v>
      </c>
      <c r="F269" s="166">
        <v>8.4537185660781174E-3</v>
      </c>
      <c r="G269" s="167">
        <v>1.0351586426558862E-2</v>
      </c>
      <c r="H269" s="166">
        <v>1.3595956074603451E-2</v>
      </c>
      <c r="I269" s="167">
        <v>1.5154052243804421E-2</v>
      </c>
      <c r="J269" s="166">
        <v>2.3985115778619621E-3</v>
      </c>
      <c r="K269" s="167">
        <v>3.6506422370607681E-3</v>
      </c>
      <c r="L269" s="166">
        <v>4.2227146022443002E-3</v>
      </c>
      <c r="M269" s="168">
        <v>3.6884964700359315E-3</v>
      </c>
    </row>
    <row r="270" spans="3:13" ht="24" customHeight="1" thickBot="1" x14ac:dyDescent="0.25">
      <c r="C270" s="169" t="s">
        <v>59</v>
      </c>
      <c r="D270" s="170">
        <v>3.8776584725866594E-3</v>
      </c>
      <c r="E270" s="171">
        <v>3.8415999482302593E-3</v>
      </c>
      <c r="F270" s="170">
        <v>2.4879614767255216E-2</v>
      </c>
      <c r="G270" s="171">
        <v>2.1376944750704396E-2</v>
      </c>
      <c r="H270" s="170">
        <v>1.3770263203765034E-2</v>
      </c>
      <c r="I270" s="171">
        <v>1.5865706630944408E-2</v>
      </c>
      <c r="J270" s="170">
        <v>5.2789670709017956E-3</v>
      </c>
      <c r="K270" s="171">
        <v>4.685540816999934E-3</v>
      </c>
      <c r="L270" s="170">
        <v>2.2357229647630619E-3</v>
      </c>
      <c r="M270" s="172">
        <v>2.3971254717151474E-3</v>
      </c>
    </row>
    <row r="271" spans="3:13" ht="24" customHeight="1" thickBot="1" x14ac:dyDescent="0.25">
      <c r="C271" s="173" t="s">
        <v>60</v>
      </c>
      <c r="D271" s="166">
        <v>1.3587988537494822E-2</v>
      </c>
      <c r="E271" s="167">
        <v>1.4255873041291304E-2</v>
      </c>
      <c r="F271" s="166">
        <v>2.4665596575708937E-2</v>
      </c>
      <c r="G271" s="167">
        <v>2.7502143819674141E-2</v>
      </c>
      <c r="H271" s="166">
        <v>1.9696705595258848E-2</v>
      </c>
      <c r="I271" s="167">
        <v>2.1182183523107835E-2</v>
      </c>
      <c r="J271" s="166">
        <v>1.307973369796687E-2</v>
      </c>
      <c r="K271" s="167">
        <v>1.5067523382708494E-2</v>
      </c>
      <c r="L271" s="166">
        <v>1.3025516403402188E-2</v>
      </c>
      <c r="M271" s="168">
        <v>1.3159994944296986E-2</v>
      </c>
    </row>
    <row r="272" spans="3:13" ht="30.75" customHeight="1" thickBot="1" x14ac:dyDescent="0.25">
      <c r="C272" s="175" t="s">
        <v>61</v>
      </c>
      <c r="D272" s="176">
        <v>0.78806665170556556</v>
      </c>
      <c r="E272" s="177">
        <v>0.8248186550945209</v>
      </c>
      <c r="F272" s="176">
        <v>0.28164794007490634</v>
      </c>
      <c r="G272" s="177">
        <v>0.34922209971824081</v>
      </c>
      <c r="H272" s="176">
        <v>0.50148161059787344</v>
      </c>
      <c r="I272" s="177">
        <v>0.53516409912926988</v>
      </c>
      <c r="J272" s="176">
        <v>0.49713075250498751</v>
      </c>
      <c r="K272" s="177">
        <v>0.62098114384790293</v>
      </c>
      <c r="L272" s="176">
        <v>0.89404045457794301</v>
      </c>
      <c r="M272" s="178">
        <v>0.90693389668309776</v>
      </c>
    </row>
    <row r="273" spans="3:18" ht="24" customHeight="1" thickBot="1" x14ac:dyDescent="0.25">
      <c r="C273" s="179" t="s">
        <v>8</v>
      </c>
      <c r="D273" s="180">
        <v>1</v>
      </c>
      <c r="E273" s="181">
        <v>1</v>
      </c>
      <c r="F273" s="180">
        <v>1</v>
      </c>
      <c r="G273" s="181">
        <v>1</v>
      </c>
      <c r="H273" s="180">
        <v>1</v>
      </c>
      <c r="I273" s="181">
        <v>1</v>
      </c>
      <c r="J273" s="180">
        <v>1</v>
      </c>
      <c r="K273" s="181">
        <v>1</v>
      </c>
      <c r="L273" s="180">
        <v>1</v>
      </c>
      <c r="M273" s="182">
        <v>1</v>
      </c>
    </row>
    <row r="274" spans="3:18" ht="18" customHeight="1" x14ac:dyDescent="0.2">
      <c r="C274" s="183"/>
      <c r="D274" s="184"/>
      <c r="E274" s="185"/>
      <c r="F274" s="184"/>
      <c r="G274" s="185"/>
      <c r="H274" s="184"/>
      <c r="I274" s="185"/>
      <c r="J274" s="184"/>
      <c r="K274" s="185"/>
      <c r="L274" s="184"/>
      <c r="M274" s="185"/>
      <c r="N274" s="186"/>
    </row>
    <row r="275" spans="3:18" ht="5.25" customHeight="1" thickBot="1" x14ac:dyDescent="0.25">
      <c r="C275" s="59"/>
      <c r="D275" s="59"/>
      <c r="E275" s="59"/>
      <c r="F275" s="59"/>
      <c r="G275" s="59"/>
      <c r="H275" s="59"/>
      <c r="I275" s="59"/>
      <c r="J275" s="59"/>
      <c r="K275" s="59"/>
      <c r="L275" s="59"/>
      <c r="M275" s="59"/>
    </row>
    <row r="276" spans="3:18" ht="20.100000000000001" customHeight="1" thickBot="1" x14ac:dyDescent="0.25">
      <c r="C276" s="256" t="s">
        <v>71</v>
      </c>
      <c r="D276" s="257"/>
      <c r="E276" s="257"/>
      <c r="F276" s="257"/>
      <c r="G276" s="257"/>
      <c r="H276" s="257"/>
      <c r="I276" s="257"/>
      <c r="J276" s="257"/>
      <c r="K276" s="257"/>
      <c r="L276" s="257"/>
      <c r="M276" s="258"/>
    </row>
    <row r="277" spans="3:18" ht="5.25" customHeight="1" x14ac:dyDescent="0.2">
      <c r="C277" s="21"/>
      <c r="D277" s="21"/>
      <c r="E277" s="21"/>
      <c r="F277" s="21"/>
      <c r="G277" s="21"/>
      <c r="H277" s="21"/>
      <c r="I277" s="21"/>
      <c r="J277" s="21"/>
      <c r="K277" s="21"/>
      <c r="L277" s="21"/>
      <c r="M277" s="105"/>
    </row>
    <row r="278" spans="3:18" ht="45.75" customHeight="1" thickBot="1" x14ac:dyDescent="0.25">
      <c r="C278" s="309" t="s">
        <v>7</v>
      </c>
      <c r="D278" s="317" t="s">
        <v>72</v>
      </c>
      <c r="E278" s="187" t="s">
        <v>73</v>
      </c>
      <c r="F278" s="188">
        <v>1198.4849531710115</v>
      </c>
      <c r="G278" s="189">
        <v>6.4328619365289885E-2</v>
      </c>
      <c r="H278" s="320" t="s">
        <v>95</v>
      </c>
      <c r="I278" s="321"/>
      <c r="J278" s="321"/>
      <c r="K278" s="321"/>
      <c r="L278" s="322"/>
      <c r="M278" s="263" t="s">
        <v>99</v>
      </c>
      <c r="O278" s="99"/>
      <c r="R278" s="99"/>
    </row>
    <row r="279" spans="3:18" ht="45.75" customHeight="1" thickTop="1" thickBot="1" x14ac:dyDescent="0.25">
      <c r="C279" s="309"/>
      <c r="D279" s="318"/>
      <c r="E279" s="190" t="s">
        <v>74</v>
      </c>
      <c r="F279" s="191">
        <v>813.28331442536046</v>
      </c>
      <c r="G279" s="189">
        <v>0.11734252283682478</v>
      </c>
      <c r="H279" s="320" t="s">
        <v>96</v>
      </c>
      <c r="I279" s="321"/>
      <c r="J279" s="321"/>
      <c r="K279" s="321"/>
      <c r="L279" s="322"/>
      <c r="M279" s="263"/>
      <c r="O279" s="99"/>
      <c r="R279" s="99"/>
    </row>
    <row r="280" spans="3:18" ht="45.75" customHeight="1" thickTop="1" thickBot="1" x14ac:dyDescent="0.25">
      <c r="C280" s="309"/>
      <c r="D280" s="319"/>
      <c r="E280" s="192" t="s">
        <v>75</v>
      </c>
      <c r="F280" s="193">
        <v>405.93381242576663</v>
      </c>
      <c r="G280" s="189">
        <v>5.999697516415825E-3</v>
      </c>
      <c r="H280" s="320" t="str">
        <f>CONCATENATE("El gasto medio por turista en destino ascendió a ",FIXED($F$280,0),"€. Experimenta un ",IF(G280&gt;0,"incremento del ","descenso del "),FIXED(G280*100,1),"% respecto al miso periodo del año anterior.")</f>
        <v>El gasto medio por turista en destino ascendió a 406€. Experimenta un incremento del 0,6% respecto al miso periodo del año anterior.</v>
      </c>
      <c r="I280" s="321"/>
      <c r="J280" s="321"/>
      <c r="K280" s="321"/>
      <c r="L280" s="322"/>
      <c r="M280" s="263"/>
      <c r="O280" s="99"/>
      <c r="R280" s="99"/>
    </row>
    <row r="281" spans="3:18" ht="45.75" customHeight="1" thickTop="1" thickBot="1" x14ac:dyDescent="0.25">
      <c r="C281" s="309"/>
      <c r="D281" s="323" t="s">
        <v>76</v>
      </c>
      <c r="E281" s="194" t="s">
        <v>73</v>
      </c>
      <c r="F281" s="195">
        <v>123.29954228877065</v>
      </c>
      <c r="G281" s="189">
        <v>7.8846459485407028E-2</v>
      </c>
      <c r="H281" s="306" t="s">
        <v>97</v>
      </c>
      <c r="I281" s="307"/>
      <c r="J281" s="307"/>
      <c r="K281" s="307"/>
      <c r="L281" s="308"/>
      <c r="M281" s="263"/>
      <c r="O281" s="99"/>
      <c r="R281" s="99"/>
    </row>
    <row r="282" spans="3:18" ht="45.75" customHeight="1" thickTop="1" thickBot="1" x14ac:dyDescent="0.25">
      <c r="C282" s="309"/>
      <c r="D282" s="324"/>
      <c r="E282" s="196" t="s">
        <v>74</v>
      </c>
      <c r="F282" s="197">
        <v>83.62453938872865</v>
      </c>
      <c r="G282" s="189">
        <v>0.13166284522924854</v>
      </c>
      <c r="H282" s="306" t="str">
        <f>CONCATENATE("La media del gasto diario por turista en origen fue de ",FIXED($F$282,0),"€, ",IF(G282&gt;0,"aumentando un ","disminuyendo un "),FIXED(G282*100,1),"% respecto al mismo período del año anterior.")</f>
        <v>La media del gasto diario por turista en origen fue de 84€, aumentando un 13,2% respecto al mismo período del año anterior.</v>
      </c>
      <c r="I282" s="307"/>
      <c r="J282" s="307"/>
      <c r="K282" s="307"/>
      <c r="L282" s="308"/>
      <c r="M282" s="263"/>
      <c r="O282" s="99"/>
      <c r="R282" s="99"/>
    </row>
    <row r="283" spans="3:18" ht="45.75" customHeight="1" thickTop="1" thickBot="1" x14ac:dyDescent="0.25">
      <c r="C283" s="309"/>
      <c r="D283" s="325"/>
      <c r="E283" s="198" t="s">
        <v>75</v>
      </c>
      <c r="F283" s="199">
        <v>41.485441707872361</v>
      </c>
      <c r="G283" s="189">
        <v>2.3029501296007338E-2</v>
      </c>
      <c r="H283" s="306" t="s">
        <v>98</v>
      </c>
      <c r="I283" s="307"/>
      <c r="J283" s="307"/>
      <c r="K283" s="307"/>
      <c r="L283" s="308"/>
      <c r="M283" s="263"/>
      <c r="O283" s="99"/>
      <c r="R283" s="99"/>
    </row>
    <row r="284" spans="3:18" ht="5.25" customHeight="1" thickTop="1" thickBot="1" x14ac:dyDescent="0.25">
      <c r="C284" s="200"/>
      <c r="D284" s="200"/>
      <c r="E284" s="200"/>
      <c r="F284" s="200"/>
      <c r="G284" s="200"/>
      <c r="H284" s="200"/>
      <c r="I284" s="200"/>
      <c r="J284" s="200"/>
      <c r="K284" s="200"/>
      <c r="L284" s="200"/>
      <c r="M284" s="201"/>
      <c r="N284" s="186"/>
      <c r="O284" s="99"/>
      <c r="R284" s="99"/>
    </row>
    <row r="285" spans="3:18" ht="19.5" customHeight="1" thickBot="1" x14ac:dyDescent="0.25">
      <c r="C285" s="256" t="s">
        <v>77</v>
      </c>
      <c r="D285" s="257"/>
      <c r="E285" s="257"/>
      <c r="F285" s="257"/>
      <c r="G285" s="257"/>
      <c r="H285" s="257"/>
      <c r="I285" s="257"/>
      <c r="J285" s="257"/>
      <c r="K285" s="257"/>
      <c r="L285" s="257"/>
      <c r="M285" s="258"/>
      <c r="N285" s="186"/>
      <c r="O285" s="99"/>
      <c r="P285" s="99"/>
      <c r="Q285" s="99"/>
    </row>
    <row r="286" spans="3:18" ht="5.25" customHeight="1" x14ac:dyDescent="0.2">
      <c r="C286" s="21"/>
      <c r="D286" s="21"/>
      <c r="E286" s="21"/>
      <c r="F286" s="21"/>
      <c r="G286" s="21"/>
      <c r="H286" s="21"/>
      <c r="I286" s="21"/>
      <c r="J286" s="21"/>
      <c r="K286" s="21"/>
      <c r="L286" s="21"/>
      <c r="M286" s="105"/>
      <c r="N286" s="186"/>
      <c r="O286" s="99"/>
      <c r="P286" s="99"/>
      <c r="Q286" s="99"/>
    </row>
    <row r="287" spans="3:18" s="99" customFormat="1" ht="47.25" customHeight="1" thickBot="1" x14ac:dyDescent="0.25">
      <c r="C287" s="309" t="s">
        <v>7</v>
      </c>
      <c r="D287" s="310"/>
      <c r="E287" s="202" t="s">
        <v>8</v>
      </c>
      <c r="F287" s="203">
        <v>143087</v>
      </c>
      <c r="G287" s="189">
        <v>2.6537435073320514E-2</v>
      </c>
      <c r="H287" s="311" t="s">
        <v>100</v>
      </c>
      <c r="I287" s="311"/>
      <c r="J287" s="311"/>
      <c r="K287" s="311"/>
      <c r="L287" s="312"/>
      <c r="M287" s="263" t="s">
        <v>106</v>
      </c>
      <c r="Q287" s="204"/>
    </row>
    <row r="288" spans="3:18" s="99" customFormat="1" ht="47.25" customHeight="1" thickTop="1" thickBot="1" x14ac:dyDescent="0.25">
      <c r="C288" s="309"/>
      <c r="D288" s="310"/>
      <c r="E288" s="205" t="s">
        <v>78</v>
      </c>
      <c r="F288" s="206">
        <v>85420</v>
      </c>
      <c r="G288" s="207">
        <v>1.5514474231706599E-2</v>
      </c>
      <c r="H288" s="313" t="s">
        <v>101</v>
      </c>
      <c r="I288" s="314"/>
      <c r="J288" s="314"/>
      <c r="K288" s="314"/>
      <c r="L288" s="315"/>
      <c r="M288" s="263"/>
      <c r="O288" s="208"/>
      <c r="Q288" s="204"/>
    </row>
    <row r="289" spans="3:20" s="99" customFormat="1" ht="47.25" customHeight="1" thickTop="1" thickBot="1" x14ac:dyDescent="0.25">
      <c r="C289" s="309"/>
      <c r="D289" s="310"/>
      <c r="E289" s="209" t="s">
        <v>79</v>
      </c>
      <c r="F289" s="210">
        <v>48766</v>
      </c>
      <c r="G289" s="207">
        <v>-5.201852267395557E-3</v>
      </c>
      <c r="H289" s="316" t="s">
        <v>102</v>
      </c>
      <c r="I289" s="314"/>
      <c r="J289" s="314"/>
      <c r="K289" s="314"/>
      <c r="L289" s="315"/>
      <c r="M289" s="263"/>
      <c r="O289" s="208"/>
      <c r="Q289" s="204"/>
    </row>
    <row r="290" spans="3:20" s="99" customFormat="1" ht="47.25" customHeight="1" thickTop="1" thickBot="1" x14ac:dyDescent="0.25">
      <c r="C290" s="309"/>
      <c r="D290" s="310"/>
      <c r="E290" s="205" t="s">
        <v>80</v>
      </c>
      <c r="F290" s="206">
        <v>7426</v>
      </c>
      <c r="G290" s="207">
        <v>0.55453213313795269</v>
      </c>
      <c r="H290" s="313" t="s">
        <v>103</v>
      </c>
      <c r="I290" s="314"/>
      <c r="J290" s="314"/>
      <c r="K290" s="314"/>
      <c r="L290" s="315"/>
      <c r="M290" s="263"/>
      <c r="O290" s="208"/>
      <c r="Q290" s="204"/>
    </row>
    <row r="291" spans="3:20" s="99" customFormat="1" ht="47.25" customHeight="1" thickTop="1" thickBot="1" x14ac:dyDescent="0.25">
      <c r="C291" s="309"/>
      <c r="D291" s="310"/>
      <c r="E291" s="209" t="s">
        <v>81</v>
      </c>
      <c r="F291" s="210">
        <v>557</v>
      </c>
      <c r="G291" s="207">
        <v>0</v>
      </c>
      <c r="H291" s="316" t="s">
        <v>104</v>
      </c>
      <c r="I291" s="314"/>
      <c r="J291" s="314"/>
      <c r="K291" s="314"/>
      <c r="L291" s="315"/>
      <c r="M291" s="263"/>
      <c r="O291" s="208"/>
      <c r="Q291" s="204"/>
    </row>
    <row r="292" spans="3:20" s="99" customFormat="1" ht="47.25" customHeight="1" thickTop="1" thickBot="1" x14ac:dyDescent="0.25">
      <c r="C292" s="309"/>
      <c r="D292" s="310"/>
      <c r="E292" s="205" t="s">
        <v>82</v>
      </c>
      <c r="F292" s="206">
        <v>918</v>
      </c>
      <c r="G292" s="207">
        <v>0</v>
      </c>
      <c r="H292" s="313" t="s">
        <v>105</v>
      </c>
      <c r="I292" s="314"/>
      <c r="J292" s="314"/>
      <c r="K292" s="314"/>
      <c r="L292" s="315"/>
      <c r="M292" s="263"/>
      <c r="O292" s="208"/>
      <c r="Q292" s="204"/>
    </row>
    <row r="293" spans="3:20" ht="5.25" customHeight="1" thickTop="1" x14ac:dyDescent="0.2">
      <c r="C293" s="59" t="s">
        <v>83</v>
      </c>
      <c r="D293" s="59"/>
      <c r="E293" s="59"/>
      <c r="F293" s="59"/>
      <c r="G293" s="59"/>
      <c r="H293" s="59"/>
      <c r="I293" s="59"/>
      <c r="J293" s="59"/>
      <c r="K293" s="59"/>
      <c r="L293" s="59"/>
      <c r="M293" s="59"/>
      <c r="N293" s="211"/>
      <c r="P293" s="99"/>
      <c r="Q293" s="99"/>
      <c r="R293" s="99"/>
    </row>
    <row r="294" spans="3:20" s="1" customFormat="1" ht="18.75" customHeight="1" thickBot="1" x14ac:dyDescent="0.25">
      <c r="C294" s="19"/>
      <c r="D294" s="19"/>
      <c r="E294" s="19"/>
      <c r="F294" s="19"/>
      <c r="G294" s="19"/>
      <c r="H294" s="19"/>
      <c r="I294" s="19"/>
      <c r="J294" s="19"/>
      <c r="K294" s="19"/>
      <c r="L294" s="19"/>
      <c r="M294" s="19"/>
      <c r="N294" s="211"/>
      <c r="P294" s="212"/>
      <c r="Q294" s="212"/>
      <c r="R294" s="212"/>
    </row>
    <row r="295" spans="3:20" ht="50.25" customHeight="1" thickBot="1" x14ac:dyDescent="0.25">
      <c r="C295" s="2"/>
      <c r="D295" s="2"/>
      <c r="E295" s="280" t="str">
        <f>E242</f>
        <v>INDICADORES TURÍSTICOS DE TENERIFE definitivo</v>
      </c>
      <c r="F295" s="280"/>
      <c r="G295" s="280"/>
      <c r="H295" s="280"/>
      <c r="I295" s="280"/>
      <c r="J295" s="280"/>
      <c r="K295" s="280"/>
      <c r="L295" s="2"/>
      <c r="M295" s="2"/>
      <c r="O295" s="99"/>
      <c r="P295" s="99"/>
      <c r="Q295" s="99"/>
      <c r="R295" s="99"/>
      <c r="S295" s="99"/>
      <c r="T295" s="99"/>
    </row>
    <row r="296" spans="3:20" ht="5.25" customHeight="1" thickBot="1" x14ac:dyDescent="0.25">
      <c r="C296" s="3"/>
      <c r="O296" s="99"/>
      <c r="P296" s="99"/>
      <c r="Q296" s="99"/>
      <c r="R296" s="99"/>
      <c r="S296" s="99"/>
      <c r="T296" s="99"/>
    </row>
    <row r="297" spans="3:20" ht="18" customHeight="1" thickBot="1" x14ac:dyDescent="0.25">
      <c r="C297" s="281" t="s">
        <v>84</v>
      </c>
      <c r="D297" s="282"/>
      <c r="E297" s="282"/>
      <c r="F297" s="282"/>
      <c r="G297" s="282"/>
      <c r="H297" s="282"/>
      <c r="I297" s="282"/>
      <c r="J297" s="282"/>
      <c r="K297" s="282"/>
      <c r="L297" s="282"/>
      <c r="M297" s="283"/>
      <c r="O297" s="99"/>
      <c r="P297" s="99"/>
      <c r="Q297" s="99"/>
      <c r="R297" s="99"/>
      <c r="S297" s="99"/>
      <c r="T297" s="99"/>
    </row>
    <row r="298" spans="3:20" ht="5.25" customHeight="1" x14ac:dyDescent="0.2">
      <c r="C298" s="21"/>
      <c r="D298" s="21"/>
      <c r="E298" s="21"/>
      <c r="F298" s="21"/>
      <c r="G298" s="21"/>
      <c r="H298" s="21"/>
      <c r="I298" s="21"/>
      <c r="J298" s="21"/>
      <c r="K298" s="21"/>
      <c r="L298" s="21"/>
      <c r="M298" s="105"/>
      <c r="N298" s="186"/>
      <c r="O298" s="99"/>
      <c r="P298" s="99"/>
      <c r="Q298" s="99"/>
      <c r="R298" s="99"/>
      <c r="S298" s="99"/>
      <c r="T298" s="99"/>
    </row>
    <row r="299" spans="3:20" ht="27.75" customHeight="1" x14ac:dyDescent="0.2">
      <c r="C299" s="284" t="s">
        <v>7</v>
      </c>
      <c r="D299" s="285"/>
      <c r="E299" s="213" t="s">
        <v>8</v>
      </c>
      <c r="F299" s="23">
        <v>164366</v>
      </c>
      <c r="G299" s="214">
        <v>3.3293518576727132E-2</v>
      </c>
      <c r="H299" s="290" t="s">
        <v>107</v>
      </c>
      <c r="I299" s="290"/>
      <c r="J299" s="290"/>
      <c r="K299" s="290"/>
      <c r="L299" s="291"/>
      <c r="M299" s="263" t="s">
        <v>9</v>
      </c>
      <c r="O299" s="99"/>
      <c r="P299" s="99"/>
      <c r="Q299" s="99"/>
      <c r="R299" s="99"/>
      <c r="S299" s="99"/>
      <c r="T299" s="99"/>
    </row>
    <row r="300" spans="3:20" ht="34.5" customHeight="1" x14ac:dyDescent="0.2">
      <c r="C300" s="286"/>
      <c r="D300" s="287"/>
      <c r="E300" s="215" t="s">
        <v>85</v>
      </c>
      <c r="F300" s="30">
        <v>94536</v>
      </c>
      <c r="G300" s="94">
        <v>1.8948457608484848E-2</v>
      </c>
      <c r="H300" s="292" t="str">
        <f>CONCATENATE("La oferta hotelera estimada por el STDE del Cabildo de Tenerife se sitúa en ",FIXED(F300,0)," plazas, un ",FIXED(F300/F299*100,1),"% del total de plazas. ",IF(G300&gt;0,"Aumentan un ","Disminuyen un"),FIXED(G300*100,1),"% respecto al mismo periodo del año anterior.")</f>
        <v>La oferta hotelera estimada por el STDE del Cabildo de Tenerife se sitúa en 94.536 plazas, un 57,5% del total de plazas. Aumentan un 1,9% respecto al mismo periodo del año anterior.</v>
      </c>
      <c r="I300" s="292"/>
      <c r="J300" s="292"/>
      <c r="K300" s="292"/>
      <c r="L300" s="293"/>
      <c r="M300" s="263"/>
      <c r="O300" s="99"/>
      <c r="P300" s="99"/>
      <c r="Q300" s="99"/>
      <c r="R300" s="99"/>
      <c r="S300" s="99"/>
      <c r="T300" s="99"/>
    </row>
    <row r="301" spans="3:20" ht="41.25" customHeight="1" thickBot="1" x14ac:dyDescent="0.25">
      <c r="C301" s="288"/>
      <c r="D301" s="289"/>
      <c r="E301" s="216" t="s">
        <v>86</v>
      </c>
      <c r="F301" s="217">
        <v>69830</v>
      </c>
      <c r="G301" s="218">
        <v>5.3369939057503091E-2</v>
      </c>
      <c r="H301" s="294" t="s">
        <v>108</v>
      </c>
      <c r="I301" s="294"/>
      <c r="J301" s="294"/>
      <c r="K301" s="294"/>
      <c r="L301" s="295"/>
      <c r="M301" s="263"/>
      <c r="Q301" s="219"/>
    </row>
    <row r="302" spans="3:20" ht="18.75" hidden="1" customHeight="1" x14ac:dyDescent="0.2">
      <c r="C302" s="296" t="s">
        <v>12</v>
      </c>
      <c r="D302" s="297"/>
      <c r="E302" s="220" t="s">
        <v>8</v>
      </c>
      <c r="F302" s="221">
        <v>3228</v>
      </c>
      <c r="G302" s="222">
        <v>0.12122264675234451</v>
      </c>
      <c r="H302" s="274" t="str">
        <f>CONCATENATE("Las plazas estimadas por el STDE  del Cabildo de Tenerife en la zona de Santa Cruz, ascienden a ",FIXED(F303,0),", todas ellas pertenecientes a la tipología hotelera. Se registra un ",IF(G303&gt;0,"incremento ","descenso "),"con respecto al año anterior del ",FIXED(G303*100,1),"%.")</f>
        <v>Las plazas estimadas por el STDE  del Cabildo de Tenerife en la zona de Santa Cruz, ascienden a 2.537, todas ellas pertenecientes a la tipología hotelera. Se registra un descenso con respecto al año anterior del 0,0%.</v>
      </c>
      <c r="I302" s="274"/>
      <c r="J302" s="274"/>
      <c r="K302" s="274"/>
      <c r="L302" s="275"/>
      <c r="M302" s="263"/>
      <c r="Q302" s="219"/>
    </row>
    <row r="303" spans="3:20" ht="48.75" customHeight="1" thickTop="1" thickBot="1" x14ac:dyDescent="0.25">
      <c r="C303" s="298"/>
      <c r="D303" s="299"/>
      <c r="E303" s="223" t="s">
        <v>85</v>
      </c>
      <c r="F303" s="224">
        <v>2537</v>
      </c>
      <c r="G303" s="218">
        <v>0</v>
      </c>
      <c r="H303" s="278"/>
      <c r="I303" s="278"/>
      <c r="J303" s="278"/>
      <c r="K303" s="278"/>
      <c r="L303" s="279"/>
      <c r="M303" s="263"/>
    </row>
    <row r="304" spans="3:20" ht="42" customHeight="1" thickTop="1" x14ac:dyDescent="0.2">
      <c r="C304" s="300" t="s">
        <v>13</v>
      </c>
      <c r="D304" s="301"/>
      <c r="E304" s="225" t="s">
        <v>8</v>
      </c>
      <c r="F304" s="226">
        <v>1571</v>
      </c>
      <c r="G304" s="222">
        <v>0.45194085027726438</v>
      </c>
      <c r="H304" s="250" t="s">
        <v>109</v>
      </c>
      <c r="I304" s="250"/>
      <c r="J304" s="250"/>
      <c r="K304" s="250"/>
      <c r="L304" s="251"/>
      <c r="M304" s="263"/>
    </row>
    <row r="305" spans="3:18" ht="34.5" customHeight="1" x14ac:dyDescent="0.2">
      <c r="C305" s="302"/>
      <c r="D305" s="303"/>
      <c r="E305" s="227" t="s">
        <v>85</v>
      </c>
      <c r="F305" s="50">
        <v>824</v>
      </c>
      <c r="G305" s="94">
        <v>0.42560553633218001</v>
      </c>
      <c r="H305" s="252" t="str">
        <f>CONCATENATE("Las plazas hoteleras estimadas se sitúan en ",FIXED(F305,0)," plazas, registrando un ",IF(G305&gt;0,"incremento del ","descenso del "),FIXED(G305*100,1),"%.")</f>
        <v>Las plazas hoteleras estimadas se sitúan en 824 plazas, registrando un incremento del 42,6%.</v>
      </c>
      <c r="I305" s="252"/>
      <c r="J305" s="252"/>
      <c r="K305" s="252"/>
      <c r="L305" s="253"/>
      <c r="M305" s="263"/>
    </row>
    <row r="306" spans="3:18" ht="34.5" customHeight="1" thickBot="1" x14ac:dyDescent="0.25">
      <c r="C306" s="304"/>
      <c r="D306" s="305"/>
      <c r="E306" s="228" t="s">
        <v>86</v>
      </c>
      <c r="F306" s="229">
        <v>747</v>
      </c>
      <c r="G306" s="218">
        <v>0.48214285714285721</v>
      </c>
      <c r="H306" s="266" t="s">
        <v>110</v>
      </c>
      <c r="I306" s="266"/>
      <c r="J306" s="266"/>
      <c r="K306" s="266"/>
      <c r="L306" s="267"/>
      <c r="M306" s="263"/>
    </row>
    <row r="307" spans="3:18" ht="39.75" customHeight="1" thickTop="1" x14ac:dyDescent="0.2">
      <c r="C307" s="268" t="s">
        <v>14</v>
      </c>
      <c r="D307" s="269"/>
      <c r="E307" s="220" t="s">
        <v>8</v>
      </c>
      <c r="F307" s="221">
        <v>29509</v>
      </c>
      <c r="G307" s="222">
        <v>5.5513824802374989E-2</v>
      </c>
      <c r="H307" s="274" t="s">
        <v>111</v>
      </c>
      <c r="I307" s="274"/>
      <c r="J307" s="274"/>
      <c r="K307" s="274"/>
      <c r="L307" s="275"/>
      <c r="M307" s="263"/>
    </row>
    <row r="308" spans="3:18" ht="34.5" customHeight="1" x14ac:dyDescent="0.2">
      <c r="C308" s="270"/>
      <c r="D308" s="271"/>
      <c r="E308" s="230" t="s">
        <v>85</v>
      </c>
      <c r="F308" s="43">
        <v>19717</v>
      </c>
      <c r="G308" s="94">
        <v>2.6820122903864263E-2</v>
      </c>
      <c r="H308" s="276" t="str">
        <f>CONCATENATE("La oferta hotelera asciende a ",FIXED(F308,0),", cifra que se ",IF(G308&gt;0,"incrementa un ","reduce un "),FIXED(G308*100,1),"% respecto al año anterior.")</f>
        <v>La oferta hotelera asciende a 19.717, cifra que se incrementa un 2,7% respecto al año anterior.</v>
      </c>
      <c r="I308" s="276"/>
      <c r="J308" s="276"/>
      <c r="K308" s="276"/>
      <c r="L308" s="277"/>
      <c r="M308" s="263"/>
    </row>
    <row r="309" spans="3:18" ht="34.5" customHeight="1" thickBot="1" x14ac:dyDescent="0.25">
      <c r="C309" s="272"/>
      <c r="D309" s="273"/>
      <c r="E309" s="223" t="s">
        <v>86</v>
      </c>
      <c r="F309" s="224">
        <v>9792</v>
      </c>
      <c r="G309" s="218">
        <v>0.11844660194174761</v>
      </c>
      <c r="H309" s="278" t="str">
        <f>CONCATENATE("Las plazas extrahoteras estimadas ascienden a ",FIXED(F309,0),", las cuales ",IF(G309&gt;0,"se incrementan un ","descienden un "),FIXED(G309*100,1),"%.")</f>
        <v>Las plazas extrahoteras estimadas ascienden a 9.792, las cuales se incrementan un 11,8%.</v>
      </c>
      <c r="I309" s="278"/>
      <c r="J309" s="278"/>
      <c r="K309" s="278"/>
      <c r="L309" s="279"/>
      <c r="M309" s="263"/>
    </row>
    <row r="310" spans="3:18" ht="34.5" customHeight="1" thickTop="1" x14ac:dyDescent="0.2">
      <c r="C310" s="246" t="s">
        <v>15</v>
      </c>
      <c r="D310" s="247"/>
      <c r="E310" s="231" t="s">
        <v>8</v>
      </c>
      <c r="F310" s="232">
        <v>130058</v>
      </c>
      <c r="G310" s="222">
        <v>2.2854536303007489E-2</v>
      </c>
      <c r="H310" s="250" t="str">
        <f>CONCATENATE("Las plazas estimadas para la zona Sur por el STDE del Cabildo ascienden a ",FIXED(F310,0)," experimentando un ",IF(G310&gt;0,"incremento interanual del ","descenso interanual del "),FIXED(G310*100,1),"%.")</f>
        <v>Las plazas estimadas para la zona Sur por el STDE del Cabildo ascienden a 130.058 experimentando un incremento interanual del 2,3%.</v>
      </c>
      <c r="I310" s="250"/>
      <c r="J310" s="250"/>
      <c r="K310" s="250"/>
      <c r="L310" s="251"/>
      <c r="M310" s="263"/>
    </row>
    <row r="311" spans="3:18" ht="34.5" customHeight="1" x14ac:dyDescent="0.2">
      <c r="C311" s="248"/>
      <c r="D311" s="249"/>
      <c r="E311" s="233" t="s">
        <v>85</v>
      </c>
      <c r="F311" s="56">
        <v>71458</v>
      </c>
      <c r="G311" s="94">
        <v>1.4149671449454226E-2</v>
      </c>
      <c r="H311" s="252" t="str">
        <f>CONCATENATE("Las plazas hoteleras, con un oferta de ",FIXED(F311,0)," plazas, se ",IF(G311&gt;0,"incrementan un ","reducen un "),FIXED(G311*100,1),"% respecto al mismo período del año anterior.")</f>
        <v>Las plazas hoteleras, con un oferta de 71.458 plazas, se incrementan un 1,4% respecto al mismo período del año anterior.</v>
      </c>
      <c r="I311" s="252"/>
      <c r="J311" s="252"/>
      <c r="K311" s="252"/>
      <c r="L311" s="253"/>
      <c r="M311" s="263"/>
    </row>
    <row r="312" spans="3:18" ht="34.5" customHeight="1" x14ac:dyDescent="0.2">
      <c r="C312" s="248"/>
      <c r="D312" s="249"/>
      <c r="E312" s="234" t="s">
        <v>86</v>
      </c>
      <c r="F312" s="235">
        <v>58600</v>
      </c>
      <c r="G312" s="236">
        <v>3.3673775378807891E-2</v>
      </c>
      <c r="H312" s="254" t="s">
        <v>112</v>
      </c>
      <c r="I312" s="254"/>
      <c r="J312" s="254"/>
      <c r="K312" s="254"/>
      <c r="L312" s="255"/>
      <c r="M312" s="263"/>
    </row>
    <row r="313" spans="3:18" ht="5.25" customHeight="1" thickBot="1" x14ac:dyDescent="0.25">
      <c r="C313" s="200"/>
      <c r="D313" s="200"/>
      <c r="E313" s="200"/>
      <c r="F313" s="200"/>
      <c r="G313" s="200"/>
      <c r="H313" s="200"/>
      <c r="I313" s="200"/>
      <c r="J313" s="200"/>
      <c r="K313" s="200"/>
      <c r="L313" s="200"/>
      <c r="M313" s="201"/>
      <c r="N313" s="186"/>
      <c r="O313" s="99"/>
      <c r="R313" s="99"/>
    </row>
    <row r="314" spans="3:18" ht="19.5" customHeight="1" thickBot="1" x14ac:dyDescent="0.25">
      <c r="C314" s="256" t="s">
        <v>87</v>
      </c>
      <c r="D314" s="257"/>
      <c r="E314" s="257"/>
      <c r="F314" s="257"/>
      <c r="G314" s="257"/>
      <c r="H314" s="257"/>
      <c r="I314" s="257"/>
      <c r="J314" s="257"/>
      <c r="K314" s="257"/>
      <c r="L314" s="257"/>
      <c r="M314" s="258"/>
      <c r="N314" s="186"/>
      <c r="O314" s="99"/>
      <c r="P314" s="99"/>
      <c r="Q314" s="99"/>
    </row>
    <row r="315" spans="3:18" ht="5.25" customHeight="1" x14ac:dyDescent="0.2">
      <c r="C315" s="21"/>
      <c r="D315" s="21"/>
      <c r="E315" s="21"/>
      <c r="F315" s="21"/>
      <c r="G315" s="21"/>
      <c r="H315" s="21"/>
      <c r="I315" s="21"/>
      <c r="J315" s="21"/>
      <c r="K315" s="21"/>
      <c r="L315" s="21"/>
      <c r="M315" s="105"/>
      <c r="O315" s="99"/>
      <c r="P315" s="99"/>
      <c r="Q315" s="99"/>
    </row>
    <row r="316" spans="3:18" ht="43.5" customHeight="1" thickBot="1" x14ac:dyDescent="0.25">
      <c r="C316" s="259" t="s">
        <v>88</v>
      </c>
      <c r="D316" s="260"/>
      <c r="E316" s="237" t="s">
        <v>89</v>
      </c>
      <c r="F316" s="238">
        <v>343843</v>
      </c>
      <c r="G316" s="189">
        <v>0.44705322873880537</v>
      </c>
      <c r="H316" s="261" t="s">
        <v>114</v>
      </c>
      <c r="I316" s="261"/>
      <c r="J316" s="261"/>
      <c r="K316" s="261"/>
      <c r="L316" s="262"/>
      <c r="M316" s="263" t="s">
        <v>115</v>
      </c>
    </row>
    <row r="317" spans="3:18" ht="43.5" customHeight="1" thickTop="1" thickBot="1" x14ac:dyDescent="0.25">
      <c r="C317" s="259"/>
      <c r="D317" s="260"/>
      <c r="E317" s="239" t="s">
        <v>90</v>
      </c>
      <c r="F317" s="240">
        <v>155</v>
      </c>
      <c r="G317" s="241">
        <v>0.25</v>
      </c>
      <c r="H317" s="264" t="s">
        <v>116</v>
      </c>
      <c r="I317" s="264"/>
      <c r="J317" s="264"/>
      <c r="K317" s="264"/>
      <c r="L317" s="265"/>
      <c r="M317" s="263"/>
    </row>
    <row r="318" spans="3:18" ht="13.5" thickTop="1" x14ac:dyDescent="0.2">
      <c r="C318" s="242"/>
      <c r="D318" s="243"/>
      <c r="E318" s="243"/>
      <c r="F318" s="243"/>
      <c r="G318" s="243"/>
      <c r="H318" s="243"/>
      <c r="I318" s="243"/>
      <c r="J318" s="243"/>
      <c r="K318" s="243"/>
      <c r="L318" s="243"/>
      <c r="M318" s="243"/>
    </row>
    <row r="319" spans="3:18" ht="29.25" customHeight="1" x14ac:dyDescent="0.2"/>
    <row r="320" spans="3:18" ht="18" customHeight="1" x14ac:dyDescent="0.2">
      <c r="C320" s="245" t="s">
        <v>91</v>
      </c>
      <c r="D320" s="245"/>
      <c r="E320" s="245"/>
      <c r="F320" s="245"/>
      <c r="G320" s="245"/>
      <c r="H320" s="245"/>
      <c r="I320" s="245"/>
      <c r="J320" s="245"/>
      <c r="K320" s="245"/>
      <c r="L320" s="245"/>
      <c r="M320" s="245"/>
    </row>
    <row r="322" spans="5:6" ht="6.75" customHeight="1" x14ac:dyDescent="0.2"/>
    <row r="324" spans="5:6" ht="8.25" customHeight="1" x14ac:dyDescent="0.2"/>
    <row r="327" spans="5:6" x14ac:dyDescent="0.2">
      <c r="E327" s="244"/>
      <c r="F327" s="244"/>
    </row>
    <row r="328" spans="5:6" x14ac:dyDescent="0.2">
      <c r="E328" s="244"/>
      <c r="F328" s="244"/>
    </row>
    <row r="331" spans="5:6" ht="21.75" customHeight="1" x14ac:dyDescent="0.2"/>
    <row r="333" spans="5:6" ht="6" customHeight="1" x14ac:dyDescent="0.2"/>
  </sheetData>
  <mergeCells count="163">
    <mergeCell ref="C15:D17"/>
    <mergeCell ref="I15:I17"/>
    <mergeCell ref="C18:D20"/>
    <mergeCell ref="I18:I20"/>
    <mergeCell ref="C21:D23"/>
    <mergeCell ref="I21:I23"/>
    <mergeCell ref="E1:K1"/>
    <mergeCell ref="C2:G3"/>
    <mergeCell ref="I2:M3"/>
    <mergeCell ref="C5:D5"/>
    <mergeCell ref="C7:M7"/>
    <mergeCell ref="C9:D11"/>
    <mergeCell ref="I9:I11"/>
    <mergeCell ref="M9:M23"/>
    <mergeCell ref="C12:D14"/>
    <mergeCell ref="I12:I14"/>
    <mergeCell ref="C25:M25"/>
    <mergeCell ref="C27:D29"/>
    <mergeCell ref="I27:I29"/>
    <mergeCell ref="M27:M41"/>
    <mergeCell ref="C30:D32"/>
    <mergeCell ref="I30:I32"/>
    <mergeCell ref="C33:D35"/>
    <mergeCell ref="I33:I35"/>
    <mergeCell ref="C36:D38"/>
    <mergeCell ref="I36:I38"/>
    <mergeCell ref="C54:D56"/>
    <mergeCell ref="I54:I56"/>
    <mergeCell ref="C57:D59"/>
    <mergeCell ref="I57:I59"/>
    <mergeCell ref="C60:M60"/>
    <mergeCell ref="E61:K61"/>
    <mergeCell ref="C39:D41"/>
    <mergeCell ref="I39:I41"/>
    <mergeCell ref="C43:M43"/>
    <mergeCell ref="C45:D47"/>
    <mergeCell ref="I45:I47"/>
    <mergeCell ref="M45:M59"/>
    <mergeCell ref="C48:D50"/>
    <mergeCell ref="I48:I50"/>
    <mergeCell ref="C51:D53"/>
    <mergeCell ref="I51:I53"/>
    <mergeCell ref="I74:I76"/>
    <mergeCell ref="C77:D79"/>
    <mergeCell ref="I77:I79"/>
    <mergeCell ref="C80:D82"/>
    <mergeCell ref="I80:I82"/>
    <mergeCell ref="C84:M84"/>
    <mergeCell ref="C62:G63"/>
    <mergeCell ref="I62:M63"/>
    <mergeCell ref="C64:D64"/>
    <mergeCell ref="C66:M66"/>
    <mergeCell ref="C68:D70"/>
    <mergeCell ref="I68:I70"/>
    <mergeCell ref="M68:M82"/>
    <mergeCell ref="C71:D73"/>
    <mergeCell ref="I71:I73"/>
    <mergeCell ref="C74:D76"/>
    <mergeCell ref="C100:M100"/>
    <mergeCell ref="C102:D106"/>
    <mergeCell ref="I102:I106"/>
    <mergeCell ref="M102:M106"/>
    <mergeCell ref="C108:M108"/>
    <mergeCell ref="C110:D114"/>
    <mergeCell ref="I110:I114"/>
    <mergeCell ref="M110:M114"/>
    <mergeCell ref="C86:D90"/>
    <mergeCell ref="I86:I90"/>
    <mergeCell ref="M86:M90"/>
    <mergeCell ref="C92:M92"/>
    <mergeCell ref="C94:D98"/>
    <mergeCell ref="I94:I98"/>
    <mergeCell ref="M94:M98"/>
    <mergeCell ref="C151:M151"/>
    <mergeCell ref="G152:I152"/>
    <mergeCell ref="D154:E154"/>
    <mergeCell ref="F154:G154"/>
    <mergeCell ref="H154:I154"/>
    <mergeCell ref="J154:K154"/>
    <mergeCell ref="L154:M154"/>
    <mergeCell ref="C116:M116"/>
    <mergeCell ref="E117:K117"/>
    <mergeCell ref="C119:M119"/>
    <mergeCell ref="G120:I120"/>
    <mergeCell ref="D122:E122"/>
    <mergeCell ref="F122:G122"/>
    <mergeCell ref="H122:I122"/>
    <mergeCell ref="J122:K122"/>
    <mergeCell ref="L122:M122"/>
    <mergeCell ref="C183:M183"/>
    <mergeCell ref="E184:K184"/>
    <mergeCell ref="C186:Q186"/>
    <mergeCell ref="C187:Q187"/>
    <mergeCell ref="D188:E188"/>
    <mergeCell ref="F188:G188"/>
    <mergeCell ref="H188:I188"/>
    <mergeCell ref="J188:K188"/>
    <mergeCell ref="L188:M188"/>
    <mergeCell ref="N188:O188"/>
    <mergeCell ref="E242:K242"/>
    <mergeCell ref="C244:M244"/>
    <mergeCell ref="D246:E246"/>
    <mergeCell ref="F246:G246"/>
    <mergeCell ref="H246:I246"/>
    <mergeCell ref="J246:K246"/>
    <mergeCell ref="L246:M246"/>
    <mergeCell ref="P188:Q188"/>
    <mergeCell ref="C214:Q214"/>
    <mergeCell ref="C215:Q215"/>
    <mergeCell ref="D216:E216"/>
    <mergeCell ref="F216:G216"/>
    <mergeCell ref="H216:I216"/>
    <mergeCell ref="J216:K216"/>
    <mergeCell ref="L216:M216"/>
    <mergeCell ref="N216:O216"/>
    <mergeCell ref="P216:Q216"/>
    <mergeCell ref="C276:M276"/>
    <mergeCell ref="C278:C283"/>
    <mergeCell ref="D278:D280"/>
    <mergeCell ref="H278:L278"/>
    <mergeCell ref="M278:M283"/>
    <mergeCell ref="H279:L279"/>
    <mergeCell ref="H280:L280"/>
    <mergeCell ref="D281:D283"/>
    <mergeCell ref="H281:L281"/>
    <mergeCell ref="H282:L282"/>
    <mergeCell ref="H283:L283"/>
    <mergeCell ref="C285:M285"/>
    <mergeCell ref="C287:D292"/>
    <mergeCell ref="H287:L287"/>
    <mergeCell ref="M287:M292"/>
    <mergeCell ref="H288:L288"/>
    <mergeCell ref="H289:L289"/>
    <mergeCell ref="H290:L290"/>
    <mergeCell ref="H291:L291"/>
    <mergeCell ref="H292:L292"/>
    <mergeCell ref="H304:L304"/>
    <mergeCell ref="H305:L305"/>
    <mergeCell ref="H306:L306"/>
    <mergeCell ref="C307:D309"/>
    <mergeCell ref="H307:L307"/>
    <mergeCell ref="H308:L308"/>
    <mergeCell ref="H309:L309"/>
    <mergeCell ref="E295:K295"/>
    <mergeCell ref="C297:M297"/>
    <mergeCell ref="C299:D301"/>
    <mergeCell ref="H299:L299"/>
    <mergeCell ref="M299:M312"/>
    <mergeCell ref="H300:L300"/>
    <mergeCell ref="H301:L301"/>
    <mergeCell ref="C302:D303"/>
    <mergeCell ref="H302:L303"/>
    <mergeCell ref="C304:D306"/>
    <mergeCell ref="C320:M320"/>
    <mergeCell ref="C310:D312"/>
    <mergeCell ref="H310:L310"/>
    <mergeCell ref="H311:L311"/>
    <mergeCell ref="H312:L312"/>
    <mergeCell ref="C314:M314"/>
    <mergeCell ref="C316:D317"/>
    <mergeCell ref="H316:L316"/>
    <mergeCell ref="M316:M317"/>
    <mergeCell ref="H317:L317"/>
  </mergeCells>
  <conditionalFormatting sqref="D190:D212 F190:F212 H190:H212 J190:J212 L190:L212 N190:N212 D218:D240 F218:F240 H218:H240 J218:J240 L218:L240 N218:N240 P190:P212 P218:P240 G9:G10 G15:G23">
    <cfRule type="cellIs" dxfId="287" priority="286" stopIfTrue="1" operator="greaterThan">
      <formula>0</formula>
    </cfRule>
    <cfRule type="cellIs" dxfId="286" priority="287" stopIfTrue="1" operator="lessThan">
      <formula>0</formula>
    </cfRule>
    <cfRule type="cellIs" dxfId="285" priority="288" stopIfTrue="1" operator="equal">
      <formula>0</formula>
    </cfRule>
  </conditionalFormatting>
  <conditionalFormatting sqref="G9:G10 G15:G23">
    <cfRule type="cellIs" dxfId="284" priority="283" operator="equal">
      <formula>0</formula>
    </cfRule>
    <cfRule type="cellIs" dxfId="283" priority="284" operator="lessThan">
      <formula>0</formula>
    </cfRule>
    <cfRule type="cellIs" dxfId="282" priority="285" operator="greaterThan">
      <formula>0</formula>
    </cfRule>
  </conditionalFormatting>
  <conditionalFormatting sqref="G10 G15:G23">
    <cfRule type="cellIs" dxfId="281" priority="280" stopIfTrue="1" operator="greaterThan">
      <formula>0</formula>
    </cfRule>
    <cfRule type="cellIs" dxfId="280" priority="281" stopIfTrue="1" operator="lessThan">
      <formula>0</formula>
    </cfRule>
    <cfRule type="cellIs" dxfId="279" priority="282" stopIfTrue="1" operator="equal">
      <formula>0</formula>
    </cfRule>
  </conditionalFormatting>
  <conditionalFormatting sqref="G10 G15:G23">
    <cfRule type="cellIs" dxfId="278" priority="277" operator="equal">
      <formula>0</formula>
    </cfRule>
    <cfRule type="cellIs" dxfId="277" priority="278" operator="lessThan">
      <formula>0</formula>
    </cfRule>
    <cfRule type="cellIs" dxfId="276" priority="279" operator="greaterThan">
      <formula>0</formula>
    </cfRule>
  </conditionalFormatting>
  <conditionalFormatting sqref="G299:G312 G287:G289 L110:L114 G110:G114 L102:L106 G102:G106 L94:L98 G94:G98 L87:L90 G86:G90 L9:L11 L15:L23">
    <cfRule type="cellIs" dxfId="275" priority="271" operator="equal">
      <formula>0</formula>
    </cfRule>
    <cfRule type="cellIs" dxfId="274" priority="272" operator="lessThan">
      <formula>0</formula>
    </cfRule>
    <cfRule type="cellIs" dxfId="273" priority="273" operator="greaterThan">
      <formula>0</formula>
    </cfRule>
  </conditionalFormatting>
  <conditionalFormatting sqref="G299:G312 G287:G289 L110:L114 G110:G114 L102:L106 G102:G106 L94:L98 G94:G98 L87:L90 G86:G90 L9:L11 L15:L23">
    <cfRule type="cellIs" dxfId="272" priority="274" stopIfTrue="1" operator="greaterThan">
      <formula>0</formula>
    </cfRule>
    <cfRule type="cellIs" dxfId="271" priority="275" stopIfTrue="1" operator="lessThan">
      <formula>0</formula>
    </cfRule>
    <cfRule type="cellIs" dxfId="270" priority="276" stopIfTrue="1" operator="equal">
      <formula>0</formula>
    </cfRule>
  </conditionalFormatting>
  <conditionalFormatting sqref="G27:G28 G33:G41">
    <cfRule type="cellIs" dxfId="269" priority="220" stopIfTrue="1" operator="greaterThan">
      <formula>0</formula>
    </cfRule>
    <cfRule type="cellIs" dxfId="268" priority="221" stopIfTrue="1" operator="lessThan">
      <formula>0</formula>
    </cfRule>
    <cfRule type="cellIs" dxfId="267" priority="222" stopIfTrue="1" operator="equal">
      <formula>0</formula>
    </cfRule>
  </conditionalFormatting>
  <conditionalFormatting sqref="G27:G28 G33:G41">
    <cfRule type="cellIs" dxfId="266" priority="217" operator="equal">
      <formula>0</formula>
    </cfRule>
    <cfRule type="cellIs" dxfId="265" priority="218" operator="lessThan">
      <formula>0</formula>
    </cfRule>
    <cfRule type="cellIs" dxfId="264" priority="219" operator="greaterThan">
      <formula>0</formula>
    </cfRule>
  </conditionalFormatting>
  <conditionalFormatting sqref="G45:G47 G51:G59">
    <cfRule type="cellIs" dxfId="263" priority="262" stopIfTrue="1" operator="greaterThan">
      <formula>0</formula>
    </cfRule>
    <cfRule type="cellIs" dxfId="262" priority="263" stopIfTrue="1" operator="lessThan">
      <formula>0</formula>
    </cfRule>
    <cfRule type="cellIs" dxfId="261" priority="264" stopIfTrue="1" operator="equal">
      <formula>0</formula>
    </cfRule>
  </conditionalFormatting>
  <conditionalFormatting sqref="G45:G47 G51:G59">
    <cfRule type="cellIs" dxfId="260" priority="259" operator="equal">
      <formula>0</formula>
    </cfRule>
    <cfRule type="cellIs" dxfId="259" priority="260" operator="lessThan">
      <formula>0</formula>
    </cfRule>
    <cfRule type="cellIs" dxfId="258" priority="261" operator="greaterThan">
      <formula>0</formula>
    </cfRule>
  </conditionalFormatting>
  <conditionalFormatting sqref="G46:G47 G51:G59">
    <cfRule type="cellIs" dxfId="257" priority="256" stopIfTrue="1" operator="greaterThan">
      <formula>0</formula>
    </cfRule>
    <cfRule type="cellIs" dxfId="256" priority="257" stopIfTrue="1" operator="lessThan">
      <formula>0</formula>
    </cfRule>
    <cfRule type="cellIs" dxfId="255" priority="258" stopIfTrue="1" operator="equal">
      <formula>0</formula>
    </cfRule>
  </conditionalFormatting>
  <conditionalFormatting sqref="G46:G47 G51:G59">
    <cfRule type="cellIs" dxfId="254" priority="253" operator="equal">
      <formula>0</formula>
    </cfRule>
    <cfRule type="cellIs" dxfId="253" priority="254" operator="lessThan">
      <formula>0</formula>
    </cfRule>
    <cfRule type="cellIs" dxfId="252" priority="255" operator="greaterThan">
      <formula>0</formula>
    </cfRule>
  </conditionalFormatting>
  <conditionalFormatting sqref="L27:L29 L33:L41">
    <cfRule type="cellIs" dxfId="251" priority="265" operator="equal">
      <formula>0</formula>
    </cfRule>
    <cfRule type="cellIs" dxfId="250" priority="266" operator="lessThan">
      <formula>0</formula>
    </cfRule>
    <cfRule type="cellIs" dxfId="249" priority="267" operator="greaterThan">
      <formula>0</formula>
    </cfRule>
  </conditionalFormatting>
  <conditionalFormatting sqref="L27:L29 L33:L41">
    <cfRule type="cellIs" dxfId="248" priority="268" stopIfTrue="1" operator="greaterThan">
      <formula>0</formula>
    </cfRule>
    <cfRule type="cellIs" dxfId="247" priority="269" stopIfTrue="1" operator="lessThan">
      <formula>0</formula>
    </cfRule>
    <cfRule type="cellIs" dxfId="246" priority="270" stopIfTrue="1" operator="equal">
      <formula>0</formula>
    </cfRule>
  </conditionalFormatting>
  <conditionalFormatting sqref="L45:L47 L51:L59">
    <cfRule type="cellIs" dxfId="245" priority="247" operator="equal">
      <formula>0</formula>
    </cfRule>
    <cfRule type="cellIs" dxfId="244" priority="248" operator="lessThan">
      <formula>0</formula>
    </cfRule>
    <cfRule type="cellIs" dxfId="243" priority="249" operator="greaterThan">
      <formula>0</formula>
    </cfRule>
  </conditionalFormatting>
  <conditionalFormatting sqref="L45:L47 L51:L59">
    <cfRule type="cellIs" dxfId="242" priority="250" stopIfTrue="1" operator="greaterThan">
      <formula>0</formula>
    </cfRule>
    <cfRule type="cellIs" dxfId="241" priority="251" stopIfTrue="1" operator="lessThan">
      <formula>0</formula>
    </cfRule>
    <cfRule type="cellIs" dxfId="240" priority="252" stopIfTrue="1" operator="equal">
      <formula>0</formula>
    </cfRule>
  </conditionalFormatting>
  <conditionalFormatting sqref="G68:G70 G74:G82">
    <cfRule type="cellIs" dxfId="239" priority="244" stopIfTrue="1" operator="greaterThan">
      <formula>0</formula>
    </cfRule>
    <cfRule type="cellIs" dxfId="238" priority="245" stopIfTrue="1" operator="lessThan">
      <formula>0</formula>
    </cfRule>
    <cfRule type="cellIs" dxfId="237" priority="246" stopIfTrue="1" operator="equal">
      <formula>0</formula>
    </cfRule>
  </conditionalFormatting>
  <conditionalFormatting sqref="G68:G70 G74:G82">
    <cfRule type="cellIs" dxfId="236" priority="241" operator="equal">
      <formula>0</formula>
    </cfRule>
    <cfRule type="cellIs" dxfId="235" priority="242" operator="lessThan">
      <formula>0</formula>
    </cfRule>
    <cfRule type="cellIs" dxfId="234" priority="243" operator="greaterThan">
      <formula>0</formula>
    </cfRule>
  </conditionalFormatting>
  <conditionalFormatting sqref="G69:G70 G74:G82">
    <cfRule type="cellIs" dxfId="233" priority="238" stopIfTrue="1" operator="greaterThan">
      <formula>0</formula>
    </cfRule>
    <cfRule type="cellIs" dxfId="232" priority="239" stopIfTrue="1" operator="lessThan">
      <formula>0</formula>
    </cfRule>
    <cfRule type="cellIs" dxfId="231" priority="240" stopIfTrue="1" operator="equal">
      <formula>0</formula>
    </cfRule>
  </conditionalFormatting>
  <conditionalFormatting sqref="G69:G70 G74:G82">
    <cfRule type="cellIs" dxfId="230" priority="235" operator="equal">
      <formula>0</formula>
    </cfRule>
    <cfRule type="cellIs" dxfId="229" priority="236" operator="lessThan">
      <formula>0</formula>
    </cfRule>
    <cfRule type="cellIs" dxfId="228" priority="237" operator="greaterThan">
      <formula>0</formula>
    </cfRule>
  </conditionalFormatting>
  <conditionalFormatting sqref="L68:L70 L74:L82">
    <cfRule type="cellIs" dxfId="227" priority="229" operator="equal">
      <formula>0</formula>
    </cfRule>
    <cfRule type="cellIs" dxfId="226" priority="230" operator="lessThan">
      <formula>0</formula>
    </cfRule>
    <cfRule type="cellIs" dxfId="225" priority="231" operator="greaterThan">
      <formula>0</formula>
    </cfRule>
  </conditionalFormatting>
  <conditionalFormatting sqref="L68:L70 L74:L82">
    <cfRule type="cellIs" dxfId="224" priority="232" stopIfTrue="1" operator="greaterThan">
      <formula>0</formula>
    </cfRule>
    <cfRule type="cellIs" dxfId="223" priority="233" stopIfTrue="1" operator="lessThan">
      <formula>0</formula>
    </cfRule>
    <cfRule type="cellIs" dxfId="222" priority="234" stopIfTrue="1" operator="equal">
      <formula>0</formula>
    </cfRule>
  </conditionalFormatting>
  <conditionalFormatting sqref="G11">
    <cfRule type="cellIs" dxfId="221" priority="226" stopIfTrue="1" operator="greaterThan">
      <formula>0</formula>
    </cfRule>
    <cfRule type="cellIs" dxfId="220" priority="227" stopIfTrue="1" operator="lessThan">
      <formula>0</formula>
    </cfRule>
    <cfRule type="cellIs" dxfId="219" priority="228" stopIfTrue="1" operator="equal">
      <formula>0</formula>
    </cfRule>
  </conditionalFormatting>
  <conditionalFormatting sqref="G11">
    <cfRule type="cellIs" dxfId="218" priority="223" operator="equal">
      <formula>0</formula>
    </cfRule>
    <cfRule type="cellIs" dxfId="217" priority="224" operator="lessThan">
      <formula>0</formula>
    </cfRule>
    <cfRule type="cellIs" dxfId="216" priority="225" operator="greaterThan">
      <formula>0</formula>
    </cfRule>
  </conditionalFormatting>
  <conditionalFormatting sqref="G28 G33:G41">
    <cfRule type="cellIs" dxfId="215" priority="214" stopIfTrue="1" operator="greaterThan">
      <formula>0</formula>
    </cfRule>
    <cfRule type="cellIs" dxfId="214" priority="215" stopIfTrue="1" operator="lessThan">
      <formula>0</formula>
    </cfRule>
    <cfRule type="cellIs" dxfId="213" priority="216" stopIfTrue="1" operator="equal">
      <formula>0</formula>
    </cfRule>
  </conditionalFormatting>
  <conditionalFormatting sqref="G28 G33:G41">
    <cfRule type="cellIs" dxfId="212" priority="211" operator="equal">
      <formula>0</formula>
    </cfRule>
    <cfRule type="cellIs" dxfId="211" priority="212" operator="lessThan">
      <formula>0</formula>
    </cfRule>
    <cfRule type="cellIs" dxfId="210" priority="213" operator="greaterThan">
      <formula>0</formula>
    </cfRule>
  </conditionalFormatting>
  <conditionalFormatting sqref="G29">
    <cfRule type="cellIs" dxfId="209" priority="208" stopIfTrue="1" operator="greaterThan">
      <formula>0</formula>
    </cfRule>
    <cfRule type="cellIs" dxfId="208" priority="209" stopIfTrue="1" operator="lessThan">
      <formula>0</formula>
    </cfRule>
    <cfRule type="cellIs" dxfId="207" priority="210" stopIfTrue="1" operator="equal">
      <formula>0</formula>
    </cfRule>
  </conditionalFormatting>
  <conditionalFormatting sqref="G29">
    <cfRule type="cellIs" dxfId="206" priority="205" operator="equal">
      <formula>0</formula>
    </cfRule>
    <cfRule type="cellIs" dxfId="205" priority="206" operator="lessThan">
      <formula>0</formula>
    </cfRule>
    <cfRule type="cellIs" dxfId="204" priority="207" operator="greaterThan">
      <formula>0</formula>
    </cfRule>
  </conditionalFormatting>
  <conditionalFormatting sqref="E124:E149">
    <cfRule type="cellIs" dxfId="203" priority="199" operator="equal">
      <formula>0</formula>
    </cfRule>
    <cfRule type="cellIs" dxfId="202" priority="200" operator="lessThan">
      <formula>0</formula>
    </cfRule>
    <cfRule type="cellIs" dxfId="201" priority="201" operator="greaterThan">
      <formula>0</formula>
    </cfRule>
  </conditionalFormatting>
  <conditionalFormatting sqref="E124:E149">
    <cfRule type="cellIs" dxfId="200" priority="202" stopIfTrue="1" operator="greaterThan">
      <formula>0</formula>
    </cfRule>
    <cfRule type="cellIs" dxfId="199" priority="203" stopIfTrue="1" operator="lessThan">
      <formula>0</formula>
    </cfRule>
    <cfRule type="cellIs" dxfId="198" priority="204" stopIfTrue="1" operator="equal">
      <formula>0</formula>
    </cfRule>
  </conditionalFormatting>
  <conditionalFormatting sqref="G124:G149 I124:I149 K124:K149 M124:M149">
    <cfRule type="cellIs" dxfId="197" priority="193" operator="equal">
      <formula>0</formula>
    </cfRule>
    <cfRule type="cellIs" dxfId="196" priority="194" operator="lessThan">
      <formula>0</formula>
    </cfRule>
    <cfRule type="cellIs" dxfId="195" priority="195" operator="greaterThan">
      <formula>0</formula>
    </cfRule>
  </conditionalFormatting>
  <conditionalFormatting sqref="G124:G149 I124:I149 K124:K149 M124:M149">
    <cfRule type="cellIs" dxfId="194" priority="196" stopIfTrue="1" operator="greaterThan">
      <formula>0</formula>
    </cfRule>
    <cfRule type="cellIs" dxfId="193" priority="197" stopIfTrue="1" operator="lessThan">
      <formula>0</formula>
    </cfRule>
    <cfRule type="cellIs" dxfId="192" priority="198" stopIfTrue="1" operator="equal">
      <formula>0</formula>
    </cfRule>
  </conditionalFormatting>
  <conditionalFormatting sqref="E156:E181">
    <cfRule type="cellIs" dxfId="191" priority="187" operator="equal">
      <formula>0</formula>
    </cfRule>
    <cfRule type="cellIs" dxfId="190" priority="188" operator="lessThan">
      <formula>0</formula>
    </cfRule>
    <cfRule type="cellIs" dxfId="189" priority="189" operator="greaterThan">
      <formula>0</formula>
    </cfRule>
  </conditionalFormatting>
  <conditionalFormatting sqref="E156:E181">
    <cfRule type="cellIs" dxfId="188" priority="190" stopIfTrue="1" operator="greaterThan">
      <formula>0</formula>
    </cfRule>
    <cfRule type="cellIs" dxfId="187" priority="191" stopIfTrue="1" operator="lessThan">
      <formula>0</formula>
    </cfRule>
    <cfRule type="cellIs" dxfId="186" priority="192" stopIfTrue="1" operator="equal">
      <formula>0</formula>
    </cfRule>
  </conditionalFormatting>
  <conditionalFormatting sqref="G156:G181 I156:I181 K156:K181 M156:M181">
    <cfRule type="cellIs" dxfId="185" priority="181" operator="equal">
      <formula>0</formula>
    </cfRule>
    <cfRule type="cellIs" dxfId="184" priority="182" operator="lessThan">
      <formula>0</formula>
    </cfRule>
    <cfRule type="cellIs" dxfId="183" priority="183" operator="greaterThan">
      <formula>0</formula>
    </cfRule>
  </conditionalFormatting>
  <conditionalFormatting sqref="G156:G181 I156:I181 K156:K181 M156:M181">
    <cfRule type="cellIs" dxfId="182" priority="184" stopIfTrue="1" operator="greaterThan">
      <formula>0</formula>
    </cfRule>
    <cfRule type="cellIs" dxfId="181" priority="185" stopIfTrue="1" operator="lessThan">
      <formula>0</formula>
    </cfRule>
    <cfRule type="cellIs" dxfId="180" priority="186" stopIfTrue="1" operator="equal">
      <formula>0</formula>
    </cfRule>
  </conditionalFormatting>
  <conditionalFormatting sqref="L86">
    <cfRule type="cellIs" dxfId="179" priority="175" operator="equal">
      <formula>0</formula>
    </cfRule>
    <cfRule type="cellIs" dxfId="178" priority="176" operator="lessThan">
      <formula>0</formula>
    </cfRule>
    <cfRule type="cellIs" dxfId="177" priority="177" operator="greaterThan">
      <formula>0</formula>
    </cfRule>
  </conditionalFormatting>
  <conditionalFormatting sqref="L86">
    <cfRule type="cellIs" dxfId="176" priority="178" stopIfTrue="1" operator="greaterThan">
      <formula>0</formula>
    </cfRule>
    <cfRule type="cellIs" dxfId="175" priority="179" stopIfTrue="1" operator="lessThan">
      <formula>0</formula>
    </cfRule>
    <cfRule type="cellIs" dxfId="174" priority="180" stopIfTrue="1" operator="equal">
      <formula>0</formula>
    </cfRule>
  </conditionalFormatting>
  <conditionalFormatting sqref="G12:G13">
    <cfRule type="cellIs" dxfId="173" priority="172" stopIfTrue="1" operator="greaterThan">
      <formula>0</formula>
    </cfRule>
    <cfRule type="cellIs" dxfId="172" priority="173" stopIfTrue="1" operator="lessThan">
      <formula>0</formula>
    </cfRule>
    <cfRule type="cellIs" dxfId="171" priority="174" stopIfTrue="1" operator="equal">
      <formula>0</formula>
    </cfRule>
  </conditionalFormatting>
  <conditionalFormatting sqref="G12:G13">
    <cfRule type="cellIs" dxfId="170" priority="169" operator="equal">
      <formula>0</formula>
    </cfRule>
    <cfRule type="cellIs" dxfId="169" priority="170" operator="lessThan">
      <formula>0</formula>
    </cfRule>
    <cfRule type="cellIs" dxfId="168" priority="171" operator="greaterThan">
      <formula>0</formula>
    </cfRule>
  </conditionalFormatting>
  <conditionalFormatting sqref="G12:G13">
    <cfRule type="cellIs" dxfId="167" priority="166" stopIfTrue="1" operator="greaterThan">
      <formula>0</formula>
    </cfRule>
    <cfRule type="cellIs" dxfId="166" priority="167" stopIfTrue="1" operator="lessThan">
      <formula>0</formula>
    </cfRule>
    <cfRule type="cellIs" dxfId="165" priority="168" stopIfTrue="1" operator="equal">
      <formula>0</formula>
    </cfRule>
  </conditionalFormatting>
  <conditionalFormatting sqref="G12:G13">
    <cfRule type="cellIs" dxfId="164" priority="163" operator="equal">
      <formula>0</formula>
    </cfRule>
    <cfRule type="cellIs" dxfId="163" priority="164" operator="lessThan">
      <formula>0</formula>
    </cfRule>
    <cfRule type="cellIs" dxfId="162" priority="165" operator="greaterThan">
      <formula>0</formula>
    </cfRule>
  </conditionalFormatting>
  <conditionalFormatting sqref="L12:L13">
    <cfRule type="cellIs" dxfId="161" priority="157" operator="equal">
      <formula>0</formula>
    </cfRule>
    <cfRule type="cellIs" dxfId="160" priority="158" operator="lessThan">
      <formula>0</formula>
    </cfRule>
    <cfRule type="cellIs" dxfId="159" priority="159" operator="greaterThan">
      <formula>0</formula>
    </cfRule>
  </conditionalFormatting>
  <conditionalFormatting sqref="L12:L13">
    <cfRule type="cellIs" dxfId="158" priority="160" stopIfTrue="1" operator="greaterThan">
      <formula>0</formula>
    </cfRule>
    <cfRule type="cellIs" dxfId="157" priority="161" stopIfTrue="1" operator="lessThan">
      <formula>0</formula>
    </cfRule>
    <cfRule type="cellIs" dxfId="156" priority="162" stopIfTrue="1" operator="equal">
      <formula>0</formula>
    </cfRule>
  </conditionalFormatting>
  <conditionalFormatting sqref="G30:G31">
    <cfRule type="cellIs" dxfId="155" priority="148" stopIfTrue="1" operator="greaterThan">
      <formula>0</formula>
    </cfRule>
    <cfRule type="cellIs" dxfId="154" priority="149" stopIfTrue="1" operator="lessThan">
      <formula>0</formula>
    </cfRule>
    <cfRule type="cellIs" dxfId="153" priority="150" stopIfTrue="1" operator="equal">
      <formula>0</formula>
    </cfRule>
  </conditionalFormatting>
  <conditionalFormatting sqref="G30:G31">
    <cfRule type="cellIs" dxfId="152" priority="145" operator="equal">
      <formula>0</formula>
    </cfRule>
    <cfRule type="cellIs" dxfId="151" priority="146" operator="lessThan">
      <formula>0</formula>
    </cfRule>
    <cfRule type="cellIs" dxfId="150" priority="147" operator="greaterThan">
      <formula>0</formula>
    </cfRule>
  </conditionalFormatting>
  <conditionalFormatting sqref="L30:L31">
    <cfRule type="cellIs" dxfId="149" priority="151" operator="equal">
      <formula>0</formula>
    </cfRule>
    <cfRule type="cellIs" dxfId="148" priority="152" operator="lessThan">
      <formula>0</formula>
    </cfRule>
    <cfRule type="cellIs" dxfId="147" priority="153" operator="greaterThan">
      <formula>0</formula>
    </cfRule>
  </conditionalFormatting>
  <conditionalFormatting sqref="L30:L31">
    <cfRule type="cellIs" dxfId="146" priority="154" stopIfTrue="1" operator="greaterThan">
      <formula>0</formula>
    </cfRule>
    <cfRule type="cellIs" dxfId="145" priority="155" stopIfTrue="1" operator="lessThan">
      <formula>0</formula>
    </cfRule>
    <cfRule type="cellIs" dxfId="144" priority="156" stopIfTrue="1" operator="equal">
      <formula>0</formula>
    </cfRule>
  </conditionalFormatting>
  <conditionalFormatting sqref="G30:G31">
    <cfRule type="cellIs" dxfId="143" priority="142" stopIfTrue="1" operator="greaterThan">
      <formula>0</formula>
    </cfRule>
    <cfRule type="cellIs" dxfId="142" priority="143" stopIfTrue="1" operator="lessThan">
      <formula>0</formula>
    </cfRule>
    <cfRule type="cellIs" dxfId="141" priority="144" stopIfTrue="1" operator="equal">
      <formula>0</formula>
    </cfRule>
  </conditionalFormatting>
  <conditionalFormatting sqref="G30:G31">
    <cfRule type="cellIs" dxfId="140" priority="139" operator="equal">
      <formula>0</formula>
    </cfRule>
    <cfRule type="cellIs" dxfId="139" priority="140" operator="lessThan">
      <formula>0</formula>
    </cfRule>
    <cfRule type="cellIs" dxfId="138" priority="141" operator="greaterThan">
      <formula>0</formula>
    </cfRule>
  </conditionalFormatting>
  <conditionalFormatting sqref="G48:G49">
    <cfRule type="cellIs" dxfId="137" priority="136" stopIfTrue="1" operator="greaterThan">
      <formula>0</formula>
    </cfRule>
    <cfRule type="cellIs" dxfId="136" priority="137" stopIfTrue="1" operator="lessThan">
      <formula>0</formula>
    </cfRule>
    <cfRule type="cellIs" dxfId="135" priority="138" stopIfTrue="1" operator="equal">
      <formula>0</formula>
    </cfRule>
  </conditionalFormatting>
  <conditionalFormatting sqref="G48:G49">
    <cfRule type="cellIs" dxfId="134" priority="133" operator="equal">
      <formula>0</formula>
    </cfRule>
    <cfRule type="cellIs" dxfId="133" priority="134" operator="lessThan">
      <formula>0</formula>
    </cfRule>
    <cfRule type="cellIs" dxfId="132" priority="135" operator="greaterThan">
      <formula>0</formula>
    </cfRule>
  </conditionalFormatting>
  <conditionalFormatting sqref="G48:G49">
    <cfRule type="cellIs" dxfId="131" priority="130" stopIfTrue="1" operator="greaterThan">
      <formula>0</formula>
    </cfRule>
    <cfRule type="cellIs" dxfId="130" priority="131" stopIfTrue="1" operator="lessThan">
      <formula>0</formula>
    </cfRule>
    <cfRule type="cellIs" dxfId="129" priority="132" stopIfTrue="1" operator="equal">
      <formula>0</formula>
    </cfRule>
  </conditionalFormatting>
  <conditionalFormatting sqref="G48:G49">
    <cfRule type="cellIs" dxfId="128" priority="127" operator="equal">
      <formula>0</formula>
    </cfRule>
    <cfRule type="cellIs" dxfId="127" priority="128" operator="lessThan">
      <formula>0</formula>
    </cfRule>
    <cfRule type="cellIs" dxfId="126" priority="129" operator="greaterThan">
      <formula>0</formula>
    </cfRule>
  </conditionalFormatting>
  <conditionalFormatting sqref="L48:L49">
    <cfRule type="cellIs" dxfId="125" priority="121" operator="equal">
      <formula>0</formula>
    </cfRule>
    <cfRule type="cellIs" dxfId="124" priority="122" operator="lessThan">
      <formula>0</formula>
    </cfRule>
    <cfRule type="cellIs" dxfId="123" priority="123" operator="greaterThan">
      <formula>0</formula>
    </cfRule>
  </conditionalFormatting>
  <conditionalFormatting sqref="L48:L49">
    <cfRule type="cellIs" dxfId="122" priority="124" stopIfTrue="1" operator="greaterThan">
      <formula>0</formula>
    </cfRule>
    <cfRule type="cellIs" dxfId="121" priority="125" stopIfTrue="1" operator="lessThan">
      <formula>0</formula>
    </cfRule>
    <cfRule type="cellIs" dxfId="120" priority="126" stopIfTrue="1" operator="equal">
      <formula>0</formula>
    </cfRule>
  </conditionalFormatting>
  <conditionalFormatting sqref="G71:G72">
    <cfRule type="cellIs" dxfId="119" priority="118" stopIfTrue="1" operator="greaterThan">
      <formula>0</formula>
    </cfRule>
    <cfRule type="cellIs" dxfId="118" priority="119" stopIfTrue="1" operator="lessThan">
      <formula>0</formula>
    </cfRule>
    <cfRule type="cellIs" dxfId="117" priority="120" stopIfTrue="1" operator="equal">
      <formula>0</formula>
    </cfRule>
  </conditionalFormatting>
  <conditionalFormatting sqref="G71:G72">
    <cfRule type="cellIs" dxfId="116" priority="115" operator="equal">
      <formula>0</formula>
    </cfRule>
    <cfRule type="cellIs" dxfId="115" priority="116" operator="lessThan">
      <formula>0</formula>
    </cfRule>
    <cfRule type="cellIs" dxfId="114" priority="117" operator="greaterThan">
      <formula>0</formula>
    </cfRule>
  </conditionalFormatting>
  <conditionalFormatting sqref="G71:G72">
    <cfRule type="cellIs" dxfId="113" priority="112" stopIfTrue="1" operator="greaterThan">
      <formula>0</formula>
    </cfRule>
    <cfRule type="cellIs" dxfId="112" priority="113" stopIfTrue="1" operator="lessThan">
      <formula>0</formula>
    </cfRule>
    <cfRule type="cellIs" dxfId="111" priority="114" stopIfTrue="1" operator="equal">
      <formula>0</formula>
    </cfRule>
  </conditionalFormatting>
  <conditionalFormatting sqref="G71:G72">
    <cfRule type="cellIs" dxfId="110" priority="109" operator="equal">
      <formula>0</formula>
    </cfRule>
    <cfRule type="cellIs" dxfId="109" priority="110" operator="lessThan">
      <formula>0</formula>
    </cfRule>
    <cfRule type="cellIs" dxfId="108" priority="111" operator="greaterThan">
      <formula>0</formula>
    </cfRule>
  </conditionalFormatting>
  <conditionalFormatting sqref="L71:L72">
    <cfRule type="cellIs" dxfId="107" priority="103" operator="equal">
      <formula>0</formula>
    </cfRule>
    <cfRule type="cellIs" dxfId="106" priority="104" operator="lessThan">
      <formula>0</formula>
    </cfRule>
    <cfRule type="cellIs" dxfId="105" priority="105" operator="greaterThan">
      <formula>0</formula>
    </cfRule>
  </conditionalFormatting>
  <conditionalFormatting sqref="L71:L72">
    <cfRule type="cellIs" dxfId="104" priority="106" stopIfTrue="1" operator="greaterThan">
      <formula>0</formula>
    </cfRule>
    <cfRule type="cellIs" dxfId="103" priority="107" stopIfTrue="1" operator="lessThan">
      <formula>0</formula>
    </cfRule>
    <cfRule type="cellIs" dxfId="102" priority="108" stopIfTrue="1" operator="equal">
      <formula>0</formula>
    </cfRule>
  </conditionalFormatting>
  <conditionalFormatting sqref="G14">
    <cfRule type="cellIs" dxfId="101" priority="100" stopIfTrue="1" operator="greaterThan">
      <formula>0</formula>
    </cfRule>
    <cfRule type="cellIs" dxfId="100" priority="101" stopIfTrue="1" operator="lessThan">
      <formula>0</formula>
    </cfRule>
    <cfRule type="cellIs" dxfId="99" priority="102" stopIfTrue="1" operator="equal">
      <formula>0</formula>
    </cfRule>
  </conditionalFormatting>
  <conditionalFormatting sqref="G14">
    <cfRule type="cellIs" dxfId="98" priority="97" operator="equal">
      <formula>0</formula>
    </cfRule>
    <cfRule type="cellIs" dxfId="97" priority="98" operator="lessThan">
      <formula>0</formula>
    </cfRule>
    <cfRule type="cellIs" dxfId="96" priority="99" operator="greaterThan">
      <formula>0</formula>
    </cfRule>
  </conditionalFormatting>
  <conditionalFormatting sqref="G14">
    <cfRule type="cellIs" dxfId="95" priority="94" stopIfTrue="1" operator="greaterThan">
      <formula>0</formula>
    </cfRule>
    <cfRule type="cellIs" dxfId="94" priority="95" stopIfTrue="1" operator="lessThan">
      <formula>0</formula>
    </cfRule>
    <cfRule type="cellIs" dxfId="93" priority="96" stopIfTrue="1" operator="equal">
      <formula>0</formula>
    </cfRule>
  </conditionalFormatting>
  <conditionalFormatting sqref="G14">
    <cfRule type="cellIs" dxfId="92" priority="91" operator="equal">
      <formula>0</formula>
    </cfRule>
    <cfRule type="cellIs" dxfId="91" priority="92" operator="lessThan">
      <formula>0</formula>
    </cfRule>
    <cfRule type="cellIs" dxfId="90" priority="93" operator="greaterThan">
      <formula>0</formula>
    </cfRule>
  </conditionalFormatting>
  <conditionalFormatting sqref="L14">
    <cfRule type="cellIs" dxfId="89" priority="85" operator="equal">
      <formula>0</formula>
    </cfRule>
    <cfRule type="cellIs" dxfId="88" priority="86" operator="lessThan">
      <formula>0</formula>
    </cfRule>
    <cfRule type="cellIs" dxfId="87" priority="87" operator="greaterThan">
      <formula>0</formula>
    </cfRule>
  </conditionalFormatting>
  <conditionalFormatting sqref="L14">
    <cfRule type="cellIs" dxfId="86" priority="88" stopIfTrue="1" operator="greaterThan">
      <formula>0</formula>
    </cfRule>
    <cfRule type="cellIs" dxfId="85" priority="89" stopIfTrue="1" operator="lessThan">
      <formula>0</formula>
    </cfRule>
    <cfRule type="cellIs" dxfId="84" priority="90" stopIfTrue="1" operator="equal">
      <formula>0</formula>
    </cfRule>
  </conditionalFormatting>
  <conditionalFormatting sqref="G32">
    <cfRule type="cellIs" dxfId="83" priority="82" stopIfTrue="1" operator="greaterThan">
      <formula>0</formula>
    </cfRule>
    <cfRule type="cellIs" dxfId="82" priority="83" stopIfTrue="1" operator="lessThan">
      <formula>0</formula>
    </cfRule>
    <cfRule type="cellIs" dxfId="81" priority="84" stopIfTrue="1" operator="equal">
      <formula>0</formula>
    </cfRule>
  </conditionalFormatting>
  <conditionalFormatting sqref="G32">
    <cfRule type="cellIs" dxfId="80" priority="79" operator="equal">
      <formula>0</formula>
    </cfRule>
    <cfRule type="cellIs" dxfId="79" priority="80" operator="lessThan">
      <formula>0</formula>
    </cfRule>
    <cfRule type="cellIs" dxfId="78" priority="81" operator="greaterThan">
      <formula>0</formula>
    </cfRule>
  </conditionalFormatting>
  <conditionalFormatting sqref="G32">
    <cfRule type="cellIs" dxfId="77" priority="76" stopIfTrue="1" operator="greaterThan">
      <formula>0</formula>
    </cfRule>
    <cfRule type="cellIs" dxfId="76" priority="77" stopIfTrue="1" operator="lessThan">
      <formula>0</formula>
    </cfRule>
    <cfRule type="cellIs" dxfId="75" priority="78" stopIfTrue="1" operator="equal">
      <formula>0</formula>
    </cfRule>
  </conditionalFormatting>
  <conditionalFormatting sqref="G32">
    <cfRule type="cellIs" dxfId="74" priority="73" operator="equal">
      <formula>0</formula>
    </cfRule>
    <cfRule type="cellIs" dxfId="73" priority="74" operator="lessThan">
      <formula>0</formula>
    </cfRule>
    <cfRule type="cellIs" dxfId="72" priority="75" operator="greaterThan">
      <formula>0</formula>
    </cfRule>
  </conditionalFormatting>
  <conditionalFormatting sqref="L32">
    <cfRule type="cellIs" dxfId="71" priority="67" operator="equal">
      <formula>0</formula>
    </cfRule>
    <cfRule type="cellIs" dxfId="70" priority="68" operator="lessThan">
      <formula>0</formula>
    </cfRule>
    <cfRule type="cellIs" dxfId="69" priority="69" operator="greaterThan">
      <formula>0</formula>
    </cfRule>
  </conditionalFormatting>
  <conditionalFormatting sqref="L32">
    <cfRule type="cellIs" dxfId="68" priority="70" stopIfTrue="1" operator="greaterThan">
      <formula>0</formula>
    </cfRule>
    <cfRule type="cellIs" dxfId="67" priority="71" stopIfTrue="1" operator="lessThan">
      <formula>0</formula>
    </cfRule>
    <cfRule type="cellIs" dxfId="66" priority="72" stopIfTrue="1" operator="equal">
      <formula>0</formula>
    </cfRule>
  </conditionalFormatting>
  <conditionalFormatting sqref="G50">
    <cfRule type="cellIs" dxfId="65" priority="64" stopIfTrue="1" operator="greaterThan">
      <formula>0</formula>
    </cfRule>
    <cfRule type="cellIs" dxfId="64" priority="65" stopIfTrue="1" operator="lessThan">
      <formula>0</formula>
    </cfRule>
    <cfRule type="cellIs" dxfId="63" priority="66" stopIfTrue="1" operator="equal">
      <formula>0</formula>
    </cfRule>
  </conditionalFormatting>
  <conditionalFormatting sqref="G50">
    <cfRule type="cellIs" dxfId="62" priority="61" operator="equal">
      <formula>0</formula>
    </cfRule>
    <cfRule type="cellIs" dxfId="61" priority="62" operator="lessThan">
      <formula>0</formula>
    </cfRule>
    <cfRule type="cellIs" dxfId="60" priority="63" operator="greaterThan">
      <formula>0</formula>
    </cfRule>
  </conditionalFormatting>
  <conditionalFormatting sqref="G50">
    <cfRule type="cellIs" dxfId="59" priority="58" stopIfTrue="1" operator="greaterThan">
      <formula>0</formula>
    </cfRule>
    <cfRule type="cellIs" dxfId="58" priority="59" stopIfTrue="1" operator="lessThan">
      <formula>0</formula>
    </cfRule>
    <cfRule type="cellIs" dxfId="57" priority="60" stopIfTrue="1" operator="equal">
      <formula>0</formula>
    </cfRule>
  </conditionalFormatting>
  <conditionalFormatting sqref="G50">
    <cfRule type="cellIs" dxfId="56" priority="55" operator="equal">
      <formula>0</formula>
    </cfRule>
    <cfRule type="cellIs" dxfId="55" priority="56" operator="lessThan">
      <formula>0</formula>
    </cfRule>
    <cfRule type="cellIs" dxfId="54" priority="57" operator="greaterThan">
      <formula>0</formula>
    </cfRule>
  </conditionalFormatting>
  <conditionalFormatting sqref="L50">
    <cfRule type="cellIs" dxfId="53" priority="49" operator="equal">
      <formula>0</formula>
    </cfRule>
    <cfRule type="cellIs" dxfId="52" priority="50" operator="lessThan">
      <formula>0</formula>
    </cfRule>
    <cfRule type="cellIs" dxfId="51" priority="51" operator="greaterThan">
      <formula>0</formula>
    </cfRule>
  </conditionalFormatting>
  <conditionalFormatting sqref="L50">
    <cfRule type="cellIs" dxfId="50" priority="52" stopIfTrue="1" operator="greaterThan">
      <formula>0</formula>
    </cfRule>
    <cfRule type="cellIs" dxfId="49" priority="53" stopIfTrue="1" operator="lessThan">
      <formula>0</formula>
    </cfRule>
    <cfRule type="cellIs" dxfId="48" priority="54" stopIfTrue="1" operator="equal">
      <formula>0</formula>
    </cfRule>
  </conditionalFormatting>
  <conditionalFormatting sqref="G73">
    <cfRule type="cellIs" dxfId="47" priority="46" stopIfTrue="1" operator="greaterThan">
      <formula>0</formula>
    </cfRule>
    <cfRule type="cellIs" dxfId="46" priority="47" stopIfTrue="1" operator="lessThan">
      <formula>0</formula>
    </cfRule>
    <cfRule type="cellIs" dxfId="45" priority="48" stopIfTrue="1" operator="equal">
      <formula>0</formula>
    </cfRule>
  </conditionalFormatting>
  <conditionalFormatting sqref="G73">
    <cfRule type="cellIs" dxfId="44" priority="43" operator="equal">
      <formula>0</formula>
    </cfRule>
    <cfRule type="cellIs" dxfId="43" priority="44" operator="lessThan">
      <formula>0</formula>
    </cfRule>
    <cfRule type="cellIs" dxfId="42" priority="45" operator="greaterThan">
      <formula>0</formula>
    </cfRule>
  </conditionalFormatting>
  <conditionalFormatting sqref="G73">
    <cfRule type="cellIs" dxfId="41" priority="40" stopIfTrue="1" operator="greaterThan">
      <formula>0</formula>
    </cfRule>
    <cfRule type="cellIs" dxfId="40" priority="41" stopIfTrue="1" operator="lessThan">
      <formula>0</formula>
    </cfRule>
    <cfRule type="cellIs" dxfId="39" priority="42" stopIfTrue="1" operator="equal">
      <formula>0</formula>
    </cfRule>
  </conditionalFormatting>
  <conditionalFormatting sqref="G73">
    <cfRule type="cellIs" dxfId="38" priority="37" operator="equal">
      <formula>0</formula>
    </cfRule>
    <cfRule type="cellIs" dxfId="37" priority="38" operator="lessThan">
      <formula>0</formula>
    </cfRule>
    <cfRule type="cellIs" dxfId="36" priority="39" operator="greaterThan">
      <formula>0</formula>
    </cfRule>
  </conditionalFormatting>
  <conditionalFormatting sqref="L73">
    <cfRule type="cellIs" dxfId="35" priority="31" operator="equal">
      <formula>0</formula>
    </cfRule>
    <cfRule type="cellIs" dxfId="34" priority="32" operator="lessThan">
      <formula>0</formula>
    </cfRule>
    <cfRule type="cellIs" dxfId="33" priority="33" operator="greaterThan">
      <formula>0</formula>
    </cfRule>
  </conditionalFormatting>
  <conditionalFormatting sqref="L73">
    <cfRule type="cellIs" dxfId="32" priority="34" stopIfTrue="1" operator="greaterThan">
      <formula>0</formula>
    </cfRule>
    <cfRule type="cellIs" dxfId="31" priority="35" stopIfTrue="1" operator="lessThan">
      <formula>0</formula>
    </cfRule>
    <cfRule type="cellIs" dxfId="30" priority="36" stopIfTrue="1" operator="equal">
      <formula>0</formula>
    </cfRule>
  </conditionalFormatting>
  <conditionalFormatting sqref="G290:G292">
    <cfRule type="cellIs" dxfId="29" priority="25" operator="equal">
      <formula>0</formula>
    </cfRule>
    <cfRule type="cellIs" dxfId="28" priority="26" operator="lessThan">
      <formula>0</formula>
    </cfRule>
    <cfRule type="cellIs" dxfId="27" priority="27" operator="greaterThan">
      <formula>0</formula>
    </cfRule>
  </conditionalFormatting>
  <conditionalFormatting sqref="G290:G292">
    <cfRule type="cellIs" dxfId="26" priority="28" stopIfTrue="1" operator="greaterThan">
      <formula>0</formula>
    </cfRule>
    <cfRule type="cellIs" dxfId="25" priority="29" stopIfTrue="1" operator="lessThan">
      <formula>0</formula>
    </cfRule>
    <cfRule type="cellIs" dxfId="24" priority="30" stopIfTrue="1" operator="equal">
      <formula>0</formula>
    </cfRule>
  </conditionalFormatting>
  <conditionalFormatting sqref="G278">
    <cfRule type="cellIs" dxfId="23" priority="19" operator="equal">
      <formula>0</formula>
    </cfRule>
    <cfRule type="cellIs" dxfId="22" priority="20" operator="lessThan">
      <formula>0</formula>
    </cfRule>
    <cfRule type="cellIs" dxfId="21" priority="21" operator="greaterThan">
      <formula>0</formula>
    </cfRule>
  </conditionalFormatting>
  <conditionalFormatting sqref="G278">
    <cfRule type="cellIs" dxfId="20" priority="22" stopIfTrue="1" operator="greaterThan">
      <formula>0</formula>
    </cfRule>
    <cfRule type="cellIs" dxfId="19" priority="23" stopIfTrue="1" operator="lessThan">
      <formula>0</formula>
    </cfRule>
    <cfRule type="cellIs" dxfId="18" priority="24" stopIfTrue="1" operator="equal">
      <formula>0</formula>
    </cfRule>
  </conditionalFormatting>
  <conditionalFormatting sqref="G279">
    <cfRule type="cellIs" dxfId="17" priority="13" operator="equal">
      <formula>0</formula>
    </cfRule>
    <cfRule type="cellIs" dxfId="16" priority="14" operator="lessThan">
      <formula>0</formula>
    </cfRule>
    <cfRule type="cellIs" dxfId="15" priority="15" operator="greaterThan">
      <formula>0</formula>
    </cfRule>
  </conditionalFormatting>
  <conditionalFormatting sqref="G279">
    <cfRule type="cellIs" dxfId="14" priority="16" stopIfTrue="1" operator="greaterThan">
      <formula>0</formula>
    </cfRule>
    <cfRule type="cellIs" dxfId="13" priority="17" stopIfTrue="1" operator="lessThan">
      <formula>0</formula>
    </cfRule>
    <cfRule type="cellIs" dxfId="12" priority="18" stopIfTrue="1" operator="equal">
      <formula>0</formula>
    </cfRule>
  </conditionalFormatting>
  <conditionalFormatting sqref="G280:G283">
    <cfRule type="cellIs" dxfId="11" priority="7" operator="equal">
      <formula>0</formula>
    </cfRule>
    <cfRule type="cellIs" dxfId="10" priority="8" operator="lessThan">
      <formula>0</formula>
    </cfRule>
    <cfRule type="cellIs" dxfId="9" priority="9" operator="greaterThan">
      <formula>0</formula>
    </cfRule>
  </conditionalFormatting>
  <conditionalFormatting sqref="G280:G283">
    <cfRule type="cellIs" dxfId="8" priority="10" stopIfTrue="1" operator="greaterThan">
      <formula>0</formula>
    </cfRule>
    <cfRule type="cellIs" dxfId="7" priority="11" stopIfTrue="1" operator="lessThan">
      <formula>0</formula>
    </cfRule>
    <cfRule type="cellIs" dxfId="6" priority="12" stopIfTrue="1" operator="equal">
      <formula>0</formula>
    </cfRule>
  </conditionalFormatting>
  <conditionalFormatting sqref="G316:G317">
    <cfRule type="cellIs" dxfId="5" priority="1" operator="equal">
      <formula>0</formula>
    </cfRule>
    <cfRule type="cellIs" dxfId="4" priority="2" operator="lessThan">
      <formula>0</formula>
    </cfRule>
    <cfRule type="cellIs" dxfId="3" priority="3" operator="greaterThan">
      <formula>0</formula>
    </cfRule>
  </conditionalFormatting>
  <conditionalFormatting sqref="G316:G317">
    <cfRule type="cellIs" dxfId="2" priority="4" stopIfTrue="1" operator="greaterThan">
      <formula>0</formula>
    </cfRule>
    <cfRule type="cellIs" dxfId="1" priority="5" stopIfTrue="1" operator="lessThan">
      <formula>0</formula>
    </cfRule>
    <cfRule type="cellIs" dxfId="0" priority="6" stopIfTrue="1" operator="equal">
      <formula>0</formula>
    </cfRule>
  </conditionalFormatting>
  <printOptions horizontalCentered="1"/>
  <pageMargins left="0.31496062992125984" right="0.19685039370078741" top="0.35433070866141736" bottom="0" header="0.39370078740157483" footer="0"/>
  <pageSetup paperSize="9" scale="51" fitToHeight="5" orientation="portrait" r:id="rId1"/>
  <headerFooter alignWithMargins="0">
    <oddFooter>&amp;R&amp;P</oddFooter>
  </headerFooter>
  <rowBreaks count="4" manualBreakCount="4">
    <brk id="60" min="2" max="12" man="1"/>
    <brk id="115" min="2" max="12" man="1"/>
    <brk id="181" min="2" max="12" man="1"/>
    <brk id="293" min="2" max="12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s xmlns="36c86fb7-c3ab-4219-b2b9-06651c03637a">abril</mes>
    <year xmlns="36c86fb7-c3ab-4219-b2b9-06651c03637a">2018</year>
    <PublishingExpirationDate xmlns="http://schemas.microsoft.com/sharepoint/v3" xsi:nil="true"/>
    <DocumentoAdjunto1_mercado_cp xmlns="8b099203-c902-4a5b-992f-1f849b15ff82" xsi:nil="true"/>
    <DestacadoHome xmlns="8b099203-c902-4a5b-992f-1f849b15ff82">No</DestacadoHome>
    <PublishingStartDate xmlns="http://schemas.microsoft.com/sharepoint/v3">2018-06-01T16:25:40+00:00</PublishingStartDate>
    <_dlc_DocId xmlns="8b099203-c902-4a5b-992f-1f849b15ff82">Q5F7QW3RQ55V-2035-382</_dlc_DocId>
    <_dlc_DocIdUrl xmlns="8b099203-c902-4a5b-992f-1f849b15ff82">
      <Url>http://admin.webtenerife.com/es/investigacion/Situacion-turistica/indicadores-turisticos/_layouts/DocIdRedir.aspx?ID=Q5F7QW3RQ55V-2035-382</Url>
      <Description>Q5F7QW3RQ55V-2035-382</Description>
    </_dlc_DocIdUrl>
    <Pagina xmlns="36c86fb7-c3ab-4219-b2b9-06651c03637a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E64779473284F558EE892CC72B462DF" ma:contentTypeVersion="64" ma:contentTypeDescription="Crear nuevo documento." ma:contentTypeScope="" ma:versionID="bac0caf040eca5efa545ce325427ca51">
  <xsd:schema xmlns:xsd="http://www.w3.org/2001/XMLSchema" xmlns:xs="http://www.w3.org/2001/XMLSchema" xmlns:p="http://schemas.microsoft.com/office/2006/metadata/properties" xmlns:ns1="http://schemas.microsoft.com/sharepoint/v3" xmlns:ns2="8b099203-c902-4a5b-992f-1f849b15ff82" xmlns:ns3="36c86fb7-c3ab-4219-b2b9-06651c03637a" targetNamespace="http://schemas.microsoft.com/office/2006/metadata/properties" ma:root="true" ma:fieldsID="bd9dfa008388b2efd21e326acb8a8051" ns1:_="" ns2:_="" ns3:_="">
    <xsd:import namespace="http://schemas.microsoft.com/sharepoint/v3"/>
    <xsd:import namespace="8b099203-c902-4a5b-992f-1f849b15ff82"/>
    <xsd:import namespace="36c86fb7-c3ab-4219-b2b9-06651c03637a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DocumentoAdjunto1_mercado_cp" minOccurs="0"/>
                <xsd:element ref="ns2:DestacadoHome" minOccurs="0"/>
                <xsd:element ref="ns3:year" minOccurs="0"/>
                <xsd:element ref="ns3:mes" minOccurs="0"/>
                <xsd:element ref="ns2:_dlc_DocId" minOccurs="0"/>
                <xsd:element ref="ns2:_dlc_DocIdUrl" minOccurs="0"/>
                <xsd:element ref="ns2:_dlc_DocIdPersistId" minOccurs="0"/>
                <xsd:element ref="ns3:Pagin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099203-c902-4a5b-992f-1f849b15ff82" elementFormDefault="qualified">
    <xsd:import namespace="http://schemas.microsoft.com/office/2006/documentManagement/types"/>
    <xsd:import namespace="http://schemas.microsoft.com/office/infopath/2007/PartnerControls"/>
    <xsd:element name="DocumentoAdjunto1_mercado_cp" ma:index="10" nillable="true" ma:displayName="mercado" ma:default="espana" ma:format="Dropdown" ma:internalName="DocumentoAdjunto1_mercado_cp">
      <xsd:simpleType>
        <xsd:union memberTypes="dms:Text">
          <xsd:simpleType>
            <xsd:restriction base="dms:Choice">
              <xsd:enumeration value="alemania"/>
              <xsd:enumeration value="espana"/>
              <xsd:enumeration value="reinoUnido"/>
              <xsd:enumeration value="hungria"/>
              <xsd:enumeration value="francia"/>
              <xsd:enumeration value="belgica"/>
              <xsd:enumeration value="holanda"/>
              <xsd:enumeration value="rusia"/>
              <xsd:enumeration value="italia"/>
              <xsd:enumeration value="irlanda"/>
              <xsd:enumeration value="noruega"/>
              <xsd:enumeration value="suecia"/>
              <xsd:enumeration value="dinamarca"/>
              <xsd:enumeration value="finlandia"/>
              <xsd:enumeration value="austria"/>
              <xsd:enumeration value="suiza"/>
              <xsd:enumeration value="eeuu"/>
            </xsd:restriction>
          </xsd:simpleType>
        </xsd:union>
      </xsd:simpleType>
    </xsd:element>
    <xsd:element name="DestacadoHome" ma:index="11" nillable="true" ma:displayName="DestacadoHome" ma:default="No" ma:format="Dropdown" ma:internalName="DestacadoHome">
      <xsd:simpleType>
        <xsd:restriction base="dms:Choice">
          <xsd:enumeration value="No"/>
          <xsd:enumeration value="Si"/>
        </xsd:restriction>
      </xsd:simpleType>
    </xsd:element>
    <xsd:element name="_dlc_DocId" ma:index="14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15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6" nillable="true" ma:displayName="Identificador persistente" ma:description="Mantener el identificador al agregar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c86fb7-c3ab-4219-b2b9-06651c03637a" elementFormDefault="qualified">
    <xsd:import namespace="http://schemas.microsoft.com/office/2006/documentManagement/types"/>
    <xsd:import namespace="http://schemas.microsoft.com/office/infopath/2007/PartnerControls"/>
    <xsd:element name="year" ma:index="12" nillable="true" ma:displayName="year" ma:internalName="year">
      <xsd:simpleType>
        <xsd:restriction base="dms:Text">
          <xsd:maxLength value="255"/>
        </xsd:restriction>
      </xsd:simpleType>
    </xsd:element>
    <xsd:element name="mes" ma:index="13" nillable="true" ma:displayName="mes" ma:format="Dropdown" ma:internalName="mes">
      <xsd:simpleType>
        <xsd:restriction base="dms:Choice">
          <xsd:enumeration value="enero"/>
          <xsd:enumeration value="febrero"/>
          <xsd:enumeration value="marzo"/>
          <xsd:enumeration value="abril"/>
          <xsd:enumeration value="mayo"/>
          <xsd:enumeration value="junio"/>
          <xsd:enumeration value="julio"/>
          <xsd:enumeration value="agosto"/>
          <xsd:enumeration value="septiembre"/>
          <xsd:enumeration value="octubre"/>
          <xsd:enumeration value="noviembre"/>
          <xsd:enumeration value="diciembre"/>
        </xsd:restriction>
      </xsd:simpleType>
    </xsd:element>
    <xsd:element name="Pagina" ma:index="17" nillable="true" ma:displayName="Pagina" ma:list="{ACDE9BB4-8E7B-4447-BDA1-3C324CA00812}" ma:internalName="Pagina">
      <xsd:simpleType>
        <xsd:restriction base="dms:Lookup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78CAAF4-DF6F-4C29-A472-1EF83847476A}"/>
</file>

<file path=customXml/itemProps2.xml><?xml version="1.0" encoding="utf-8"?>
<ds:datastoreItem xmlns:ds="http://schemas.openxmlformats.org/officeDocument/2006/customXml" ds:itemID="{5F1CF6B3-321C-494E-BBF6-BE7B73F9400D}"/>
</file>

<file path=customXml/itemProps3.xml><?xml version="1.0" encoding="utf-8"?>
<ds:datastoreItem xmlns:ds="http://schemas.openxmlformats.org/officeDocument/2006/customXml" ds:itemID="{899EA059-934A-4A8A-BA6F-6AB4236678E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abril + I cuatrimestre</vt:lpstr>
      <vt:lpstr>'abril + I cuatrimestre'!Área_de_impresión</vt:lpstr>
      <vt:lpstr>'abril + I cuatrimestre'!Print_Area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Indicadores Turísticos de Tenerife (abril y I cuatrimestre 2018)</dc:title>
  <dc:creator>Manuela Rabaneda</dc:creator>
  <cp:lastModifiedBy>Manuela Rabaneda</cp:lastModifiedBy>
  <dcterms:created xsi:type="dcterms:W3CDTF">2018-05-22T11:41:53Z</dcterms:created>
  <dcterms:modified xsi:type="dcterms:W3CDTF">2018-05-23T14:26:23Z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0x0101006E64779473284F558EE892CC72B462DF</vt:lpwstr>
  </property>
  <property fmtid="{D5CDD505-2E9C-101B-9397-08002B2CF9AE}" pid="3" name="_dlc_DocIdItemGuid">
    <vt:lpwstr>0b827c99-e631-470d-b956-687b28a9b23b</vt:lpwstr>
  </property>
</Properties>
</file>