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Febrero/"/>
    </mc:Choice>
  </mc:AlternateContent>
  <bookViews>
    <workbookView xWindow="0" yWindow="0" windowWidth="28800" windowHeight="11610"/>
  </bookViews>
  <sheets>
    <sheet name="febrero 2018" sheetId="1" r:id="rId1"/>
  </sheets>
  <externalReferences>
    <externalReference r:id="rId2"/>
  </externalReferences>
  <definedNames>
    <definedName name="_xlnm.Print_Area" localSheetId="0">'febrero 2018'!$C$1:$M$320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'febrero 2018'!$C$1:$M$322</definedName>
    <definedName name="Z_B161D6A3_44F3_469D_B50D_76D907B3525C_.wvu.Cols" localSheetId="0" hidden="1">'febrero 2018'!#REF!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10" i="1" l="1"/>
  <c r="H302" i="1"/>
  <c r="G280" i="1"/>
  <c r="G282" i="1"/>
  <c r="H305" i="1"/>
  <c r="H309" i="1"/>
  <c r="H308" i="1"/>
  <c r="G279" i="1"/>
  <c r="G281" i="1"/>
  <c r="G283" i="1"/>
  <c r="H300" i="1"/>
  <c r="H311" i="1"/>
  <c r="E242" i="1"/>
  <c r="E295" i="1" s="1"/>
  <c r="E184" i="1"/>
  <c r="E117" i="1"/>
  <c r="C215" i="1"/>
  <c r="G152" i="1"/>
  <c r="I62" i="1"/>
</calcChain>
</file>

<file path=xl/sharedStrings.xml><?xml version="1.0" encoding="utf-8"?>
<sst xmlns="http://schemas.openxmlformats.org/spreadsheetml/2006/main" count="592" uniqueCount="115">
  <si>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</si>
  <si>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</si>
  <si>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</si>
  <si>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</si>
  <si>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</si>
  <si>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</si>
  <si>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</si>
  <si>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</si>
  <si>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</si>
  <si>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</si>
  <si>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</si>
  <si>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</si>
  <si>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</si>
  <si>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</si>
  <si>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</si>
  <si>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</si>
  <si>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esta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</si>
  <si>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</si>
  <si>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</si>
  <si>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</si>
  <si>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</si>
  <si>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</si>
  <si>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</si>
  <si>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</si>
  <si>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</si>
  <si>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</si>
  <si>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</si>
  <si>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</si>
  <si>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</si>
  <si>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</si>
  <si>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</si>
  <si>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</si>
  <si>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</si>
  <si>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</si>
  <si>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</si>
  <si>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</si>
  <si>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</si>
  <si>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</si>
  <si>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</si>
  <si>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</si>
  <si>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</si>
  <si>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</si>
  <si>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</si>
  <si>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</si>
  <si>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</si>
  <si>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</si>
  <si>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</si>
  <si>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</si>
  <si>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</si>
  <si>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</si>
  <si>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</si>
  <si>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</si>
  <si>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</si>
  <si>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</si>
  <si>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</si>
  <si>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</si>
  <si>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</si>
  <si>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</si>
  <si>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</si>
  <si>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</si>
  <si>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</si>
  <si>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</si>
  <si>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</si>
  <si>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</si>
  <si>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</si>
  <si>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</si>
  <si>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</si>
  <si>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</si>
  <si>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</si>
  <si>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</si>
  <si>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</si>
  <si>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</si>
  <si>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</si>
  <si>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</si>
  <si>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</si>
  <si>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</si>
  <si>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</si>
  <si>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</si>
  <si>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</si>
  <si>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</si>
  <si>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</si>
  <si>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</si>
  <si>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</si>
  <si>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</si>
  <si>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</si>
  <si>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</si>
  <si>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</si>
  <si>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</si>
  <si>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</si>
  <si>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</si>
  <si>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</si>
  <si>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</si>
  <si>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</si>
  <si>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</si>
  <si>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</si>
  <si>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febrero 2018</t>
  </si>
  <si>
    <t>acumulado febrero 2018</t>
  </si>
  <si>
    <t>Muestra hotelera= 94,9%;   Muestra extrahotelera= 62,8%;   Muestra total= 81,2%</t>
  </si>
  <si>
    <t>El gasto medio total por turista en el año 2017 ha ascendido a 1.085€ .</t>
  </si>
  <si>
    <t>año 2017 
Encuesta sobre el turista que visita Tenerife, Cabildo de Tenerife</t>
  </si>
  <si>
    <t>El número de plazas autorizadas por Policía Turística a fecha de febrero 2018 asciendían a 140.716 plazas, registrando un incremento del 1,0% respecto al cierre del año 2017.</t>
  </si>
  <si>
    <t>Las plazas hoteleras autorizadas ascienden a 84.809 y representan el 60% del total. Con respecto al año 2017, las plazas hoteleras se incrementan un 0,8%.</t>
  </si>
  <si>
    <t>Las plazas extrahoteleras autorizadas, el 35% del total, ascienden a  48.872 (no incluye oferta rural). Disminuye un -0,3% respecto al cierre de 2017.</t>
  </si>
  <si>
    <t>Las plazas de vivienda vacacional autorizadas, el 4% del total, ascienden a  5.618 plazas. Aumentan un +17,6% respecto al cierre de 2017.</t>
  </si>
  <si>
    <t>Las plazas de hoteles rurales autorizadas por Policía Turística ascienden a 517, con un descenso del -7,2% respecto a 2017.</t>
  </si>
  <si>
    <t>Las plazas de casas rurales autorizadas por Policía Turística ascienden a 900, registrando un descenso del -2,0% respecto a 2017.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</si>
  <si>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</si>
  <si>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</si>
  <si>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</si>
  <si>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</si>
  <si>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</si>
  <si>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 semestre del  2018, con un incremento del 3,4%  respecto al I semestre del año anterior.</t>
  </si>
  <si>
    <t>Por el Puerto de Santa Cruz de Tenerife han pasado en los primeros dos meses del año 2018, 176.273 cruceristas, un 56,0% más en comparación al mismo período del año 2017</t>
  </si>
  <si>
    <t>El número de buques de crucero en el Puerto de Santa Cruz de Tenerife hasta febrero 2018 ascienden a un total de 0 cruceros, cifra que se reduce un -100,0% respecto al mismo período del año anterior.</t>
  </si>
  <si>
    <t>Acumulado febrero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</si>
</sst>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264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ABF1CD70-D87B-4453-A542-21830E279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F017DA7F-8BCB-4149-A386-9C77A6F86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B18A9071-778B-4E33-969B-441101DA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4DE1489D-834F-466C-A2F7-7F146167A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F383A27A-801E-44D9-9DB0-10B28213F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494A97B-FB3A-4948-B09C-C54D4F93A02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086325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3"/>
  <sheetViews>
    <sheetView showGridLines="0" tabSelected="1" showRuler="0" topLeftCell="D1" zoomScaleNormal="100" workbookViewId="0">
      <selection activeCell="E316" sqref="A316:XFD316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bestFit="1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80" t="s">
        <v>94</v>
      </c>
      <c r="F1" s="280"/>
      <c r="G1" s="280"/>
      <c r="H1" s="280"/>
      <c r="I1" s="280"/>
      <c r="J1" s="280"/>
      <c r="K1" s="280"/>
      <c r="L1" s="2"/>
      <c r="M1" s="2"/>
    </row>
    <row r="2" spans="2:13" ht="15" customHeight="1" x14ac:dyDescent="0.2">
      <c r="B2" s="4"/>
      <c r="C2" s="364" t="s">
        <v>95</v>
      </c>
      <c r="D2" s="364"/>
      <c r="E2" s="364"/>
      <c r="F2" s="364"/>
      <c r="G2" s="364"/>
      <c r="H2" s="5"/>
      <c r="I2" s="366" t="s">
        <v>96</v>
      </c>
      <c r="J2" s="366"/>
      <c r="K2" s="366"/>
      <c r="L2" s="366"/>
      <c r="M2" s="366"/>
    </row>
    <row r="3" spans="2:13" ht="16.5" customHeight="1" thickBot="1" x14ac:dyDescent="0.25">
      <c r="B3" s="4"/>
      <c r="C3" s="365"/>
      <c r="D3" s="365"/>
      <c r="E3" s="365"/>
      <c r="F3" s="365"/>
      <c r="G3" s="365"/>
      <c r="H3" s="6"/>
      <c r="I3" s="367"/>
      <c r="J3" s="367"/>
      <c r="K3" s="367"/>
      <c r="L3" s="367"/>
      <c r="M3" s="367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368" t="s">
        <v>0</v>
      </c>
      <c r="D5" s="369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56" t="s">
        <v>6</v>
      </c>
      <c r="D7" s="257"/>
      <c r="E7" s="257"/>
      <c r="F7" s="257"/>
      <c r="G7" s="257"/>
      <c r="H7" s="257"/>
      <c r="I7" s="257"/>
      <c r="J7" s="257"/>
      <c r="K7" s="257"/>
      <c r="L7" s="257"/>
      <c r="M7" s="258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386" t="s">
        <v>7</v>
      </c>
      <c r="D9" s="387"/>
      <c r="E9" s="22" t="s">
        <v>8</v>
      </c>
      <c r="F9" s="23">
        <v>429400</v>
      </c>
      <c r="G9" s="24">
        <v>5.4840326138370088E-3</v>
      </c>
      <c r="H9" s="25"/>
      <c r="I9" s="370" t="s">
        <v>7</v>
      </c>
      <c r="J9" s="26" t="s">
        <v>8</v>
      </c>
      <c r="K9" s="27">
        <v>855720</v>
      </c>
      <c r="L9" s="28">
        <v>1.5414271719551564E-3</v>
      </c>
      <c r="M9" s="354" t="s">
        <v>9</v>
      </c>
    </row>
    <row r="10" spans="2:13" ht="24.75" customHeight="1" x14ac:dyDescent="0.2">
      <c r="C10" s="372"/>
      <c r="D10" s="373"/>
      <c r="E10" s="29" t="s">
        <v>10</v>
      </c>
      <c r="F10" s="30">
        <v>290927</v>
      </c>
      <c r="G10" s="31">
        <v>-2.0922515682632037E-2</v>
      </c>
      <c r="H10" s="32"/>
      <c r="I10" s="372"/>
      <c r="J10" s="29" t="s">
        <v>10</v>
      </c>
      <c r="K10" s="30">
        <v>578383</v>
      </c>
      <c r="L10" s="33">
        <v>-1.9372373090271622E-2</v>
      </c>
      <c r="M10" s="354"/>
    </row>
    <row r="11" spans="2:13" ht="24.75" customHeight="1" thickBot="1" x14ac:dyDescent="0.25">
      <c r="C11" s="388"/>
      <c r="D11" s="389"/>
      <c r="E11" s="34" t="s">
        <v>11</v>
      </c>
      <c r="F11" s="23">
        <v>138473</v>
      </c>
      <c r="G11" s="24">
        <v>6.5882045045183801E-2</v>
      </c>
      <c r="H11" s="32"/>
      <c r="I11" s="374"/>
      <c r="J11" s="35" t="s">
        <v>11</v>
      </c>
      <c r="K11" s="36">
        <v>277337</v>
      </c>
      <c r="L11" s="37">
        <v>4.8160578093229711E-2</v>
      </c>
      <c r="M11" s="354"/>
    </row>
    <row r="12" spans="2:13" ht="24.75" hidden="1" customHeight="1" x14ac:dyDescent="0.2">
      <c r="C12" s="348" t="s">
        <v>12</v>
      </c>
      <c r="D12" s="349"/>
      <c r="E12" s="38" t="s">
        <v>8</v>
      </c>
      <c r="F12" s="39">
        <v>21440</v>
      </c>
      <c r="G12" s="40">
        <v>3.4164833621941337E-3</v>
      </c>
      <c r="H12" s="41"/>
      <c r="I12" s="348" t="s">
        <v>12</v>
      </c>
      <c r="J12" s="38" t="s">
        <v>8</v>
      </c>
      <c r="K12" s="39">
        <v>41318</v>
      </c>
      <c r="L12" s="28">
        <v>-2.0645191874659297E-2</v>
      </c>
      <c r="M12" s="354"/>
    </row>
    <row r="13" spans="2:13" ht="46.5" customHeight="1" thickBot="1" x14ac:dyDescent="0.25">
      <c r="C13" s="350"/>
      <c r="D13" s="351"/>
      <c r="E13" s="42" t="s">
        <v>10</v>
      </c>
      <c r="F13" s="43">
        <v>21440</v>
      </c>
      <c r="G13" s="31">
        <v>3.4164833621941337E-3</v>
      </c>
      <c r="H13" s="41"/>
      <c r="I13" s="350"/>
      <c r="J13" s="42" t="s">
        <v>10</v>
      </c>
      <c r="K13" s="43">
        <v>41318</v>
      </c>
      <c r="L13" s="33">
        <v>-2.0645191874659297E-2</v>
      </c>
      <c r="M13" s="354"/>
    </row>
    <row r="14" spans="2:13" ht="24.75" hidden="1" customHeight="1" x14ac:dyDescent="0.2">
      <c r="C14" s="352"/>
      <c r="D14" s="353"/>
      <c r="E14" s="44" t="s">
        <v>11</v>
      </c>
      <c r="F14" s="45">
        <v>0</v>
      </c>
      <c r="G14" s="46" t="s">
        <v>39</v>
      </c>
      <c r="H14" s="41"/>
      <c r="I14" s="352"/>
      <c r="J14" s="44" t="s">
        <v>11</v>
      </c>
      <c r="K14" s="45">
        <v>0</v>
      </c>
      <c r="L14" s="37" t="s">
        <v>39</v>
      </c>
      <c r="M14" s="354"/>
    </row>
    <row r="15" spans="2:13" ht="24.75" customHeight="1" x14ac:dyDescent="0.2">
      <c r="C15" s="355" t="s">
        <v>13</v>
      </c>
      <c r="D15" s="376"/>
      <c r="E15" s="47" t="s">
        <v>8</v>
      </c>
      <c r="F15" s="48">
        <v>6229</v>
      </c>
      <c r="G15" s="40">
        <v>0.57337711543319014</v>
      </c>
      <c r="H15" s="41"/>
      <c r="I15" s="355" t="s">
        <v>13</v>
      </c>
      <c r="J15" s="47" t="s">
        <v>8</v>
      </c>
      <c r="K15" s="48">
        <v>11855</v>
      </c>
      <c r="L15" s="28">
        <v>0.43836447464207717</v>
      </c>
      <c r="M15" s="354"/>
    </row>
    <row r="16" spans="2:13" ht="24.75" customHeight="1" x14ac:dyDescent="0.2">
      <c r="C16" s="356"/>
      <c r="D16" s="377"/>
      <c r="E16" s="49" t="s">
        <v>10</v>
      </c>
      <c r="F16" s="50">
        <v>4836</v>
      </c>
      <c r="G16" s="31">
        <v>0.57370647575658973</v>
      </c>
      <c r="H16" s="41"/>
      <c r="I16" s="356"/>
      <c r="J16" s="49" t="s">
        <v>10</v>
      </c>
      <c r="K16" s="50">
        <v>9495</v>
      </c>
      <c r="L16" s="33">
        <v>0.50403928401710751</v>
      </c>
      <c r="M16" s="354"/>
    </row>
    <row r="17" spans="3:16" ht="24.75" customHeight="1" thickBot="1" x14ac:dyDescent="0.25">
      <c r="C17" s="357"/>
      <c r="D17" s="378"/>
      <c r="E17" s="51" t="s">
        <v>11</v>
      </c>
      <c r="F17" s="52">
        <v>1393</v>
      </c>
      <c r="G17" s="46">
        <v>0.57223476297968401</v>
      </c>
      <c r="H17" s="41"/>
      <c r="I17" s="357"/>
      <c r="J17" s="51" t="s">
        <v>11</v>
      </c>
      <c r="K17" s="52">
        <v>2360</v>
      </c>
      <c r="L17" s="37">
        <v>0.22343182996371169</v>
      </c>
      <c r="M17" s="354"/>
    </row>
    <row r="18" spans="3:16" ht="24.75" customHeight="1" x14ac:dyDescent="0.2">
      <c r="C18" s="348" t="s">
        <v>14</v>
      </c>
      <c r="D18" s="349"/>
      <c r="E18" s="38" t="s">
        <v>8</v>
      </c>
      <c r="F18" s="39">
        <v>72546</v>
      </c>
      <c r="G18" s="40">
        <v>-3.5933554817275781E-2</v>
      </c>
      <c r="H18" s="41"/>
      <c r="I18" s="348" t="s">
        <v>14</v>
      </c>
      <c r="J18" s="38" t="s">
        <v>8</v>
      </c>
      <c r="K18" s="39">
        <v>148445</v>
      </c>
      <c r="L18" s="28">
        <v>-2.5906701751392758E-2</v>
      </c>
      <c r="M18" s="354"/>
    </row>
    <row r="19" spans="3:16" ht="24.75" customHeight="1" x14ac:dyDescent="0.2">
      <c r="C19" s="350"/>
      <c r="D19" s="351"/>
      <c r="E19" s="42" t="s">
        <v>10</v>
      </c>
      <c r="F19" s="43">
        <v>53695</v>
      </c>
      <c r="G19" s="31">
        <v>-6.8635953652952164E-2</v>
      </c>
      <c r="H19" s="41"/>
      <c r="I19" s="350"/>
      <c r="J19" s="42" t="s">
        <v>10</v>
      </c>
      <c r="K19" s="43">
        <v>110593</v>
      </c>
      <c r="L19" s="33">
        <v>-4.348690981742076E-2</v>
      </c>
      <c r="M19" s="354"/>
    </row>
    <row r="20" spans="3:16" ht="24.75" customHeight="1" thickBot="1" x14ac:dyDescent="0.25">
      <c r="C20" s="352"/>
      <c r="D20" s="353"/>
      <c r="E20" s="44" t="s">
        <v>11</v>
      </c>
      <c r="F20" s="45">
        <v>18851</v>
      </c>
      <c r="G20" s="46">
        <v>7.1201272871917354E-2</v>
      </c>
      <c r="H20" s="41"/>
      <c r="I20" s="352"/>
      <c r="J20" s="44" t="s">
        <v>11</v>
      </c>
      <c r="K20" s="45">
        <v>37852</v>
      </c>
      <c r="L20" s="37">
        <v>2.9370172957685181E-2</v>
      </c>
      <c r="M20" s="354"/>
    </row>
    <row r="21" spans="3:16" ht="24.75" customHeight="1" x14ac:dyDescent="0.2">
      <c r="C21" s="358" t="s">
        <v>15</v>
      </c>
      <c r="D21" s="359"/>
      <c r="E21" s="53" t="s">
        <v>8</v>
      </c>
      <c r="F21" s="54">
        <v>329185</v>
      </c>
      <c r="G21" s="40">
        <v>8.2791700614428532E-3</v>
      </c>
      <c r="H21" s="41"/>
      <c r="I21" s="358" t="s">
        <v>15</v>
      </c>
      <c r="J21" s="53" t="s">
        <v>8</v>
      </c>
      <c r="K21" s="54">
        <v>654102</v>
      </c>
      <c r="L21" s="28">
        <v>3.8721321589554325E-3</v>
      </c>
      <c r="M21" s="354"/>
    </row>
    <row r="22" spans="3:16" ht="24.75" customHeight="1" x14ac:dyDescent="0.2">
      <c r="C22" s="360"/>
      <c r="D22" s="361"/>
      <c r="E22" s="55" t="s">
        <v>10</v>
      </c>
      <c r="F22" s="56">
        <v>210956</v>
      </c>
      <c r="G22" s="31">
        <v>-1.9046556181760654E-2</v>
      </c>
      <c r="H22" s="41"/>
      <c r="I22" s="360"/>
      <c r="J22" s="55" t="s">
        <v>10</v>
      </c>
      <c r="K22" s="56">
        <v>416977</v>
      </c>
      <c r="L22" s="33">
        <v>-2.045874188956176E-2</v>
      </c>
      <c r="M22" s="354"/>
    </row>
    <row r="23" spans="3:16" ht="24.75" customHeight="1" thickBot="1" x14ac:dyDescent="0.25">
      <c r="C23" s="362"/>
      <c r="D23" s="363"/>
      <c r="E23" s="57" t="s">
        <v>11</v>
      </c>
      <c r="F23" s="58">
        <v>118229</v>
      </c>
      <c r="G23" s="46">
        <v>6.101588441173833E-2</v>
      </c>
      <c r="H23" s="41"/>
      <c r="I23" s="362"/>
      <c r="J23" s="57" t="s">
        <v>11</v>
      </c>
      <c r="K23" s="58">
        <v>237125</v>
      </c>
      <c r="L23" s="37">
        <v>4.9722656301877333E-2</v>
      </c>
      <c r="M23" s="354"/>
      <c r="P23" s="3" t="s">
        <v>16</v>
      </c>
    </row>
    <row r="24" spans="3:16" ht="5.25" customHeight="1" thickBot="1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3:16" ht="20.100000000000001" customHeight="1" thickBot="1" x14ac:dyDescent="0.25">
      <c r="C25" s="256" t="s">
        <v>17</v>
      </c>
      <c r="D25" s="257"/>
      <c r="E25" s="257"/>
      <c r="F25" s="257"/>
      <c r="G25" s="257"/>
      <c r="H25" s="257"/>
      <c r="I25" s="257"/>
      <c r="J25" s="257"/>
      <c r="K25" s="257"/>
      <c r="L25" s="257"/>
      <c r="M25" s="258"/>
    </row>
    <row r="26" spans="3:16" ht="5.25" customHeight="1" thickBo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60"/>
    </row>
    <row r="27" spans="3:16" ht="24.95" customHeight="1" x14ac:dyDescent="0.2">
      <c r="C27" s="370" t="s">
        <v>7</v>
      </c>
      <c r="D27" s="371"/>
      <c r="E27" s="26" t="s">
        <v>8</v>
      </c>
      <c r="F27" s="23">
        <v>3261800</v>
      </c>
      <c r="G27" s="24">
        <v>-1.6781749241063904E-2</v>
      </c>
      <c r="H27" s="25"/>
      <c r="I27" s="370" t="s">
        <v>7</v>
      </c>
      <c r="J27" s="26" t="s">
        <v>8</v>
      </c>
      <c r="K27" s="27">
        <v>6788357</v>
      </c>
      <c r="L27" s="28">
        <v>-1.4167045459496319E-2</v>
      </c>
      <c r="M27" s="354" t="s">
        <v>9</v>
      </c>
    </row>
    <row r="28" spans="3:16" ht="24.95" customHeight="1" x14ac:dyDescent="0.2">
      <c r="C28" s="372"/>
      <c r="D28" s="373"/>
      <c r="E28" s="29" t="s">
        <v>10</v>
      </c>
      <c r="F28" s="30">
        <v>2047002</v>
      </c>
      <c r="G28" s="31">
        <v>-4.0079794754535936E-2</v>
      </c>
      <c r="H28" s="32"/>
      <c r="I28" s="372"/>
      <c r="J28" s="29" t="s">
        <v>10</v>
      </c>
      <c r="K28" s="30">
        <v>4262537</v>
      </c>
      <c r="L28" s="33">
        <v>-3.644958092419559E-2</v>
      </c>
      <c r="M28" s="354"/>
    </row>
    <row r="29" spans="3:16" ht="24.95" customHeight="1" thickBot="1" x14ac:dyDescent="0.25">
      <c r="C29" s="374"/>
      <c r="D29" s="375"/>
      <c r="E29" s="35" t="s">
        <v>11</v>
      </c>
      <c r="F29" s="23">
        <v>1214798</v>
      </c>
      <c r="G29" s="24">
        <v>2.5144261359896447E-2</v>
      </c>
      <c r="H29" s="32"/>
      <c r="I29" s="374"/>
      <c r="J29" s="35" t="s">
        <v>11</v>
      </c>
      <c r="K29" s="36">
        <v>2525820</v>
      </c>
      <c r="L29" s="37">
        <v>2.586867945127147E-2</v>
      </c>
      <c r="M29" s="354"/>
    </row>
    <row r="30" spans="3:16" ht="24.95" hidden="1" customHeight="1" x14ac:dyDescent="0.2">
      <c r="C30" s="348" t="s">
        <v>12</v>
      </c>
      <c r="D30" s="349"/>
      <c r="E30" s="38" t="s">
        <v>8</v>
      </c>
      <c r="F30" s="39">
        <v>47467</v>
      </c>
      <c r="G30" s="40">
        <v>-8.247960722155645E-2</v>
      </c>
      <c r="H30" s="41"/>
      <c r="I30" s="348" t="s">
        <v>12</v>
      </c>
      <c r="J30" s="38" t="s">
        <v>8</v>
      </c>
      <c r="K30" s="39">
        <v>99496</v>
      </c>
      <c r="L30" s="28">
        <v>-6.1624068659813291E-2</v>
      </c>
      <c r="M30" s="354"/>
    </row>
    <row r="31" spans="3:16" ht="48" customHeight="1" thickBot="1" x14ac:dyDescent="0.25">
      <c r="C31" s="350"/>
      <c r="D31" s="351"/>
      <c r="E31" s="42" t="s">
        <v>10</v>
      </c>
      <c r="F31" s="43">
        <v>47467</v>
      </c>
      <c r="G31" s="31">
        <v>-8.247960722155645E-2</v>
      </c>
      <c r="H31" s="41"/>
      <c r="I31" s="350"/>
      <c r="J31" s="42" t="s">
        <v>10</v>
      </c>
      <c r="K31" s="43">
        <v>99496</v>
      </c>
      <c r="L31" s="33">
        <v>-6.1624068659813291E-2</v>
      </c>
      <c r="M31" s="354"/>
    </row>
    <row r="32" spans="3:16" ht="24.95" hidden="1" customHeight="1" x14ac:dyDescent="0.2">
      <c r="C32" s="352"/>
      <c r="D32" s="353"/>
      <c r="E32" s="44" t="s">
        <v>11</v>
      </c>
      <c r="F32" s="45">
        <v>0</v>
      </c>
      <c r="G32" s="46" t="s">
        <v>39</v>
      </c>
      <c r="H32" s="41"/>
      <c r="I32" s="352"/>
      <c r="J32" s="44" t="s">
        <v>11</v>
      </c>
      <c r="K32" s="45">
        <v>0</v>
      </c>
      <c r="L32" s="37" t="s">
        <v>39</v>
      </c>
      <c r="M32" s="354"/>
    </row>
    <row r="33" spans="3:13" ht="24.95" customHeight="1" x14ac:dyDescent="0.2">
      <c r="C33" s="355" t="s">
        <v>13</v>
      </c>
      <c r="D33" s="376"/>
      <c r="E33" s="47" t="s">
        <v>8</v>
      </c>
      <c r="F33" s="48">
        <v>22371</v>
      </c>
      <c r="G33" s="40">
        <v>0.32686832740213534</v>
      </c>
      <c r="H33" s="41"/>
      <c r="I33" s="355" t="s">
        <v>13</v>
      </c>
      <c r="J33" s="47" t="s">
        <v>8</v>
      </c>
      <c r="K33" s="48">
        <v>43623</v>
      </c>
      <c r="L33" s="28">
        <v>0.29568135915409299</v>
      </c>
      <c r="M33" s="354"/>
    </row>
    <row r="34" spans="3:13" ht="24.95" customHeight="1" x14ac:dyDescent="0.2">
      <c r="C34" s="356"/>
      <c r="D34" s="377"/>
      <c r="E34" s="49" t="s">
        <v>10</v>
      </c>
      <c r="F34" s="50">
        <v>13321</v>
      </c>
      <c r="G34" s="31">
        <v>0.2640918580375784</v>
      </c>
      <c r="H34" s="41"/>
      <c r="I34" s="356"/>
      <c r="J34" s="49" t="s">
        <v>10</v>
      </c>
      <c r="K34" s="50">
        <v>25817</v>
      </c>
      <c r="L34" s="33">
        <v>0.19961897681334517</v>
      </c>
      <c r="M34" s="354"/>
    </row>
    <row r="35" spans="3:13" ht="24.95" customHeight="1" thickBot="1" x14ac:dyDescent="0.25">
      <c r="C35" s="357"/>
      <c r="D35" s="378"/>
      <c r="E35" s="51" t="s">
        <v>11</v>
      </c>
      <c r="F35" s="52">
        <v>9050</v>
      </c>
      <c r="G35" s="46">
        <v>0.43150901613413484</v>
      </c>
      <c r="H35" s="41"/>
      <c r="I35" s="357"/>
      <c r="J35" s="51" t="s">
        <v>11</v>
      </c>
      <c r="K35" s="52">
        <v>17806</v>
      </c>
      <c r="L35" s="37">
        <v>0.46587634806948208</v>
      </c>
      <c r="M35" s="354"/>
    </row>
    <row r="36" spans="3:13" ht="24.95" customHeight="1" x14ac:dyDescent="0.2">
      <c r="C36" s="348" t="s">
        <v>14</v>
      </c>
      <c r="D36" s="349"/>
      <c r="E36" s="38" t="s">
        <v>8</v>
      </c>
      <c r="F36" s="39">
        <v>602601</v>
      </c>
      <c r="G36" s="40">
        <v>2.3868708510533354E-2</v>
      </c>
      <c r="H36" s="41"/>
      <c r="I36" s="348" t="s">
        <v>14</v>
      </c>
      <c r="J36" s="38" t="s">
        <v>8</v>
      </c>
      <c r="K36" s="39">
        <v>1272992</v>
      </c>
      <c r="L36" s="28">
        <v>2.9982968359986595E-2</v>
      </c>
      <c r="M36" s="354"/>
    </row>
    <row r="37" spans="3:13" ht="24.95" customHeight="1" x14ac:dyDescent="0.2">
      <c r="C37" s="350"/>
      <c r="D37" s="351"/>
      <c r="E37" s="42" t="s">
        <v>10</v>
      </c>
      <c r="F37" s="43">
        <v>411847</v>
      </c>
      <c r="G37" s="31">
        <v>-3.3229812935589687E-2</v>
      </c>
      <c r="H37" s="41"/>
      <c r="I37" s="350"/>
      <c r="J37" s="42" t="s">
        <v>10</v>
      </c>
      <c r="K37" s="43">
        <v>875970</v>
      </c>
      <c r="L37" s="33">
        <v>-6.1809493339142207E-3</v>
      </c>
      <c r="M37" s="354"/>
    </row>
    <row r="38" spans="3:13" ht="24.95" customHeight="1" thickBot="1" x14ac:dyDescent="0.25">
      <c r="C38" s="352"/>
      <c r="D38" s="353"/>
      <c r="E38" s="44" t="s">
        <v>11</v>
      </c>
      <c r="F38" s="45">
        <v>190754</v>
      </c>
      <c r="G38" s="46">
        <v>0.17350968932636102</v>
      </c>
      <c r="H38" s="41"/>
      <c r="I38" s="352"/>
      <c r="J38" s="44" t="s">
        <v>11</v>
      </c>
      <c r="K38" s="45">
        <v>397022</v>
      </c>
      <c r="L38" s="37">
        <v>0.11989551981992408</v>
      </c>
      <c r="M38" s="354"/>
    </row>
    <row r="39" spans="3:13" ht="24.95" customHeight="1" x14ac:dyDescent="0.2">
      <c r="C39" s="358" t="s">
        <v>15</v>
      </c>
      <c r="D39" s="359"/>
      <c r="E39" s="53" t="s">
        <v>8</v>
      </c>
      <c r="F39" s="54">
        <v>2589361</v>
      </c>
      <c r="G39" s="40">
        <v>-2.6675302199805628E-2</v>
      </c>
      <c r="H39" s="41"/>
      <c r="I39" s="358" t="s">
        <v>15</v>
      </c>
      <c r="J39" s="53" t="s">
        <v>8</v>
      </c>
      <c r="K39" s="54">
        <v>5372246</v>
      </c>
      <c r="L39" s="28">
        <v>-2.5049738878825889E-2</v>
      </c>
      <c r="M39" s="354"/>
    </row>
    <row r="40" spans="3:13" ht="24.95" customHeight="1" x14ac:dyDescent="0.2">
      <c r="C40" s="360"/>
      <c r="D40" s="361"/>
      <c r="E40" s="55" t="s">
        <v>10</v>
      </c>
      <c r="F40" s="56">
        <v>1574367</v>
      </c>
      <c r="G40" s="31">
        <v>-4.2469997494215983E-2</v>
      </c>
      <c r="H40" s="41"/>
      <c r="I40" s="360"/>
      <c r="J40" s="55" t="s">
        <v>10</v>
      </c>
      <c r="K40" s="56">
        <v>3261254</v>
      </c>
      <c r="L40" s="33">
        <v>-4.4968494614492815E-2</v>
      </c>
      <c r="M40" s="354"/>
    </row>
    <row r="41" spans="3:13" ht="24.95" customHeight="1" thickBot="1" x14ac:dyDescent="0.25">
      <c r="C41" s="362"/>
      <c r="D41" s="363"/>
      <c r="E41" s="57" t="s">
        <v>11</v>
      </c>
      <c r="F41" s="58">
        <v>1014994</v>
      </c>
      <c r="G41" s="46">
        <v>-1.1179671892376231E-3</v>
      </c>
      <c r="H41" s="41"/>
      <c r="I41" s="362"/>
      <c r="J41" s="57" t="s">
        <v>11</v>
      </c>
      <c r="K41" s="58">
        <v>2110992</v>
      </c>
      <c r="L41" s="37">
        <v>7.4102919448866267E-3</v>
      </c>
      <c r="M41" s="354"/>
    </row>
    <row r="42" spans="3:13" ht="5.25" customHeight="1" thickBot="1" x14ac:dyDescent="0.25">
      <c r="C42" s="59"/>
      <c r="D42" s="59"/>
      <c r="F42" s="59"/>
      <c r="G42" s="59"/>
      <c r="H42" s="59"/>
      <c r="I42" s="59"/>
      <c r="J42" s="59"/>
      <c r="K42" s="59"/>
      <c r="L42" s="59"/>
      <c r="M42" s="59"/>
    </row>
    <row r="43" spans="3:13" ht="20.100000000000001" customHeight="1" thickBot="1" x14ac:dyDescent="0.25">
      <c r="C43" s="256" t="s">
        <v>18</v>
      </c>
      <c r="D43" s="257"/>
      <c r="E43" s="257"/>
      <c r="F43" s="257"/>
      <c r="G43" s="257"/>
      <c r="H43" s="257"/>
      <c r="I43" s="257"/>
      <c r="J43" s="257"/>
      <c r="K43" s="257"/>
      <c r="L43" s="257"/>
      <c r="M43" s="258"/>
    </row>
    <row r="44" spans="3:13" ht="5.25" customHeight="1" thickBo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60"/>
    </row>
    <row r="45" spans="3:13" ht="24.75" customHeight="1" x14ac:dyDescent="0.2">
      <c r="C45" s="370" t="s">
        <v>7</v>
      </c>
      <c r="D45" s="371"/>
      <c r="E45" s="26" t="s">
        <v>8</v>
      </c>
      <c r="F45" s="61">
        <v>7.5961807172799256</v>
      </c>
      <c r="G45" s="62">
        <v>-0.17202172828952822</v>
      </c>
      <c r="H45" s="25"/>
      <c r="I45" s="370" t="s">
        <v>7</v>
      </c>
      <c r="J45" s="26" t="s">
        <v>8</v>
      </c>
      <c r="K45" s="61">
        <v>7.9329184780068243</v>
      </c>
      <c r="L45" s="63">
        <v>-0.12640481556775285</v>
      </c>
      <c r="M45" s="354" t="s">
        <v>9</v>
      </c>
    </row>
    <row r="46" spans="3:13" ht="24.75" customHeight="1" x14ac:dyDescent="0.2">
      <c r="C46" s="372"/>
      <c r="D46" s="373"/>
      <c r="E46" s="29" t="s">
        <v>10</v>
      </c>
      <c r="F46" s="64">
        <v>7.0361362128643954</v>
      </c>
      <c r="G46" s="65">
        <v>-0.14042128114524299</v>
      </c>
      <c r="H46" s="32"/>
      <c r="I46" s="372"/>
      <c r="J46" s="29" t="s">
        <v>10</v>
      </c>
      <c r="K46" s="64">
        <v>7.3697480735083847</v>
      </c>
      <c r="L46" s="66">
        <v>-0.13061560354639035</v>
      </c>
      <c r="M46" s="354"/>
    </row>
    <row r="47" spans="3:13" ht="24.75" customHeight="1" thickBot="1" x14ac:dyDescent="0.25">
      <c r="C47" s="374"/>
      <c r="D47" s="375"/>
      <c r="E47" s="35" t="s">
        <v>11</v>
      </c>
      <c r="F47" s="67">
        <v>8.7728149169874268</v>
      </c>
      <c r="G47" s="68">
        <v>-0.34861926254672682</v>
      </c>
      <c r="H47" s="32"/>
      <c r="I47" s="374"/>
      <c r="J47" s="35" t="s">
        <v>11</v>
      </c>
      <c r="K47" s="67">
        <v>9.1074036280770319</v>
      </c>
      <c r="L47" s="69">
        <v>-0.19790185881987377</v>
      </c>
      <c r="M47" s="354"/>
    </row>
    <row r="48" spans="3:13" ht="24.75" hidden="1" customHeight="1" x14ac:dyDescent="0.2">
      <c r="C48" s="348" t="s">
        <v>12</v>
      </c>
      <c r="D48" s="349"/>
      <c r="E48" s="38" t="s">
        <v>8</v>
      </c>
      <c r="F48" s="70">
        <v>2.2139458955223881</v>
      </c>
      <c r="G48" s="62">
        <v>-0.20726438200838349</v>
      </c>
      <c r="H48" s="41"/>
      <c r="I48" s="348" t="s">
        <v>12</v>
      </c>
      <c r="J48" s="38" t="s">
        <v>8</v>
      </c>
      <c r="K48" s="70">
        <v>2.4080546009003339</v>
      </c>
      <c r="L48" s="63">
        <v>-0.10515974407110429</v>
      </c>
      <c r="M48" s="354"/>
    </row>
    <row r="49" spans="2:13" ht="50.25" customHeight="1" thickBot="1" x14ac:dyDescent="0.25">
      <c r="C49" s="350"/>
      <c r="D49" s="351"/>
      <c r="E49" s="42" t="s">
        <v>10</v>
      </c>
      <c r="F49" s="71">
        <v>2.2139458955223881</v>
      </c>
      <c r="G49" s="65">
        <v>-0.20726438200838349</v>
      </c>
      <c r="H49" s="41"/>
      <c r="I49" s="350"/>
      <c r="J49" s="42" t="s">
        <v>10</v>
      </c>
      <c r="K49" s="71">
        <v>2.4080546009003339</v>
      </c>
      <c r="L49" s="66">
        <v>-0.10515974407110429</v>
      </c>
      <c r="M49" s="354"/>
    </row>
    <row r="50" spans="2:13" ht="24.75" hidden="1" customHeight="1" x14ac:dyDescent="0.2">
      <c r="C50" s="352"/>
      <c r="D50" s="353"/>
      <c r="E50" s="44" t="s">
        <v>11</v>
      </c>
      <c r="F50" s="72" t="s">
        <v>39</v>
      </c>
      <c r="G50" s="68" t="s">
        <v>39</v>
      </c>
      <c r="H50" s="41"/>
      <c r="I50" s="352"/>
      <c r="J50" s="44" t="s">
        <v>11</v>
      </c>
      <c r="K50" s="72" t="e">
        <v>#DIV/0!</v>
      </c>
      <c r="L50" s="69" t="s">
        <v>39</v>
      </c>
      <c r="M50" s="354"/>
    </row>
    <row r="51" spans="2:13" ht="24.75" customHeight="1" x14ac:dyDescent="0.2">
      <c r="C51" s="355" t="s">
        <v>13</v>
      </c>
      <c r="D51" s="376"/>
      <c r="E51" s="47" t="s">
        <v>8</v>
      </c>
      <c r="F51" s="73">
        <v>3.5914271953764647</v>
      </c>
      <c r="G51" s="62">
        <v>-0.66722397916256071</v>
      </c>
      <c r="H51" s="41"/>
      <c r="I51" s="355" t="s">
        <v>13</v>
      </c>
      <c r="J51" s="47" t="s">
        <v>8</v>
      </c>
      <c r="K51" s="73">
        <v>3.6797132011809364</v>
      </c>
      <c r="L51" s="63">
        <v>-0.40521764084769707</v>
      </c>
      <c r="M51" s="354"/>
    </row>
    <row r="52" spans="2:13" ht="24.75" customHeight="1" x14ac:dyDescent="0.2">
      <c r="C52" s="356"/>
      <c r="D52" s="377"/>
      <c r="E52" s="49" t="s">
        <v>10</v>
      </c>
      <c r="F52" s="74">
        <v>2.7545492142266337</v>
      </c>
      <c r="G52" s="65">
        <v>-0.67467304415279994</v>
      </c>
      <c r="H52" s="41"/>
      <c r="I52" s="356"/>
      <c r="J52" s="49" t="s">
        <v>10</v>
      </c>
      <c r="K52" s="74">
        <v>2.7190100052659294</v>
      </c>
      <c r="L52" s="66">
        <v>-0.68998730187805934</v>
      </c>
      <c r="M52" s="354"/>
    </row>
    <row r="53" spans="2:13" ht="24.75" customHeight="1" thickBot="1" x14ac:dyDescent="0.25">
      <c r="C53" s="357"/>
      <c r="D53" s="378"/>
      <c r="E53" s="51" t="s">
        <v>11</v>
      </c>
      <c r="F53" s="75">
        <v>6.4967695620961949</v>
      </c>
      <c r="G53" s="68">
        <v>-0.63867061849071227</v>
      </c>
      <c r="H53" s="41"/>
      <c r="I53" s="357"/>
      <c r="J53" s="51" t="s">
        <v>11</v>
      </c>
      <c r="K53" s="75">
        <v>7.5449152542372877</v>
      </c>
      <c r="L53" s="69">
        <v>1.2478701531486411</v>
      </c>
      <c r="M53" s="354"/>
    </row>
    <row r="54" spans="2:13" ht="24.75" customHeight="1" x14ac:dyDescent="0.2">
      <c r="C54" s="348" t="s">
        <v>14</v>
      </c>
      <c r="D54" s="349"/>
      <c r="E54" s="38" t="s">
        <v>8</v>
      </c>
      <c r="F54" s="70">
        <v>8.3064676205442058</v>
      </c>
      <c r="G54" s="62">
        <v>0.48516529496281091</v>
      </c>
      <c r="H54" s="41"/>
      <c r="I54" s="348" t="s">
        <v>14</v>
      </c>
      <c r="J54" s="38" t="s">
        <v>8</v>
      </c>
      <c r="K54" s="70">
        <v>8.57551281619455</v>
      </c>
      <c r="L54" s="63">
        <v>0.46533058997681032</v>
      </c>
      <c r="M54" s="354"/>
    </row>
    <row r="55" spans="2:13" ht="24.75" customHeight="1" x14ac:dyDescent="0.2">
      <c r="C55" s="350"/>
      <c r="D55" s="351"/>
      <c r="E55" s="42" t="s">
        <v>10</v>
      </c>
      <c r="F55" s="71">
        <v>7.6701182605456744</v>
      </c>
      <c r="G55" s="65">
        <v>0.28090366261325261</v>
      </c>
      <c r="H55" s="41"/>
      <c r="I55" s="350"/>
      <c r="J55" s="42" t="s">
        <v>10</v>
      </c>
      <c r="K55" s="71">
        <v>7.920664056495438</v>
      </c>
      <c r="L55" s="66">
        <v>0.29732573560217457</v>
      </c>
      <c r="M55" s="354"/>
    </row>
    <row r="56" spans="2:13" ht="24.75" customHeight="1" thickBot="1" x14ac:dyDescent="0.25">
      <c r="C56" s="352"/>
      <c r="D56" s="353"/>
      <c r="E56" s="44" t="s">
        <v>11</v>
      </c>
      <c r="F56" s="72">
        <v>10.119038777783672</v>
      </c>
      <c r="G56" s="68">
        <v>0.88219368175003154</v>
      </c>
      <c r="H56" s="41"/>
      <c r="I56" s="352"/>
      <c r="J56" s="44" t="s">
        <v>11</v>
      </c>
      <c r="K56" s="72">
        <v>10.488798478283842</v>
      </c>
      <c r="L56" s="69">
        <v>0.84784884269154404</v>
      </c>
      <c r="M56" s="354"/>
    </row>
    <row r="57" spans="2:13" ht="24.75" customHeight="1" x14ac:dyDescent="0.2">
      <c r="C57" s="358" t="s">
        <v>15</v>
      </c>
      <c r="D57" s="359"/>
      <c r="E57" s="53" t="s">
        <v>8</v>
      </c>
      <c r="F57" s="76">
        <v>7.8659750596169324</v>
      </c>
      <c r="G57" s="62">
        <v>-0.28248641758548665</v>
      </c>
      <c r="H57" s="41"/>
      <c r="I57" s="358" t="s">
        <v>15</v>
      </c>
      <c r="J57" s="53" t="s">
        <v>8</v>
      </c>
      <c r="K57" s="76">
        <v>8.213162473131101</v>
      </c>
      <c r="L57" s="63">
        <v>-0.24364322502675861</v>
      </c>
      <c r="M57" s="354"/>
    </row>
    <row r="58" spans="2:13" ht="24.75" customHeight="1" x14ac:dyDescent="0.2">
      <c r="C58" s="360"/>
      <c r="D58" s="361"/>
      <c r="E58" s="55" t="s">
        <v>10</v>
      </c>
      <c r="F58" s="77">
        <v>7.4630112440508922</v>
      </c>
      <c r="G58" s="65">
        <v>-0.18256284965667646</v>
      </c>
      <c r="H58" s="41"/>
      <c r="I58" s="360"/>
      <c r="J58" s="55" t="s">
        <v>10</v>
      </c>
      <c r="K58" s="77">
        <v>7.8211843818723814</v>
      </c>
      <c r="L58" s="66">
        <v>-0.20072143603095505</v>
      </c>
      <c r="M58" s="354"/>
    </row>
    <row r="59" spans="2:13" ht="24.75" customHeight="1" thickBot="1" x14ac:dyDescent="0.25">
      <c r="C59" s="379"/>
      <c r="D59" s="380"/>
      <c r="E59" s="78" t="s">
        <v>11</v>
      </c>
      <c r="F59" s="79">
        <v>8.5849833797122539</v>
      </c>
      <c r="G59" s="80">
        <v>-0.53401509466628028</v>
      </c>
      <c r="H59" s="81"/>
      <c r="I59" s="379"/>
      <c r="J59" s="78" t="s">
        <v>11</v>
      </c>
      <c r="K59" s="79">
        <v>8.9024438587243022</v>
      </c>
      <c r="L59" s="82">
        <v>-0.37391264634668353</v>
      </c>
      <c r="M59" s="385"/>
    </row>
    <row r="60" spans="2:13" ht="13.5" thickBot="1" x14ac:dyDescent="0.25">
      <c r="C60" s="381" t="s">
        <v>97</v>
      </c>
      <c r="D60" s="382"/>
      <c r="E60" s="382"/>
      <c r="F60" s="382"/>
      <c r="G60" s="382"/>
      <c r="H60" s="382"/>
      <c r="I60" s="382"/>
      <c r="J60" s="382"/>
      <c r="K60" s="382"/>
      <c r="L60" s="382"/>
      <c r="M60" s="383"/>
    </row>
    <row r="61" spans="2:13" ht="50.25" customHeight="1" thickBot="1" x14ac:dyDescent="0.25">
      <c r="C61" s="83"/>
      <c r="D61" s="83"/>
      <c r="E61" s="384" t="s">
        <v>94</v>
      </c>
      <c r="F61" s="384"/>
      <c r="G61" s="384"/>
      <c r="H61" s="384"/>
      <c r="I61" s="384"/>
      <c r="J61" s="384"/>
      <c r="K61" s="384"/>
      <c r="L61" s="83"/>
      <c r="M61" s="83"/>
    </row>
    <row r="62" spans="2:13" ht="15" customHeight="1" x14ac:dyDescent="0.2">
      <c r="B62" s="4"/>
      <c r="C62" s="364" t="s">
        <v>95</v>
      </c>
      <c r="D62" s="364"/>
      <c r="E62" s="364"/>
      <c r="F62" s="364"/>
      <c r="G62" s="364"/>
      <c r="H62" s="5"/>
      <c r="I62" s="366" t="str">
        <f>I2</f>
        <v>acumulado febrero 2018</v>
      </c>
      <c r="J62" s="366"/>
      <c r="K62" s="366"/>
      <c r="L62" s="366"/>
      <c r="M62" s="366"/>
    </row>
    <row r="63" spans="2:13" ht="16.5" customHeight="1" thickBot="1" x14ac:dyDescent="0.25">
      <c r="B63" s="4"/>
      <c r="C63" s="365"/>
      <c r="D63" s="365"/>
      <c r="E63" s="365"/>
      <c r="F63" s="365"/>
      <c r="G63" s="365"/>
      <c r="H63" s="6"/>
      <c r="I63" s="367"/>
      <c r="J63" s="367"/>
      <c r="K63" s="367"/>
      <c r="L63" s="367"/>
      <c r="M63" s="367"/>
    </row>
    <row r="64" spans="2:13" ht="81.75" customHeight="1" x14ac:dyDescent="0.2">
      <c r="C64" s="368" t="str">
        <f t="shared" ref="C64:G64" si="0">C5</f>
        <v>Ámbito</v>
      </c>
      <c r="D64" s="369">
        <f t="shared" si="0"/>
        <v>0</v>
      </c>
      <c r="E64" s="15" t="str">
        <f t="shared" si="0"/>
        <v>Variable</v>
      </c>
      <c r="F64" s="15" t="str">
        <f t="shared" si="0"/>
        <v>Valor absoluto
mensual</v>
      </c>
      <c r="G64" s="15" t="str">
        <f t="shared" si="0"/>
        <v>Variación respecto al período anterior</v>
      </c>
      <c r="H64" s="17"/>
      <c r="I64" s="15" t="str">
        <f>I5</f>
        <v>Ámbito</v>
      </c>
      <c r="J64" s="15" t="str">
        <f t="shared" ref="J64:M64" si="1">J5</f>
        <v>Variable</v>
      </c>
      <c r="K64" s="15" t="str">
        <f t="shared" si="1"/>
        <v>Valor absoluto
acumulado</v>
      </c>
      <c r="L64" s="15" t="str">
        <f t="shared" si="1"/>
        <v>Variación respecto al período anterior</v>
      </c>
      <c r="M64" s="16" t="str">
        <f t="shared" si="1"/>
        <v>Fuente</v>
      </c>
    </row>
    <row r="65" spans="3:13" ht="5.25" customHeight="1" thickBot="1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3:13" ht="20.100000000000001" customHeight="1" thickBot="1" x14ac:dyDescent="0.25">
      <c r="C66" s="256" t="s">
        <v>19</v>
      </c>
      <c r="D66" s="257"/>
      <c r="E66" s="257"/>
      <c r="F66" s="257"/>
      <c r="G66" s="257"/>
      <c r="H66" s="257"/>
      <c r="I66" s="257"/>
      <c r="J66" s="257"/>
      <c r="K66" s="257"/>
      <c r="L66" s="257"/>
      <c r="M66" s="258"/>
    </row>
    <row r="67" spans="3:13" ht="5.25" customHeight="1" thickBo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60"/>
    </row>
    <row r="68" spans="3:13" ht="24.75" customHeight="1" x14ac:dyDescent="0.2">
      <c r="C68" s="370" t="s">
        <v>7</v>
      </c>
      <c r="D68" s="371"/>
      <c r="E68" s="26" t="s">
        <v>8</v>
      </c>
      <c r="F68" s="84">
        <v>0.70874059807294176</v>
      </c>
      <c r="G68" s="40">
        <v>-4.8461803851015617E-2</v>
      </c>
      <c r="H68" s="25"/>
      <c r="I68" s="370" t="s">
        <v>7</v>
      </c>
      <c r="J68" s="26" t="s">
        <v>8</v>
      </c>
      <c r="K68" s="84">
        <v>0.7000042484764778</v>
      </c>
      <c r="L68" s="28">
        <v>-4.5931347853218285E-2</v>
      </c>
      <c r="M68" s="354" t="s">
        <v>9</v>
      </c>
    </row>
    <row r="69" spans="3:13" ht="24.75" customHeight="1" x14ac:dyDescent="0.2">
      <c r="C69" s="372"/>
      <c r="D69" s="373"/>
      <c r="E69" s="29" t="s">
        <v>10</v>
      </c>
      <c r="F69" s="85">
        <v>0.77332671453958579</v>
      </c>
      <c r="G69" s="31">
        <v>-5.7930557647206782E-2</v>
      </c>
      <c r="H69" s="32"/>
      <c r="I69" s="372"/>
      <c r="J69" s="29" t="s">
        <v>10</v>
      </c>
      <c r="K69" s="85">
        <v>0.76422092991567736</v>
      </c>
      <c r="L69" s="33">
        <v>-5.4367851601347827E-2</v>
      </c>
      <c r="M69" s="354"/>
    </row>
    <row r="70" spans="3:13" ht="24.75" customHeight="1" thickBot="1" x14ac:dyDescent="0.25">
      <c r="C70" s="374"/>
      <c r="D70" s="375"/>
      <c r="E70" s="35" t="s">
        <v>11</v>
      </c>
      <c r="F70" s="86">
        <v>0.62130377856426833</v>
      </c>
      <c r="G70" s="46">
        <v>-2.6795598251893704E-2</v>
      </c>
      <c r="H70" s="32"/>
      <c r="I70" s="374"/>
      <c r="J70" s="35" t="s">
        <v>11</v>
      </c>
      <c r="K70" s="86">
        <v>0.61306757088037045</v>
      </c>
      <c r="L70" s="37">
        <v>-2.6107883457200609E-2</v>
      </c>
      <c r="M70" s="354"/>
    </row>
    <row r="71" spans="3:13" ht="24.75" hidden="1" customHeight="1" x14ac:dyDescent="0.2">
      <c r="C71" s="348" t="s">
        <v>12</v>
      </c>
      <c r="D71" s="349"/>
      <c r="E71" s="38" t="s">
        <v>8</v>
      </c>
      <c r="F71" s="87">
        <v>0.52517038413878558</v>
      </c>
      <c r="G71" s="40">
        <v>-0.18167868314462865</v>
      </c>
      <c r="H71" s="41"/>
      <c r="I71" s="348" t="s">
        <v>12</v>
      </c>
      <c r="J71" s="38" t="s">
        <v>8</v>
      </c>
      <c r="K71" s="87">
        <v>0.5224203473841178</v>
      </c>
      <c r="L71" s="28">
        <v>-0.16307797201722496</v>
      </c>
      <c r="M71" s="354"/>
    </row>
    <row r="72" spans="3:13" ht="43.5" customHeight="1" thickBot="1" x14ac:dyDescent="0.25">
      <c r="C72" s="350"/>
      <c r="D72" s="351"/>
      <c r="E72" s="42" t="s">
        <v>10</v>
      </c>
      <c r="F72" s="88">
        <v>0.668210484824596</v>
      </c>
      <c r="G72" s="31">
        <v>-8.2479607221556339E-2</v>
      </c>
      <c r="H72" s="41"/>
      <c r="I72" s="350"/>
      <c r="J72" s="42" t="s">
        <v>10</v>
      </c>
      <c r="K72" s="88">
        <v>0.66471142347494372</v>
      </c>
      <c r="L72" s="33">
        <v>-6.1624068659813291E-2</v>
      </c>
      <c r="M72" s="354"/>
    </row>
    <row r="73" spans="3:13" ht="24.75" hidden="1" customHeight="1" x14ac:dyDescent="0.2">
      <c r="C73" s="352"/>
      <c r="D73" s="353"/>
      <c r="E73" s="44" t="s">
        <v>11</v>
      </c>
      <c r="F73" s="89">
        <v>0</v>
      </c>
      <c r="G73" s="46" t="s">
        <v>39</v>
      </c>
      <c r="H73" s="41"/>
      <c r="I73" s="352"/>
      <c r="J73" s="44" t="s">
        <v>11</v>
      </c>
      <c r="K73" s="89">
        <v>0</v>
      </c>
      <c r="L73" s="37" t="s">
        <v>39</v>
      </c>
      <c r="M73" s="354"/>
    </row>
    <row r="74" spans="3:13" ht="24.75" customHeight="1" x14ac:dyDescent="0.2">
      <c r="C74" s="355" t="s">
        <v>13</v>
      </c>
      <c r="D74" s="376"/>
      <c r="E74" s="47" t="s">
        <v>8</v>
      </c>
      <c r="F74" s="90">
        <v>0.50857051923251795</v>
      </c>
      <c r="G74" s="40">
        <v>-8.6141610280642711E-2</v>
      </c>
      <c r="H74" s="41"/>
      <c r="I74" s="355" t="s">
        <v>13</v>
      </c>
      <c r="J74" s="47" t="s">
        <v>8</v>
      </c>
      <c r="K74" s="90">
        <v>0.47063837132777353</v>
      </c>
      <c r="L74" s="28">
        <v>-0.10762111355523329</v>
      </c>
      <c r="M74" s="354"/>
    </row>
    <row r="75" spans="3:13" ht="24.75" customHeight="1" x14ac:dyDescent="0.2">
      <c r="C75" s="356"/>
      <c r="D75" s="377"/>
      <c r="E75" s="49" t="s">
        <v>10</v>
      </c>
      <c r="F75" s="91">
        <v>0.57736650485436891</v>
      </c>
      <c r="G75" s="31">
        <v>-0.11329478890082501</v>
      </c>
      <c r="H75" s="41"/>
      <c r="I75" s="356"/>
      <c r="J75" s="49" t="s">
        <v>10</v>
      </c>
      <c r="K75" s="91">
        <v>0.53103916406121443</v>
      </c>
      <c r="L75" s="33">
        <v>-0.15851969830326029</v>
      </c>
      <c r="M75" s="354"/>
    </row>
    <row r="76" spans="3:13" ht="24.75" customHeight="1" thickBot="1" x14ac:dyDescent="0.25">
      <c r="C76" s="357"/>
      <c r="D76" s="378"/>
      <c r="E76" s="51" t="s">
        <v>11</v>
      </c>
      <c r="F76" s="92">
        <v>0.43268311340600496</v>
      </c>
      <c r="G76" s="46">
        <v>-3.4162591523957286E-2</v>
      </c>
      <c r="H76" s="41"/>
      <c r="I76" s="357"/>
      <c r="J76" s="51" t="s">
        <v>11</v>
      </c>
      <c r="K76" s="92">
        <v>0.40401152633131393</v>
      </c>
      <c r="L76" s="37">
        <v>-1.0974994073602473E-2</v>
      </c>
      <c r="M76" s="354"/>
    </row>
    <row r="77" spans="3:13" ht="24.75" customHeight="1" x14ac:dyDescent="0.2">
      <c r="C77" s="348" t="s">
        <v>14</v>
      </c>
      <c r="D77" s="349"/>
      <c r="E77" s="38" t="s">
        <v>8</v>
      </c>
      <c r="F77" s="87">
        <v>0.72931865823017672</v>
      </c>
      <c r="G77" s="40">
        <v>-2.9980769127080475E-2</v>
      </c>
      <c r="H77" s="41"/>
      <c r="I77" s="348" t="s">
        <v>14</v>
      </c>
      <c r="J77" s="38" t="s">
        <v>8</v>
      </c>
      <c r="K77" s="87">
        <v>0.731171357661064</v>
      </c>
      <c r="L77" s="28">
        <v>-2.4188083417257755E-2</v>
      </c>
      <c r="M77" s="354"/>
    </row>
    <row r="78" spans="3:13" ht="24.75" customHeight="1" x14ac:dyDescent="0.2">
      <c r="C78" s="350"/>
      <c r="D78" s="351"/>
      <c r="E78" s="42" t="s">
        <v>10</v>
      </c>
      <c r="F78" s="88">
        <v>0.74599692795919403</v>
      </c>
      <c r="G78" s="31">
        <v>-5.8481456001886256E-2</v>
      </c>
      <c r="H78" s="41"/>
      <c r="I78" s="350"/>
      <c r="J78" s="42" t="s">
        <v>10</v>
      </c>
      <c r="K78" s="88">
        <v>0.75300244218402257</v>
      </c>
      <c r="L78" s="33">
        <v>-3.2139097687773122E-2</v>
      </c>
      <c r="M78" s="354"/>
    </row>
    <row r="79" spans="3:13" ht="24.75" customHeight="1" thickBot="1" x14ac:dyDescent="0.25">
      <c r="C79" s="352"/>
      <c r="D79" s="353"/>
      <c r="E79" s="44" t="s">
        <v>11</v>
      </c>
      <c r="F79" s="89">
        <v>0.69573558590102713</v>
      </c>
      <c r="G79" s="46">
        <v>4.923175347756259E-2</v>
      </c>
      <c r="H79" s="41"/>
      <c r="I79" s="352"/>
      <c r="J79" s="44" t="s">
        <v>11</v>
      </c>
      <c r="K79" s="89">
        <v>0.68721266755289689</v>
      </c>
      <c r="L79" s="37">
        <v>1.2954734501058329E-3</v>
      </c>
      <c r="M79" s="354"/>
    </row>
    <row r="80" spans="3:13" ht="24.75" customHeight="1" x14ac:dyDescent="0.2">
      <c r="C80" s="358" t="s">
        <v>15</v>
      </c>
      <c r="D80" s="359"/>
      <c r="E80" s="53" t="s">
        <v>8</v>
      </c>
      <c r="F80" s="93">
        <v>0.71104567632462878</v>
      </c>
      <c r="G80" s="40">
        <v>-4.8423149866287929E-2</v>
      </c>
      <c r="H80" s="41"/>
      <c r="I80" s="358" t="s">
        <v>15</v>
      </c>
      <c r="J80" s="53" t="s">
        <v>8</v>
      </c>
      <c r="K80" s="93">
        <v>0.70011085015264374</v>
      </c>
      <c r="L80" s="28">
        <v>-4.683390793277209E-2</v>
      </c>
      <c r="M80" s="354"/>
    </row>
    <row r="81" spans="3:13" ht="24.75" customHeight="1" x14ac:dyDescent="0.2">
      <c r="C81" s="360"/>
      <c r="D81" s="361"/>
      <c r="E81" s="55" t="s">
        <v>10</v>
      </c>
      <c r="F81" s="94">
        <v>0.78685931396264741</v>
      </c>
      <c r="G81" s="31">
        <v>-5.5829697072965256E-2</v>
      </c>
      <c r="H81" s="41"/>
      <c r="I81" s="360"/>
      <c r="J81" s="55" t="s">
        <v>10</v>
      </c>
      <c r="K81" s="94">
        <v>0.77353818362427895</v>
      </c>
      <c r="L81" s="33">
        <v>-5.8293334532617425E-2</v>
      </c>
      <c r="M81" s="354"/>
    </row>
    <row r="82" spans="3:13" ht="24.75" customHeight="1" thickBot="1" x14ac:dyDescent="0.25">
      <c r="C82" s="362"/>
      <c r="D82" s="363"/>
      <c r="E82" s="57" t="s">
        <v>11</v>
      </c>
      <c r="F82" s="95">
        <v>0.61859702584105314</v>
      </c>
      <c r="G82" s="46">
        <v>-3.3658339213738397E-2</v>
      </c>
      <c r="H82" s="41"/>
      <c r="I82" s="362"/>
      <c r="J82" s="57" t="s">
        <v>11</v>
      </c>
      <c r="K82" s="95">
        <v>0.61057210620697633</v>
      </c>
      <c r="L82" s="37">
        <v>-2.5407903401918563E-2</v>
      </c>
      <c r="M82" s="354"/>
    </row>
    <row r="83" spans="3:13" ht="5.25" customHeight="1" thickBo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3:13" ht="20.100000000000001" customHeight="1" thickBot="1" x14ac:dyDescent="0.25">
      <c r="C84" s="256" t="s">
        <v>20</v>
      </c>
      <c r="D84" s="257"/>
      <c r="E84" s="257"/>
      <c r="F84" s="257"/>
      <c r="G84" s="257"/>
      <c r="H84" s="257"/>
      <c r="I84" s="257"/>
      <c r="J84" s="257"/>
      <c r="K84" s="257"/>
      <c r="L84" s="257"/>
      <c r="M84" s="258"/>
    </row>
    <row r="85" spans="3:13" ht="5.25" customHeight="1" thickBot="1" x14ac:dyDescent="0.25">
      <c r="C85" s="96"/>
      <c r="D85" s="20"/>
      <c r="E85" s="20"/>
      <c r="F85" s="20"/>
      <c r="G85" s="20"/>
      <c r="H85" s="20"/>
      <c r="I85" s="20"/>
      <c r="J85" s="20"/>
      <c r="K85" s="20"/>
      <c r="L85" s="20"/>
      <c r="M85" s="60"/>
    </row>
    <row r="86" spans="3:13" ht="33.75" customHeight="1" x14ac:dyDescent="0.2">
      <c r="C86" s="348" t="s">
        <v>7</v>
      </c>
      <c r="D86" s="349"/>
      <c r="E86" s="38" t="s">
        <v>21</v>
      </c>
      <c r="F86" s="39">
        <v>51920</v>
      </c>
      <c r="G86" s="40">
        <v>1.4657025600937956E-2</v>
      </c>
      <c r="H86" s="97"/>
      <c r="I86" s="348" t="s">
        <v>7</v>
      </c>
      <c r="J86" s="38" t="s">
        <v>21</v>
      </c>
      <c r="K86" s="39">
        <v>98678</v>
      </c>
      <c r="L86" s="28">
        <v>-3.0611935624008657E-3</v>
      </c>
      <c r="M86" s="354" t="s">
        <v>9</v>
      </c>
    </row>
    <row r="87" spans="3:13" ht="33.75" customHeight="1" x14ac:dyDescent="0.2">
      <c r="C87" s="350"/>
      <c r="D87" s="351"/>
      <c r="E87" s="55" t="s">
        <v>22</v>
      </c>
      <c r="F87" s="56">
        <v>169441</v>
      </c>
      <c r="G87" s="31">
        <v>-2.3962601855777033E-3</v>
      </c>
      <c r="H87" s="41"/>
      <c r="I87" s="350"/>
      <c r="J87" s="55" t="s">
        <v>22</v>
      </c>
      <c r="K87" s="56">
        <v>339261</v>
      </c>
      <c r="L87" s="33">
        <v>-4.0954625810252221E-4</v>
      </c>
      <c r="M87" s="354"/>
    </row>
    <row r="88" spans="3:13" ht="33.75" customHeight="1" x14ac:dyDescent="0.2">
      <c r="C88" s="350"/>
      <c r="D88" s="351"/>
      <c r="E88" s="42" t="s">
        <v>23</v>
      </c>
      <c r="F88" s="43">
        <v>50247</v>
      </c>
      <c r="G88" s="31">
        <v>-5.5897936943369309E-2</v>
      </c>
      <c r="H88" s="41"/>
      <c r="I88" s="350"/>
      <c r="J88" s="42" t="s">
        <v>23</v>
      </c>
      <c r="K88" s="43">
        <v>101719</v>
      </c>
      <c r="L88" s="33">
        <v>-6.465287356321836E-2</v>
      </c>
      <c r="M88" s="354"/>
    </row>
    <row r="89" spans="3:13" ht="33.75" customHeight="1" x14ac:dyDescent="0.2">
      <c r="C89" s="350"/>
      <c r="D89" s="351"/>
      <c r="E89" s="55" t="s">
        <v>24</v>
      </c>
      <c r="F89" s="56">
        <v>14337</v>
      </c>
      <c r="G89" s="31">
        <v>-0.20513389144536232</v>
      </c>
      <c r="H89" s="41"/>
      <c r="I89" s="350"/>
      <c r="J89" s="55" t="s">
        <v>24</v>
      </c>
      <c r="K89" s="56">
        <v>28810</v>
      </c>
      <c r="L89" s="33">
        <v>-0.11353846153846159</v>
      </c>
      <c r="M89" s="354"/>
    </row>
    <row r="90" spans="3:13" ht="33.75" customHeight="1" thickBot="1" x14ac:dyDescent="0.25">
      <c r="C90" s="352"/>
      <c r="D90" s="353"/>
      <c r="E90" s="44" t="s">
        <v>25</v>
      </c>
      <c r="F90" s="45">
        <v>4982</v>
      </c>
      <c r="G90" s="46">
        <v>2.3628518594616787E-2</v>
      </c>
      <c r="H90" s="98"/>
      <c r="I90" s="352"/>
      <c r="J90" s="44" t="s">
        <v>25</v>
      </c>
      <c r="K90" s="45">
        <v>9915</v>
      </c>
      <c r="L90" s="37">
        <v>-2.5840047160542334E-2</v>
      </c>
      <c r="M90" s="354"/>
    </row>
    <row r="91" spans="3:13" ht="5.25" customHeight="1" thickBot="1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3:13" ht="20.100000000000001" customHeight="1" thickBot="1" x14ac:dyDescent="0.25">
      <c r="C92" s="256" t="s">
        <v>26</v>
      </c>
      <c r="D92" s="257"/>
      <c r="E92" s="257"/>
      <c r="F92" s="257"/>
      <c r="G92" s="257"/>
      <c r="H92" s="257"/>
      <c r="I92" s="257"/>
      <c r="J92" s="257"/>
      <c r="K92" s="257"/>
      <c r="L92" s="257"/>
      <c r="M92" s="258"/>
    </row>
    <row r="93" spans="3:13" ht="5.25" customHeight="1" thickBot="1" x14ac:dyDescent="0.25">
      <c r="C93" s="96"/>
      <c r="D93" s="20"/>
      <c r="E93" s="20"/>
      <c r="F93" s="20"/>
      <c r="G93" s="20"/>
      <c r="H93" s="20"/>
      <c r="I93" s="20"/>
      <c r="J93" s="20"/>
      <c r="K93" s="20"/>
      <c r="L93" s="20"/>
      <c r="M93" s="60"/>
    </row>
    <row r="94" spans="3:13" s="99" customFormat="1" ht="33.75" customHeight="1" x14ac:dyDescent="0.2">
      <c r="C94" s="348" t="s">
        <v>7</v>
      </c>
      <c r="D94" s="349"/>
      <c r="E94" s="38" t="s">
        <v>21</v>
      </c>
      <c r="F94" s="39">
        <v>333868</v>
      </c>
      <c r="G94" s="40">
        <v>-4.7846112164725008E-2</v>
      </c>
      <c r="H94" s="97"/>
      <c r="I94" s="348" t="s">
        <v>7</v>
      </c>
      <c r="J94" s="38" t="s">
        <v>21</v>
      </c>
      <c r="K94" s="39">
        <v>671761</v>
      </c>
      <c r="L94" s="28">
        <v>-5.5203084059177732E-2</v>
      </c>
      <c r="M94" s="354" t="s">
        <v>9</v>
      </c>
    </row>
    <row r="95" spans="3:13" s="99" customFormat="1" ht="33.75" customHeight="1" x14ac:dyDescent="0.2">
      <c r="C95" s="350"/>
      <c r="D95" s="351"/>
      <c r="E95" s="55" t="s">
        <v>22</v>
      </c>
      <c r="F95" s="56">
        <v>1280096</v>
      </c>
      <c r="G95" s="31">
        <v>-3.3952513270836815E-2</v>
      </c>
      <c r="H95" s="41"/>
      <c r="I95" s="350"/>
      <c r="J95" s="55" t="s">
        <v>22</v>
      </c>
      <c r="K95" s="56">
        <v>2692327</v>
      </c>
      <c r="L95" s="33">
        <v>-2.2245924673416462E-2</v>
      </c>
      <c r="M95" s="354" t="s">
        <v>27</v>
      </c>
    </row>
    <row r="96" spans="3:13" s="99" customFormat="1" ht="33.75" customHeight="1" x14ac:dyDescent="0.2">
      <c r="C96" s="350"/>
      <c r="D96" s="351"/>
      <c r="E96" s="42" t="s">
        <v>23</v>
      </c>
      <c r="F96" s="43">
        <v>355381</v>
      </c>
      <c r="G96" s="31">
        <v>-3.9170625275435356E-2</v>
      </c>
      <c r="H96" s="41"/>
      <c r="I96" s="350"/>
      <c r="J96" s="42" t="s">
        <v>23</v>
      </c>
      <c r="K96" s="43">
        <v>742798</v>
      </c>
      <c r="L96" s="33">
        <v>-5.9309981497686848E-2</v>
      </c>
      <c r="M96" s="354" t="s">
        <v>27</v>
      </c>
    </row>
    <row r="97" spans="3:15" s="99" customFormat="1" ht="33.75" customHeight="1" x14ac:dyDescent="0.2">
      <c r="C97" s="350"/>
      <c r="D97" s="351"/>
      <c r="E97" s="55" t="s">
        <v>24</v>
      </c>
      <c r="F97" s="56">
        <v>57322</v>
      </c>
      <c r="G97" s="31">
        <v>-0.13534957387434954</v>
      </c>
      <c r="H97" s="41"/>
      <c r="I97" s="350"/>
      <c r="J97" s="55" t="s">
        <v>24</v>
      </c>
      <c r="K97" s="56">
        <v>114724</v>
      </c>
      <c r="L97" s="33">
        <v>-9.3850212470183103E-2</v>
      </c>
      <c r="M97" s="354" t="s">
        <v>27</v>
      </c>
    </row>
    <row r="98" spans="3:15" s="99" customFormat="1" ht="33.75" customHeight="1" thickBot="1" x14ac:dyDescent="0.25">
      <c r="C98" s="352"/>
      <c r="D98" s="353"/>
      <c r="E98" s="44" t="s">
        <v>25</v>
      </c>
      <c r="F98" s="45">
        <v>20335</v>
      </c>
      <c r="G98" s="46">
        <v>-1.1712674961119718E-2</v>
      </c>
      <c r="H98" s="98"/>
      <c r="I98" s="352"/>
      <c r="J98" s="44" t="s">
        <v>25</v>
      </c>
      <c r="K98" s="45">
        <v>40927</v>
      </c>
      <c r="L98" s="37">
        <v>-4.7123466275523218E-2</v>
      </c>
      <c r="M98" s="354" t="s">
        <v>27</v>
      </c>
    </row>
    <row r="99" spans="3:15" ht="5.25" customHeight="1" thickBot="1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3:15" ht="20.100000000000001" customHeight="1" thickBot="1" x14ac:dyDescent="0.25">
      <c r="C100" s="256" t="s">
        <v>28</v>
      </c>
      <c r="D100" s="257"/>
      <c r="E100" s="257"/>
      <c r="F100" s="257"/>
      <c r="G100" s="257"/>
      <c r="H100" s="257"/>
      <c r="I100" s="257"/>
      <c r="J100" s="257"/>
      <c r="K100" s="257"/>
      <c r="L100" s="257"/>
      <c r="M100" s="258"/>
    </row>
    <row r="101" spans="3:15" ht="5.25" customHeight="1" thickBot="1" x14ac:dyDescent="0.25">
      <c r="C101" s="96"/>
      <c r="D101" s="20"/>
      <c r="E101" s="20"/>
      <c r="F101" s="20"/>
      <c r="G101" s="20"/>
      <c r="H101" s="20"/>
      <c r="I101" s="20"/>
      <c r="J101" s="20"/>
      <c r="K101" s="20"/>
      <c r="L101" s="20"/>
      <c r="M101" s="60"/>
    </row>
    <row r="102" spans="3:15" ht="33.75" customHeight="1" x14ac:dyDescent="0.2">
      <c r="C102" s="348" t="s">
        <v>7</v>
      </c>
      <c r="D102" s="349"/>
      <c r="E102" s="38" t="s">
        <v>21</v>
      </c>
      <c r="F102" s="100">
        <v>6.4304314329738057</v>
      </c>
      <c r="G102" s="62">
        <v>-0.42211888948075771</v>
      </c>
      <c r="H102" s="97"/>
      <c r="I102" s="348" t="s">
        <v>7</v>
      </c>
      <c r="J102" s="38" t="s">
        <v>21</v>
      </c>
      <c r="K102" s="100">
        <v>6.8076065587060945</v>
      </c>
      <c r="L102" s="63">
        <v>-0.37570134887212792</v>
      </c>
      <c r="M102" s="354" t="s">
        <v>9</v>
      </c>
    </row>
    <row r="103" spans="3:15" ht="33.75" customHeight="1" x14ac:dyDescent="0.2">
      <c r="C103" s="350"/>
      <c r="D103" s="351"/>
      <c r="E103" s="49" t="s">
        <v>22</v>
      </c>
      <c r="F103" s="101">
        <v>7.5548184913922842</v>
      </c>
      <c r="G103" s="65">
        <v>-0.24678058542934433</v>
      </c>
      <c r="H103" s="41"/>
      <c r="I103" s="350"/>
      <c r="J103" s="49" t="s">
        <v>22</v>
      </c>
      <c r="K103" s="101">
        <v>7.9358576435251917</v>
      </c>
      <c r="L103" s="66">
        <v>-0.17723310485430144</v>
      </c>
      <c r="M103" s="354" t="s">
        <v>27</v>
      </c>
    </row>
    <row r="104" spans="3:15" ht="33.75" customHeight="1" x14ac:dyDescent="0.2">
      <c r="C104" s="350"/>
      <c r="D104" s="351"/>
      <c r="E104" s="42" t="s">
        <v>23</v>
      </c>
      <c r="F104" s="102">
        <v>7.0726809560769794</v>
      </c>
      <c r="G104" s="65">
        <v>0.123130018494777</v>
      </c>
      <c r="H104" s="41"/>
      <c r="I104" s="350"/>
      <c r="J104" s="42" t="s">
        <v>23</v>
      </c>
      <c r="K104" s="102">
        <v>7.302450869552394</v>
      </c>
      <c r="L104" s="66">
        <v>4.1476156908715645E-2</v>
      </c>
      <c r="M104" s="354" t="s">
        <v>27</v>
      </c>
      <c r="O104" s="103"/>
    </row>
    <row r="105" spans="3:15" ht="33.75" customHeight="1" x14ac:dyDescent="0.2">
      <c r="C105" s="350"/>
      <c r="D105" s="351"/>
      <c r="E105" s="49" t="s">
        <v>24</v>
      </c>
      <c r="F105" s="101">
        <v>3.9981865104275651</v>
      </c>
      <c r="G105" s="65">
        <v>0.32268615005721513</v>
      </c>
      <c r="H105" s="41"/>
      <c r="I105" s="350"/>
      <c r="J105" s="49" t="s">
        <v>24</v>
      </c>
      <c r="K105" s="101">
        <v>3.982089552238806</v>
      </c>
      <c r="L105" s="66">
        <v>8.6520321469575112E-2</v>
      </c>
      <c r="M105" s="354" t="s">
        <v>27</v>
      </c>
    </row>
    <row r="106" spans="3:15" ht="33.75" customHeight="1" thickBot="1" x14ac:dyDescent="0.25">
      <c r="C106" s="352"/>
      <c r="D106" s="353"/>
      <c r="E106" s="44" t="s">
        <v>25</v>
      </c>
      <c r="F106" s="104">
        <v>4.0816940987555199</v>
      </c>
      <c r="G106" s="68">
        <v>-0.14596154126913596</v>
      </c>
      <c r="H106" s="98"/>
      <c r="I106" s="352"/>
      <c r="J106" s="44" t="s">
        <v>25</v>
      </c>
      <c r="K106" s="104">
        <v>4.1277861825516897</v>
      </c>
      <c r="L106" s="69">
        <v>-9.2198097267528034E-2</v>
      </c>
      <c r="M106" s="354" t="s">
        <v>27</v>
      </c>
    </row>
    <row r="107" spans="3:15" ht="5.25" customHeight="1" thickBot="1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3:15" ht="20.100000000000001" customHeight="1" thickBot="1" x14ac:dyDescent="0.25">
      <c r="C108" s="256" t="s">
        <v>29</v>
      </c>
      <c r="D108" s="257"/>
      <c r="E108" s="257"/>
      <c r="F108" s="257"/>
      <c r="G108" s="257"/>
      <c r="H108" s="257"/>
      <c r="I108" s="257"/>
      <c r="J108" s="257"/>
      <c r="K108" s="257"/>
      <c r="L108" s="257"/>
      <c r="M108" s="258"/>
    </row>
    <row r="109" spans="3:15" ht="5.25" customHeight="1" thickBot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05"/>
    </row>
    <row r="110" spans="3:15" ht="33.75" customHeight="1" x14ac:dyDescent="0.2">
      <c r="C110" s="348" t="s">
        <v>7</v>
      </c>
      <c r="D110" s="349"/>
      <c r="E110" s="38" t="s">
        <v>21</v>
      </c>
      <c r="F110" s="87">
        <v>0.76518367085010219</v>
      </c>
      <c r="G110" s="40">
        <v>-8.4873979457812165E-2</v>
      </c>
      <c r="H110" s="97"/>
      <c r="I110" s="348" t="s">
        <v>7</v>
      </c>
      <c r="J110" s="38" t="s">
        <v>21</v>
      </c>
      <c r="K110" s="87">
        <v>0.73065389597747221</v>
      </c>
      <c r="L110" s="28">
        <v>-9.1944849512565208E-2</v>
      </c>
      <c r="M110" s="354" t="s">
        <v>9</v>
      </c>
    </row>
    <row r="111" spans="3:15" ht="33.75" customHeight="1" x14ac:dyDescent="0.2">
      <c r="C111" s="350"/>
      <c r="D111" s="351"/>
      <c r="E111" s="49" t="s">
        <v>22</v>
      </c>
      <c r="F111" s="91">
        <v>0.79882780810599652</v>
      </c>
      <c r="G111" s="31">
        <v>-5.3398035884664852E-2</v>
      </c>
      <c r="H111" s="41"/>
      <c r="I111" s="350"/>
      <c r="J111" s="49" t="s">
        <v>22</v>
      </c>
      <c r="K111" s="91">
        <v>0.79734166827329855</v>
      </c>
      <c r="L111" s="33">
        <v>-4.1927088636587229E-2</v>
      </c>
      <c r="M111" s="354" t="s">
        <v>27</v>
      </c>
    </row>
    <row r="112" spans="3:15" ht="33.75" customHeight="1" x14ac:dyDescent="0.2">
      <c r="C112" s="350"/>
      <c r="D112" s="351"/>
      <c r="E112" s="42" t="s">
        <v>23</v>
      </c>
      <c r="F112" s="88">
        <v>0.7268872671341029</v>
      </c>
      <c r="G112" s="31">
        <v>-3.9170625275435356E-2</v>
      </c>
      <c r="H112" s="41"/>
      <c r="I112" s="350"/>
      <c r="J112" s="42" t="s">
        <v>23</v>
      </c>
      <c r="K112" s="88">
        <v>0.72102380219743956</v>
      </c>
      <c r="L112" s="33">
        <v>-5.9309981497686848E-2</v>
      </c>
      <c r="M112" s="354" t="s">
        <v>27</v>
      </c>
    </row>
    <row r="113" spans="3:19" ht="33.75" customHeight="1" x14ac:dyDescent="0.2">
      <c r="C113" s="350"/>
      <c r="D113" s="351"/>
      <c r="E113" s="49" t="s">
        <v>24</v>
      </c>
      <c r="F113" s="91">
        <v>0.65052884833628399</v>
      </c>
      <c r="G113" s="31">
        <v>-0.13534957387434954</v>
      </c>
      <c r="H113" s="41"/>
      <c r="I113" s="350"/>
      <c r="J113" s="49" t="s">
        <v>24</v>
      </c>
      <c r="K113" s="91">
        <v>0.61788197530066302</v>
      </c>
      <c r="L113" s="33">
        <v>-9.3850212470183103E-2</v>
      </c>
      <c r="M113" s="354" t="s">
        <v>27</v>
      </c>
    </row>
    <row r="114" spans="3:19" ht="33.75" customHeight="1" thickBot="1" x14ac:dyDescent="0.25">
      <c r="C114" s="352"/>
      <c r="D114" s="353"/>
      <c r="E114" s="44" t="s">
        <v>25</v>
      </c>
      <c r="F114" s="89">
        <v>0.65192998204667862</v>
      </c>
      <c r="G114" s="46">
        <v>-1.1712674961119718E-2</v>
      </c>
      <c r="H114" s="98"/>
      <c r="I114" s="352"/>
      <c r="J114" s="44" t="s">
        <v>25</v>
      </c>
      <c r="K114" s="89">
        <v>0.62269117244317318</v>
      </c>
      <c r="L114" s="37">
        <v>-4.7123466275523218E-2</v>
      </c>
      <c r="M114" s="354" t="s">
        <v>27</v>
      </c>
    </row>
    <row r="115" spans="3:19" ht="5.25" customHeight="1" thickBot="1" x14ac:dyDescent="0.25">
      <c r="C115" s="106"/>
      <c r="D115" s="106"/>
      <c r="E115" s="107"/>
      <c r="F115" s="59"/>
      <c r="G115" s="108"/>
      <c r="H115" s="109"/>
      <c r="I115" s="59"/>
      <c r="J115" s="108"/>
      <c r="K115" s="107"/>
      <c r="L115" s="106"/>
      <c r="M115" s="110"/>
    </row>
    <row r="116" spans="3:19" ht="17.25" customHeight="1" thickBot="1" x14ac:dyDescent="0.25">
      <c r="C116" s="335"/>
      <c r="D116" s="336"/>
      <c r="E116" s="336"/>
      <c r="F116" s="336"/>
      <c r="G116" s="336"/>
      <c r="H116" s="336"/>
      <c r="I116" s="336"/>
      <c r="J116" s="336"/>
      <c r="K116" s="336"/>
      <c r="L116" s="336"/>
      <c r="M116" s="337"/>
    </row>
    <row r="117" spans="3:19" ht="50.25" customHeight="1" thickBot="1" x14ac:dyDescent="0.25">
      <c r="C117" s="2"/>
      <c r="D117" s="2"/>
      <c r="E117" s="280" t="str">
        <f>$E$1</f>
        <v>INDICADORES TURÍSTICOS DE TENERIFE definitivo</v>
      </c>
      <c r="F117" s="280"/>
      <c r="G117" s="280"/>
      <c r="H117" s="280"/>
      <c r="I117" s="280"/>
      <c r="J117" s="280"/>
      <c r="K117" s="280"/>
      <c r="L117" s="2"/>
      <c r="M117" s="2"/>
    </row>
    <row r="118" spans="3:19" s="1" customFormat="1" ht="9" customHeight="1" thickBot="1" x14ac:dyDescent="0.25">
      <c r="C118" s="111"/>
      <c r="D118" s="112"/>
      <c r="E118" s="113"/>
      <c r="F118" s="113"/>
      <c r="G118" s="113"/>
      <c r="H118" s="113"/>
      <c r="I118" s="113"/>
      <c r="J118" s="113"/>
      <c r="K118" s="113"/>
      <c r="L118" s="112"/>
      <c r="M118" s="114"/>
      <c r="O118" s="3"/>
      <c r="P118" s="3"/>
      <c r="Q118" s="3"/>
      <c r="R118" s="3"/>
      <c r="S118" s="3"/>
    </row>
    <row r="119" spans="3:19" ht="33" customHeight="1" thickBot="1" x14ac:dyDescent="0.25">
      <c r="C119" s="343" t="s">
        <v>30</v>
      </c>
      <c r="D119" s="344"/>
      <c r="E119" s="344"/>
      <c r="F119" s="344"/>
      <c r="G119" s="344"/>
      <c r="H119" s="344"/>
      <c r="I119" s="344"/>
      <c r="J119" s="344"/>
      <c r="K119" s="344"/>
      <c r="L119" s="344"/>
      <c r="M119" s="345"/>
    </row>
    <row r="120" spans="3:19" ht="20.100000000000001" customHeight="1" x14ac:dyDescent="0.2">
      <c r="C120" s="115"/>
      <c r="D120" s="116"/>
      <c r="E120" s="116"/>
      <c r="F120" s="116"/>
      <c r="G120" s="346" t="str">
        <f>C2</f>
        <v>febrero 2018</v>
      </c>
      <c r="H120" s="347"/>
      <c r="I120" s="347"/>
      <c r="J120" s="116"/>
      <c r="K120" s="116"/>
      <c r="L120" s="116"/>
      <c r="M120" s="117"/>
    </row>
    <row r="121" spans="3:19" ht="5.25" customHeight="1" thickBot="1" x14ac:dyDescent="0.25">
      <c r="C121" s="118"/>
      <c r="D121" s="116"/>
      <c r="E121" s="116"/>
      <c r="F121" s="116"/>
      <c r="G121" s="119"/>
      <c r="H121" s="119"/>
      <c r="I121" s="119"/>
      <c r="J121" s="116"/>
      <c r="K121" s="116"/>
      <c r="L121" s="116"/>
      <c r="M121" s="120"/>
    </row>
    <row r="122" spans="3:19" ht="33" customHeight="1" thickTop="1" thickBot="1" x14ac:dyDescent="0.25">
      <c r="C122" s="121"/>
      <c r="D122" s="326" t="s">
        <v>7</v>
      </c>
      <c r="E122" s="327"/>
      <c r="F122" s="326" t="s">
        <v>31</v>
      </c>
      <c r="G122" s="327"/>
      <c r="H122" s="326" t="s">
        <v>32</v>
      </c>
      <c r="I122" s="327"/>
      <c r="J122" s="326" t="s">
        <v>33</v>
      </c>
      <c r="K122" s="327"/>
      <c r="L122" s="326" t="s">
        <v>34</v>
      </c>
      <c r="M122" s="327"/>
    </row>
    <row r="123" spans="3:19" ht="31.5" customHeight="1" thickBot="1" x14ac:dyDescent="0.25">
      <c r="C123" s="122"/>
      <c r="D123" s="123" t="s">
        <v>35</v>
      </c>
      <c r="E123" s="124" t="s">
        <v>36</v>
      </c>
      <c r="F123" s="123" t="s">
        <v>35</v>
      </c>
      <c r="G123" s="124" t="s">
        <v>36</v>
      </c>
      <c r="H123" s="123" t="s">
        <v>35</v>
      </c>
      <c r="I123" s="124" t="s">
        <v>36</v>
      </c>
      <c r="J123" s="123" t="s">
        <v>35</v>
      </c>
      <c r="K123" s="124" t="s">
        <v>36</v>
      </c>
      <c r="L123" s="123" t="s">
        <v>35</v>
      </c>
      <c r="M123" s="124" t="s">
        <v>36</v>
      </c>
    </row>
    <row r="124" spans="3:19" ht="24" customHeight="1" thickBot="1" x14ac:dyDescent="0.25">
      <c r="C124" s="125" t="s">
        <v>37</v>
      </c>
      <c r="D124" s="126">
        <v>62524</v>
      </c>
      <c r="E124" s="127">
        <v>4.7917539596078029E-2</v>
      </c>
      <c r="F124" s="126">
        <v>14128</v>
      </c>
      <c r="G124" s="127">
        <v>2.4882118244468732E-2</v>
      </c>
      <c r="H124" s="126">
        <v>2664</v>
      </c>
      <c r="I124" s="127">
        <v>0.5127768313458263</v>
      </c>
      <c r="J124" s="126">
        <v>21336</v>
      </c>
      <c r="K124" s="127">
        <v>-3.3170201196302318E-2</v>
      </c>
      <c r="L124" s="126">
        <v>24396</v>
      </c>
      <c r="M124" s="127">
        <v>0.10634438347467245</v>
      </c>
    </row>
    <row r="125" spans="3:19" ht="27" customHeight="1" thickBot="1" x14ac:dyDescent="0.25">
      <c r="C125" s="128" t="s">
        <v>38</v>
      </c>
      <c r="D125" s="129">
        <v>14607.889974243411</v>
      </c>
      <c r="E125" s="130">
        <v>7.4602822881795205E-3</v>
      </c>
      <c r="F125" s="129" t="s">
        <v>39</v>
      </c>
      <c r="G125" s="130" t="s">
        <v>39</v>
      </c>
      <c r="H125" s="129" t="s">
        <v>39</v>
      </c>
      <c r="I125" s="130" t="s">
        <v>39</v>
      </c>
      <c r="J125" s="129" t="s">
        <v>39</v>
      </c>
      <c r="K125" s="130" t="s">
        <v>39</v>
      </c>
      <c r="L125" s="129" t="s">
        <v>39</v>
      </c>
      <c r="M125" s="130" t="s">
        <v>39</v>
      </c>
    </row>
    <row r="126" spans="3:19" ht="28.5" customHeight="1" thickBot="1" x14ac:dyDescent="0.25">
      <c r="C126" s="131" t="s">
        <v>40</v>
      </c>
      <c r="D126" s="132">
        <v>8126.3645297206676</v>
      </c>
      <c r="E126" s="133">
        <v>0.1362859740593676</v>
      </c>
      <c r="F126" s="132" t="s">
        <v>39</v>
      </c>
      <c r="G126" s="133" t="s">
        <v>39</v>
      </c>
      <c r="H126" s="132" t="s">
        <v>39</v>
      </c>
      <c r="I126" s="133" t="s">
        <v>39</v>
      </c>
      <c r="J126" s="132" t="s">
        <v>39</v>
      </c>
      <c r="K126" s="133" t="s">
        <v>39</v>
      </c>
      <c r="L126" s="132" t="s">
        <v>39</v>
      </c>
      <c r="M126" s="133" t="s">
        <v>39</v>
      </c>
    </row>
    <row r="127" spans="3:19" ht="27.75" customHeight="1" thickBot="1" x14ac:dyDescent="0.25">
      <c r="C127" s="131" t="s">
        <v>41</v>
      </c>
      <c r="D127" s="132">
        <v>39789.745496035917</v>
      </c>
      <c r="E127" s="133">
        <v>4.672415625071169E-2</v>
      </c>
      <c r="F127" s="132" t="s">
        <v>39</v>
      </c>
      <c r="G127" s="133" t="s">
        <v>39</v>
      </c>
      <c r="H127" s="132" t="s">
        <v>39</v>
      </c>
      <c r="I127" s="133" t="s">
        <v>39</v>
      </c>
      <c r="J127" s="132" t="s">
        <v>39</v>
      </c>
      <c r="K127" s="133" t="s">
        <v>39</v>
      </c>
      <c r="L127" s="132" t="s">
        <v>39</v>
      </c>
      <c r="M127" s="133" t="s">
        <v>39</v>
      </c>
    </row>
    <row r="128" spans="3:19" ht="24" customHeight="1" thickBot="1" x14ac:dyDescent="0.25">
      <c r="C128" s="134" t="s">
        <v>42</v>
      </c>
      <c r="D128" s="135">
        <v>13429</v>
      </c>
      <c r="E128" s="133">
        <v>-2.4480604387621674E-2</v>
      </c>
      <c r="F128" s="135">
        <v>164</v>
      </c>
      <c r="G128" s="133">
        <v>-0.27753303964757714</v>
      </c>
      <c r="H128" s="135">
        <v>123</v>
      </c>
      <c r="I128" s="133">
        <v>6.956521739130439E-2</v>
      </c>
      <c r="J128" s="135">
        <v>981</v>
      </c>
      <c r="K128" s="133">
        <v>-0.13492063492063489</v>
      </c>
      <c r="L128" s="135">
        <v>12161</v>
      </c>
      <c r="M128" s="133">
        <v>-1.0496338486574497E-2</v>
      </c>
    </row>
    <row r="129" spans="3:13" ht="24" customHeight="1" thickBot="1" x14ac:dyDescent="0.25">
      <c r="C129" s="136" t="s">
        <v>43</v>
      </c>
      <c r="D129" s="132">
        <v>13587</v>
      </c>
      <c r="E129" s="133">
        <v>2.7217056021773711E-2</v>
      </c>
      <c r="F129" s="132">
        <v>169</v>
      </c>
      <c r="G129" s="133">
        <v>4.9689440993788914E-2</v>
      </c>
      <c r="H129" s="132">
        <v>85</v>
      </c>
      <c r="I129" s="133">
        <v>0.19718309859154926</v>
      </c>
      <c r="J129" s="132">
        <v>599</v>
      </c>
      <c r="K129" s="133">
        <v>-7.7041602465331316E-2</v>
      </c>
      <c r="L129" s="132">
        <v>12734</v>
      </c>
      <c r="M129" s="133">
        <v>3.1427182893244865E-2</v>
      </c>
    </row>
    <row r="130" spans="3:13" ht="24" customHeight="1" thickBot="1" x14ac:dyDescent="0.25">
      <c r="C130" s="134" t="s">
        <v>44</v>
      </c>
      <c r="D130" s="135">
        <v>51113</v>
      </c>
      <c r="E130" s="133">
        <v>1.6365082521375918E-2</v>
      </c>
      <c r="F130" s="135">
        <v>1103</v>
      </c>
      <c r="G130" s="133">
        <v>0.18347639484978551</v>
      </c>
      <c r="H130" s="135">
        <v>1309</v>
      </c>
      <c r="I130" s="133">
        <v>0.58859223300970864</v>
      </c>
      <c r="J130" s="135">
        <v>20532</v>
      </c>
      <c r="K130" s="133">
        <v>4.5045045045045029E-2</v>
      </c>
      <c r="L130" s="135">
        <v>28169</v>
      </c>
      <c r="M130" s="133">
        <v>-2.4855471319278566E-2</v>
      </c>
    </row>
    <row r="131" spans="3:13" ht="24" customHeight="1" thickBot="1" x14ac:dyDescent="0.25">
      <c r="C131" s="136" t="s">
        <v>45</v>
      </c>
      <c r="D131" s="132">
        <v>16733</v>
      </c>
      <c r="E131" s="133">
        <v>-6.4516129032258118E-2</v>
      </c>
      <c r="F131" s="132">
        <v>674</v>
      </c>
      <c r="G131" s="133">
        <v>-1.4619883040935644E-2</v>
      </c>
      <c r="H131" s="132">
        <v>610</v>
      </c>
      <c r="I131" s="133">
        <v>0.63538873994638068</v>
      </c>
      <c r="J131" s="132">
        <v>2955</v>
      </c>
      <c r="K131" s="133">
        <v>-3.2416502946954862E-2</v>
      </c>
      <c r="L131" s="132">
        <v>12494</v>
      </c>
      <c r="M131" s="133">
        <v>-9.3060394889663223E-2</v>
      </c>
    </row>
    <row r="132" spans="3:13" ht="24" customHeight="1" thickBot="1" x14ac:dyDescent="0.25">
      <c r="C132" s="134" t="s">
        <v>46</v>
      </c>
      <c r="D132" s="135">
        <v>145025</v>
      </c>
      <c r="E132" s="133">
        <v>-7.2628451733910415E-3</v>
      </c>
      <c r="F132" s="135">
        <v>1206</v>
      </c>
      <c r="G132" s="133">
        <v>-1.1475409836065542E-2</v>
      </c>
      <c r="H132" s="135">
        <v>376</v>
      </c>
      <c r="I132" s="133">
        <v>0.60000000000000009</v>
      </c>
      <c r="J132" s="135">
        <v>7951</v>
      </c>
      <c r="K132" s="133">
        <v>-0.16594985838665688</v>
      </c>
      <c r="L132" s="135">
        <v>135492</v>
      </c>
      <c r="M132" s="133">
        <v>2.9164014271121363E-3</v>
      </c>
    </row>
    <row r="133" spans="3:13" ht="24" customHeight="1" thickBot="1" x14ac:dyDescent="0.25">
      <c r="C133" s="136" t="s">
        <v>47</v>
      </c>
      <c r="D133" s="132">
        <v>7425</v>
      </c>
      <c r="E133" s="133">
        <v>0.14938080495356032</v>
      </c>
      <c r="F133" s="132">
        <v>96</v>
      </c>
      <c r="G133" s="133">
        <v>-0.28358208955223885</v>
      </c>
      <c r="H133" s="132">
        <v>38</v>
      </c>
      <c r="I133" s="133">
        <v>1.375</v>
      </c>
      <c r="J133" s="132">
        <v>471</v>
      </c>
      <c r="K133" s="133">
        <v>8.5253456221198176E-2</v>
      </c>
      <c r="L133" s="132">
        <v>6820</v>
      </c>
      <c r="M133" s="133">
        <v>0.16065350578624904</v>
      </c>
    </row>
    <row r="134" spans="3:13" ht="24" customHeight="1" thickBot="1" x14ac:dyDescent="0.25">
      <c r="C134" s="134" t="s">
        <v>48</v>
      </c>
      <c r="D134" s="135">
        <v>12194</v>
      </c>
      <c r="E134" s="133">
        <v>4.5308509761925464E-3</v>
      </c>
      <c r="F134" s="135">
        <v>557</v>
      </c>
      <c r="G134" s="133">
        <v>-0.15987933634992457</v>
      </c>
      <c r="H134" s="135">
        <v>137</v>
      </c>
      <c r="I134" s="133">
        <v>0.12295081967213117</v>
      </c>
      <c r="J134" s="135">
        <v>1195</v>
      </c>
      <c r="K134" s="133">
        <v>1.6764459346185756E-3</v>
      </c>
      <c r="L134" s="135">
        <v>10305</v>
      </c>
      <c r="M134" s="133">
        <v>1.417183348095663E-2</v>
      </c>
    </row>
    <row r="135" spans="3:13" ht="24" customHeight="1" thickBot="1" x14ac:dyDescent="0.25">
      <c r="C135" s="136" t="s">
        <v>49</v>
      </c>
      <c r="D135" s="132">
        <v>63172</v>
      </c>
      <c r="E135" s="133">
        <v>-1.8839791876990031E-2</v>
      </c>
      <c r="F135" s="132">
        <v>1054</v>
      </c>
      <c r="G135" s="133">
        <v>-6.9726390114739578E-2</v>
      </c>
      <c r="H135" s="132">
        <v>149</v>
      </c>
      <c r="I135" s="133">
        <v>2.4651162790697674</v>
      </c>
      <c r="J135" s="132">
        <v>8924</v>
      </c>
      <c r="K135" s="133">
        <v>-6.4275977770787418E-2</v>
      </c>
      <c r="L135" s="132">
        <v>53045</v>
      </c>
      <c r="M135" s="133">
        <v>-1.1682068862721717E-2</v>
      </c>
    </row>
    <row r="136" spans="3:13" ht="24" customHeight="1" thickBot="1" x14ac:dyDescent="0.25">
      <c r="C136" s="137" t="s">
        <v>50</v>
      </c>
      <c r="D136" s="135">
        <v>20930</v>
      </c>
      <c r="E136" s="133">
        <v>-4.6860057379662146E-2</v>
      </c>
      <c r="F136" s="135">
        <v>431</v>
      </c>
      <c r="G136" s="133">
        <v>-4.6460176991150459E-2</v>
      </c>
      <c r="H136" s="135">
        <v>58</v>
      </c>
      <c r="I136" s="133">
        <v>1.9</v>
      </c>
      <c r="J136" s="135">
        <v>2181</v>
      </c>
      <c r="K136" s="133">
        <v>-0.20633187772925765</v>
      </c>
      <c r="L136" s="135">
        <v>18260</v>
      </c>
      <c r="M136" s="133">
        <v>-2.5561662842200739E-2</v>
      </c>
    </row>
    <row r="137" spans="3:13" ht="24" customHeight="1" thickBot="1" x14ac:dyDescent="0.25">
      <c r="C137" s="131" t="s">
        <v>51</v>
      </c>
      <c r="D137" s="132">
        <v>11257</v>
      </c>
      <c r="E137" s="133">
        <v>-2.7808964504706823E-2</v>
      </c>
      <c r="F137" s="132">
        <v>263</v>
      </c>
      <c r="G137" s="133">
        <v>6.4777327935222617E-2</v>
      </c>
      <c r="H137" s="132">
        <v>39</v>
      </c>
      <c r="I137" s="133">
        <v>5.5</v>
      </c>
      <c r="J137" s="132">
        <v>830</v>
      </c>
      <c r="K137" s="133">
        <v>-0.18467583497053042</v>
      </c>
      <c r="L137" s="132">
        <v>10125</v>
      </c>
      <c r="M137" s="133">
        <v>-1.7753201396973228E-2</v>
      </c>
    </row>
    <row r="138" spans="3:13" ht="24" customHeight="1" thickBot="1" x14ac:dyDescent="0.25">
      <c r="C138" s="137" t="s">
        <v>52</v>
      </c>
      <c r="D138" s="135">
        <v>13804</v>
      </c>
      <c r="E138" s="133">
        <v>-0.14837435992349934</v>
      </c>
      <c r="F138" s="135">
        <v>191</v>
      </c>
      <c r="G138" s="133">
        <v>9.1428571428571415E-2</v>
      </c>
      <c r="H138" s="135">
        <v>40</v>
      </c>
      <c r="I138" s="133">
        <v>7</v>
      </c>
      <c r="J138" s="135">
        <v>1520</v>
      </c>
      <c r="K138" s="133">
        <v>-0.16620954470652771</v>
      </c>
      <c r="L138" s="135">
        <v>12053</v>
      </c>
      <c r="M138" s="133">
        <v>-0.1515556806982965</v>
      </c>
    </row>
    <row r="139" spans="3:13" ht="24" customHeight="1" thickBot="1" x14ac:dyDescent="0.25">
      <c r="C139" s="131" t="s">
        <v>53</v>
      </c>
      <c r="D139" s="132">
        <v>17181</v>
      </c>
      <c r="E139" s="133">
        <v>0.17372591884137178</v>
      </c>
      <c r="F139" s="132">
        <v>169</v>
      </c>
      <c r="G139" s="133">
        <v>-0.34749034749034746</v>
      </c>
      <c r="H139" s="132">
        <v>12</v>
      </c>
      <c r="I139" s="133">
        <v>0</v>
      </c>
      <c r="J139" s="132">
        <v>4393</v>
      </c>
      <c r="K139" s="133">
        <v>0.11271529888551157</v>
      </c>
      <c r="L139" s="132">
        <v>12607</v>
      </c>
      <c r="M139" s="133">
        <v>0.2100009597850081</v>
      </c>
    </row>
    <row r="140" spans="3:13" ht="24" customHeight="1" thickBot="1" x14ac:dyDescent="0.25">
      <c r="C140" s="134" t="s">
        <v>54</v>
      </c>
      <c r="D140" s="135">
        <v>3897</v>
      </c>
      <c r="E140" s="133">
        <v>-8.0245456691054984E-2</v>
      </c>
      <c r="F140" s="135">
        <v>124</v>
      </c>
      <c r="G140" s="133">
        <v>-0.20512820512820518</v>
      </c>
      <c r="H140" s="135">
        <v>88</v>
      </c>
      <c r="I140" s="133">
        <v>0.15789473684210531</v>
      </c>
      <c r="J140" s="135">
        <v>653</v>
      </c>
      <c r="K140" s="133">
        <v>-0.18781094527363185</v>
      </c>
      <c r="L140" s="135">
        <v>3032</v>
      </c>
      <c r="M140" s="133">
        <v>-5.2796001249609481E-2</v>
      </c>
    </row>
    <row r="141" spans="3:13" ht="24" customHeight="1" thickBot="1" x14ac:dyDescent="0.25">
      <c r="C141" s="136" t="s">
        <v>55</v>
      </c>
      <c r="D141" s="132">
        <v>2906</v>
      </c>
      <c r="E141" s="133">
        <v>-0.22815405046480741</v>
      </c>
      <c r="F141" s="132">
        <v>73</v>
      </c>
      <c r="G141" s="133">
        <v>-0.29126213592233008</v>
      </c>
      <c r="H141" s="132">
        <v>65</v>
      </c>
      <c r="I141" s="133">
        <v>6.5573770491803351E-2</v>
      </c>
      <c r="J141" s="132">
        <v>596</v>
      </c>
      <c r="K141" s="133">
        <v>-0.24842370744010089</v>
      </c>
      <c r="L141" s="132">
        <v>2172</v>
      </c>
      <c r="M141" s="133">
        <v>-0.22649572649572647</v>
      </c>
    </row>
    <row r="142" spans="3:13" ht="24" customHeight="1" thickBot="1" x14ac:dyDescent="0.25">
      <c r="C142" s="134" t="s">
        <v>56</v>
      </c>
      <c r="D142" s="135">
        <v>3805</v>
      </c>
      <c r="E142" s="133">
        <v>-0.10910793725122925</v>
      </c>
      <c r="F142" s="135">
        <v>157</v>
      </c>
      <c r="G142" s="133">
        <v>-0.1179775280898876</v>
      </c>
      <c r="H142" s="135">
        <v>33</v>
      </c>
      <c r="I142" s="133">
        <v>0.32000000000000006</v>
      </c>
      <c r="J142" s="135">
        <v>381</v>
      </c>
      <c r="K142" s="133">
        <v>-0.16812227074235808</v>
      </c>
      <c r="L142" s="135">
        <v>3234</v>
      </c>
      <c r="M142" s="133">
        <v>-0.10415512465373966</v>
      </c>
    </row>
    <row r="143" spans="3:13" ht="24" customHeight="1" thickBot="1" x14ac:dyDescent="0.25">
      <c r="C143" s="136" t="s">
        <v>57</v>
      </c>
      <c r="D143" s="132">
        <v>11695</v>
      </c>
      <c r="E143" s="133">
        <v>0.10916160849772383</v>
      </c>
      <c r="F143" s="132">
        <v>241</v>
      </c>
      <c r="G143" s="133">
        <v>7.1111111111111125E-2</v>
      </c>
      <c r="H143" s="132">
        <v>73</v>
      </c>
      <c r="I143" s="133">
        <v>1.3548387096774195</v>
      </c>
      <c r="J143" s="132">
        <v>1039</v>
      </c>
      <c r="K143" s="133">
        <v>-0.21879699248120299</v>
      </c>
      <c r="L143" s="132">
        <v>10342</v>
      </c>
      <c r="M143" s="133">
        <v>0.15449877204733209</v>
      </c>
    </row>
    <row r="144" spans="3:13" ht="24" customHeight="1" thickBot="1" x14ac:dyDescent="0.25">
      <c r="C144" s="134" t="s">
        <v>58</v>
      </c>
      <c r="D144" s="135">
        <v>11471</v>
      </c>
      <c r="E144" s="133">
        <v>-7.2150772466229918E-2</v>
      </c>
      <c r="F144" s="135">
        <v>459</v>
      </c>
      <c r="G144" s="133">
        <v>-0.38389261744966441</v>
      </c>
      <c r="H144" s="135">
        <v>54</v>
      </c>
      <c r="I144" s="133">
        <v>-1.8181818181818188E-2</v>
      </c>
      <c r="J144" s="135">
        <v>2639</v>
      </c>
      <c r="K144" s="133">
        <v>-0.12615894039735098</v>
      </c>
      <c r="L144" s="135">
        <v>8319</v>
      </c>
      <c r="M144" s="133">
        <v>-2.6220297319442865E-2</v>
      </c>
    </row>
    <row r="145" spans="3:13" ht="24" customHeight="1" thickBot="1" x14ac:dyDescent="0.25">
      <c r="C145" s="136" t="s">
        <v>59</v>
      </c>
      <c r="D145" s="132">
        <v>1533</v>
      </c>
      <c r="E145" s="133">
        <v>1.1213720316622711E-2</v>
      </c>
      <c r="F145" s="132">
        <v>228</v>
      </c>
      <c r="G145" s="133">
        <v>0.2808988764044944</v>
      </c>
      <c r="H145" s="132">
        <v>71</v>
      </c>
      <c r="I145" s="133">
        <v>0.16393442622950816</v>
      </c>
      <c r="J145" s="132">
        <v>253</v>
      </c>
      <c r="K145" s="133">
        <v>-4.166666666666663E-2</v>
      </c>
      <c r="L145" s="132">
        <v>981</v>
      </c>
      <c r="M145" s="133">
        <v>-3.1589338598223105E-2</v>
      </c>
    </row>
    <row r="146" spans="3:13" ht="24" customHeight="1" thickBot="1" x14ac:dyDescent="0.25">
      <c r="C146" s="134" t="s">
        <v>60</v>
      </c>
      <c r="D146" s="135">
        <v>1772</v>
      </c>
      <c r="E146" s="133">
        <v>0.35163996948893983</v>
      </c>
      <c r="F146" s="135">
        <v>349</v>
      </c>
      <c r="G146" s="133">
        <v>0.2202797202797202</v>
      </c>
      <c r="H146" s="135">
        <v>115</v>
      </c>
      <c r="I146" s="133">
        <v>2.7096774193548385</v>
      </c>
      <c r="J146" s="135">
        <v>347</v>
      </c>
      <c r="K146" s="133">
        <v>0.37698412698412698</v>
      </c>
      <c r="L146" s="135">
        <v>961</v>
      </c>
      <c r="M146" s="133">
        <v>0.29514824797843664</v>
      </c>
    </row>
    <row r="147" spans="3:13" ht="24" customHeight="1" thickBot="1" x14ac:dyDescent="0.25">
      <c r="C147" s="136" t="s">
        <v>61</v>
      </c>
      <c r="D147" s="138">
        <v>7119</v>
      </c>
      <c r="E147" s="139">
        <v>0.3834045860862807</v>
      </c>
      <c r="F147" s="138">
        <v>658</v>
      </c>
      <c r="G147" s="139">
        <v>0.18132854578096946</v>
      </c>
      <c r="H147" s="138">
        <v>239</v>
      </c>
      <c r="I147" s="139">
        <v>3.0508474576271185</v>
      </c>
      <c r="J147" s="138">
        <v>1694</v>
      </c>
      <c r="K147" s="139">
        <v>0.56851851851851842</v>
      </c>
      <c r="L147" s="138">
        <v>4528</v>
      </c>
      <c r="M147" s="139">
        <v>0.31246376811594212</v>
      </c>
    </row>
    <row r="148" spans="3:13" ht="30.75" customHeight="1" thickTop="1" thickBot="1" x14ac:dyDescent="0.25">
      <c r="C148" s="140" t="s">
        <v>62</v>
      </c>
      <c r="D148" s="141">
        <v>366876</v>
      </c>
      <c r="E148" s="142">
        <v>-1.4072124400845709E-3</v>
      </c>
      <c r="F148" s="141">
        <v>7312</v>
      </c>
      <c r="G148" s="142">
        <v>-3.5610656818781283E-2</v>
      </c>
      <c r="H148" s="141">
        <v>3565</v>
      </c>
      <c r="I148" s="142">
        <v>0.62192902638762515</v>
      </c>
      <c r="J148" s="141">
        <v>51210</v>
      </c>
      <c r="K148" s="142">
        <v>-3.7080215110375736E-2</v>
      </c>
      <c r="L148" s="141">
        <v>304789</v>
      </c>
      <c r="M148" s="142">
        <v>1.1759643400310882E-3</v>
      </c>
    </row>
    <row r="149" spans="3:13" ht="24" customHeight="1" thickBot="1" x14ac:dyDescent="0.25">
      <c r="C149" s="143" t="s">
        <v>8</v>
      </c>
      <c r="D149" s="144">
        <v>429400</v>
      </c>
      <c r="E149" s="145">
        <v>5.4840326138370088E-3</v>
      </c>
      <c r="F149" s="144">
        <v>21440</v>
      </c>
      <c r="G149" s="145">
        <v>3.4164833621941337E-3</v>
      </c>
      <c r="H149" s="144">
        <v>6229</v>
      </c>
      <c r="I149" s="145">
        <v>0.57337711543319014</v>
      </c>
      <c r="J149" s="144">
        <v>72546</v>
      </c>
      <c r="K149" s="145">
        <v>-3.5933554817275781E-2</v>
      </c>
      <c r="L149" s="144">
        <v>329185</v>
      </c>
      <c r="M149" s="145">
        <v>8.2791700614428532E-3</v>
      </c>
    </row>
    <row r="150" spans="3:13" ht="13.5" thickBot="1" x14ac:dyDescent="0.25">
      <c r="C150" s="13"/>
      <c r="D150" s="4"/>
      <c r="E150" s="4"/>
      <c r="F150" s="4"/>
      <c r="G150" s="4"/>
      <c r="H150" s="4"/>
      <c r="I150" s="4"/>
      <c r="J150" s="4"/>
      <c r="K150" s="4"/>
      <c r="L150" s="4"/>
      <c r="M150" s="146"/>
    </row>
    <row r="151" spans="3:13" ht="35.25" customHeight="1" thickBot="1" x14ac:dyDescent="0.25">
      <c r="C151" s="343" t="s">
        <v>30</v>
      </c>
      <c r="D151" s="344"/>
      <c r="E151" s="344"/>
      <c r="F151" s="344"/>
      <c r="G151" s="344"/>
      <c r="H151" s="344"/>
      <c r="I151" s="344"/>
      <c r="J151" s="344"/>
      <c r="K151" s="344"/>
      <c r="L151" s="344"/>
      <c r="M151" s="345"/>
    </row>
    <row r="152" spans="3:13" ht="20.100000000000001" customHeight="1" x14ac:dyDescent="0.2">
      <c r="C152" s="115"/>
      <c r="D152" s="116"/>
      <c r="E152" s="116"/>
      <c r="F152" s="116"/>
      <c r="G152" s="346" t="str">
        <f>I2</f>
        <v>acumulado febrero 2018</v>
      </c>
      <c r="H152" s="347"/>
      <c r="I152" s="347"/>
      <c r="J152" s="116"/>
      <c r="K152" s="116"/>
      <c r="L152" s="116"/>
      <c r="M152" s="117"/>
    </row>
    <row r="153" spans="3:13" ht="5.25" customHeight="1" thickBot="1" x14ac:dyDescent="0.25">
      <c r="C153" s="118"/>
      <c r="D153" s="116"/>
      <c r="E153" s="116"/>
      <c r="F153" s="116"/>
      <c r="G153" s="119"/>
      <c r="H153" s="119"/>
      <c r="I153" s="119"/>
      <c r="J153" s="116"/>
      <c r="K153" s="116"/>
      <c r="L153" s="116"/>
      <c r="M153" s="120"/>
    </row>
    <row r="154" spans="3:13" ht="32.25" customHeight="1" thickTop="1" thickBot="1" x14ac:dyDescent="0.25">
      <c r="C154" s="121"/>
      <c r="D154" s="326" t="s">
        <v>7</v>
      </c>
      <c r="E154" s="327"/>
      <c r="F154" s="326" t="s">
        <v>31</v>
      </c>
      <c r="G154" s="327"/>
      <c r="H154" s="326" t="s">
        <v>32</v>
      </c>
      <c r="I154" s="327"/>
      <c r="J154" s="326" t="s">
        <v>33</v>
      </c>
      <c r="K154" s="327"/>
      <c r="L154" s="326" t="s">
        <v>34</v>
      </c>
      <c r="M154" s="327"/>
    </row>
    <row r="155" spans="3:13" ht="31.5" customHeight="1" thickBot="1" x14ac:dyDescent="0.25">
      <c r="C155" s="122"/>
      <c r="D155" s="123" t="s">
        <v>63</v>
      </c>
      <c r="E155" s="124" t="s">
        <v>36</v>
      </c>
      <c r="F155" s="123" t="s">
        <v>63</v>
      </c>
      <c r="G155" s="124" t="s">
        <v>36</v>
      </c>
      <c r="H155" s="123" t="s">
        <v>63</v>
      </c>
      <c r="I155" s="124" t="s">
        <v>36</v>
      </c>
      <c r="J155" s="123" t="s">
        <v>63</v>
      </c>
      <c r="K155" s="124" t="s">
        <v>36</v>
      </c>
      <c r="L155" s="123" t="s">
        <v>63</v>
      </c>
      <c r="M155" s="124" t="s">
        <v>36</v>
      </c>
    </row>
    <row r="156" spans="3:13" ht="24" customHeight="1" thickBot="1" x14ac:dyDescent="0.25">
      <c r="C156" s="125" t="s">
        <v>37</v>
      </c>
      <c r="D156" s="126">
        <v>124475</v>
      </c>
      <c r="E156" s="127">
        <v>4.8740416210295789E-2</v>
      </c>
      <c r="F156" s="126">
        <v>25891</v>
      </c>
      <c r="G156" s="127">
        <v>-2.1467175630220381E-2</v>
      </c>
      <c r="H156" s="126">
        <v>5202</v>
      </c>
      <c r="I156" s="127">
        <v>0.54407836153161182</v>
      </c>
      <c r="J156" s="126">
        <v>44432</v>
      </c>
      <c r="K156" s="127">
        <v>-7.9485576493704135E-3</v>
      </c>
      <c r="L156" s="126">
        <v>48950</v>
      </c>
      <c r="M156" s="127">
        <v>0.11063211870944323</v>
      </c>
    </row>
    <row r="157" spans="3:13" ht="24" customHeight="1" thickBot="1" x14ac:dyDescent="0.25">
      <c r="C157" s="128" t="s">
        <v>38</v>
      </c>
      <c r="D157" s="129">
        <v>27766.3025666143</v>
      </c>
      <c r="E157" s="130">
        <v>-2.9763030934037316E-2</v>
      </c>
      <c r="F157" s="129" t="s">
        <v>39</v>
      </c>
      <c r="G157" s="130" t="s">
        <v>39</v>
      </c>
      <c r="H157" s="129" t="s">
        <v>39</v>
      </c>
      <c r="I157" s="130" t="s">
        <v>39</v>
      </c>
      <c r="J157" s="129" t="s">
        <v>39</v>
      </c>
      <c r="K157" s="130" t="s">
        <v>39</v>
      </c>
      <c r="L157" s="129" t="s">
        <v>39</v>
      </c>
      <c r="M157" s="130" t="s">
        <v>39</v>
      </c>
    </row>
    <row r="158" spans="3:13" ht="24" customHeight="1" thickBot="1" x14ac:dyDescent="0.25">
      <c r="C158" s="131" t="s">
        <v>40</v>
      </c>
      <c r="D158" s="132">
        <v>15635.412751563101</v>
      </c>
      <c r="E158" s="133">
        <v>9.9991044351688929E-2</v>
      </c>
      <c r="F158" s="132" t="s">
        <v>39</v>
      </c>
      <c r="G158" s="133" t="s">
        <v>39</v>
      </c>
      <c r="H158" s="132" t="s">
        <v>39</v>
      </c>
      <c r="I158" s="133" t="s">
        <v>39</v>
      </c>
      <c r="J158" s="132" t="s">
        <v>39</v>
      </c>
      <c r="K158" s="133" t="s">
        <v>39</v>
      </c>
      <c r="L158" s="132" t="s">
        <v>39</v>
      </c>
      <c r="M158" s="133" t="s">
        <v>39</v>
      </c>
    </row>
    <row r="159" spans="3:13" ht="24" customHeight="1" thickBot="1" x14ac:dyDescent="0.25">
      <c r="C159" s="131" t="s">
        <v>41</v>
      </c>
      <c r="D159" s="132">
        <v>81073.284681760648</v>
      </c>
      <c r="E159" s="133">
        <v>6.8753301301378134E-2</v>
      </c>
      <c r="F159" s="132" t="s">
        <v>39</v>
      </c>
      <c r="G159" s="133" t="s">
        <v>39</v>
      </c>
      <c r="H159" s="132" t="s">
        <v>39</v>
      </c>
      <c r="I159" s="133" t="s">
        <v>39</v>
      </c>
      <c r="J159" s="132" t="s">
        <v>39</v>
      </c>
      <c r="K159" s="133" t="s">
        <v>39</v>
      </c>
      <c r="L159" s="132" t="s">
        <v>39</v>
      </c>
      <c r="M159" s="133" t="s">
        <v>39</v>
      </c>
    </row>
    <row r="160" spans="3:13" ht="24" customHeight="1" thickBot="1" x14ac:dyDescent="0.25">
      <c r="C160" s="134" t="s">
        <v>42</v>
      </c>
      <c r="D160" s="135">
        <v>25411</v>
      </c>
      <c r="E160" s="133">
        <v>-7.9253533224018513E-3</v>
      </c>
      <c r="F160" s="135">
        <v>349</v>
      </c>
      <c r="G160" s="133">
        <v>-0.25902335456475589</v>
      </c>
      <c r="H160" s="135">
        <v>267</v>
      </c>
      <c r="I160" s="133">
        <v>0.13617021276595742</v>
      </c>
      <c r="J160" s="135">
        <v>1977</v>
      </c>
      <c r="K160" s="133">
        <v>-4.6309696092619368E-2</v>
      </c>
      <c r="L160" s="135">
        <v>22818</v>
      </c>
      <c r="M160" s="133">
        <v>-7.4447120648124532E-4</v>
      </c>
    </row>
    <row r="161" spans="3:13" ht="24" customHeight="1" thickBot="1" x14ac:dyDescent="0.25">
      <c r="C161" s="136" t="s">
        <v>43</v>
      </c>
      <c r="D161" s="132">
        <v>27650</v>
      </c>
      <c r="E161" s="133">
        <v>2.2596989533636647E-2</v>
      </c>
      <c r="F161" s="132">
        <v>305</v>
      </c>
      <c r="G161" s="133">
        <v>-0.14084507042253525</v>
      </c>
      <c r="H161" s="132">
        <v>142</v>
      </c>
      <c r="I161" s="133">
        <v>-2.7397260273972601E-2</v>
      </c>
      <c r="J161" s="132">
        <v>1350</v>
      </c>
      <c r="K161" s="133">
        <v>-4.526166902404527E-2</v>
      </c>
      <c r="L161" s="132">
        <v>25853</v>
      </c>
      <c r="M161" s="133">
        <v>2.9016080241999642E-2</v>
      </c>
    </row>
    <row r="162" spans="3:13" ht="24" customHeight="1" thickBot="1" x14ac:dyDescent="0.25">
      <c r="C162" s="134" t="s">
        <v>44</v>
      </c>
      <c r="D162" s="135">
        <v>102451</v>
      </c>
      <c r="E162" s="133">
        <v>4.4511113071952213E-3</v>
      </c>
      <c r="F162" s="135">
        <v>2467</v>
      </c>
      <c r="G162" s="133">
        <v>0.29297693920335433</v>
      </c>
      <c r="H162" s="135">
        <v>2157</v>
      </c>
      <c r="I162" s="133">
        <v>0.24898668210770114</v>
      </c>
      <c r="J162" s="135">
        <v>41853</v>
      </c>
      <c r="K162" s="133">
        <v>1.6046805204894099E-2</v>
      </c>
      <c r="L162" s="135">
        <v>55974</v>
      </c>
      <c r="M162" s="133">
        <v>-2.0920062970089193E-2</v>
      </c>
    </row>
    <row r="163" spans="3:13" ht="24" customHeight="1" thickBot="1" x14ac:dyDescent="0.25">
      <c r="C163" s="136" t="s">
        <v>45</v>
      </c>
      <c r="D163" s="132">
        <v>30058</v>
      </c>
      <c r="E163" s="133">
        <v>-2.7217709310980887E-2</v>
      </c>
      <c r="F163" s="132">
        <v>1187</v>
      </c>
      <c r="G163" s="133">
        <v>0</v>
      </c>
      <c r="H163" s="132">
        <v>1067</v>
      </c>
      <c r="I163" s="133">
        <v>0.41699867197875173</v>
      </c>
      <c r="J163" s="132">
        <v>5055</v>
      </c>
      <c r="K163" s="133">
        <v>7.9192239160552624E-4</v>
      </c>
      <c r="L163" s="132">
        <v>22749</v>
      </c>
      <c r="M163" s="133">
        <v>-4.8477497072109799E-2</v>
      </c>
    </row>
    <row r="164" spans="3:13" ht="24" customHeight="1" thickBot="1" x14ac:dyDescent="0.25">
      <c r="C164" s="134" t="s">
        <v>46</v>
      </c>
      <c r="D164" s="135">
        <v>284765</v>
      </c>
      <c r="E164" s="133">
        <v>-1.1256670844805861E-2</v>
      </c>
      <c r="F164" s="135">
        <v>2324</v>
      </c>
      <c r="G164" s="133">
        <v>-9.2541975790706776E-2</v>
      </c>
      <c r="H164" s="135">
        <v>789</v>
      </c>
      <c r="I164" s="133">
        <v>0.35102739726027399</v>
      </c>
      <c r="J164" s="135">
        <v>16264</v>
      </c>
      <c r="K164" s="133">
        <v>-8.3873148200304226E-2</v>
      </c>
      <c r="L164" s="135">
        <v>265388</v>
      </c>
      <c r="M164" s="133">
        <v>-6.4430625699620769E-3</v>
      </c>
    </row>
    <row r="165" spans="3:13" ht="24" customHeight="1" thickBot="1" x14ac:dyDescent="0.25">
      <c r="C165" s="136" t="s">
        <v>47</v>
      </c>
      <c r="D165" s="132">
        <v>15855</v>
      </c>
      <c r="E165" s="133">
        <v>0.17418351477449456</v>
      </c>
      <c r="F165" s="132">
        <v>237</v>
      </c>
      <c r="G165" s="133">
        <v>-0.12546125461254609</v>
      </c>
      <c r="H165" s="132">
        <v>78</v>
      </c>
      <c r="I165" s="133">
        <v>0.16417910447761197</v>
      </c>
      <c r="J165" s="132">
        <v>1030</v>
      </c>
      <c r="K165" s="133">
        <v>0.16780045351473927</v>
      </c>
      <c r="L165" s="132">
        <v>14510</v>
      </c>
      <c r="M165" s="133">
        <v>0.18130749816819991</v>
      </c>
    </row>
    <row r="166" spans="3:13" ht="24" customHeight="1" thickBot="1" x14ac:dyDescent="0.25">
      <c r="C166" s="134" t="s">
        <v>48</v>
      </c>
      <c r="D166" s="135">
        <v>26519</v>
      </c>
      <c r="E166" s="133">
        <v>-4.6867699385400585E-2</v>
      </c>
      <c r="F166" s="135">
        <v>1145</v>
      </c>
      <c r="G166" s="133">
        <v>-0.25358539765319421</v>
      </c>
      <c r="H166" s="135">
        <v>371</v>
      </c>
      <c r="I166" s="133">
        <v>0.42145593869731801</v>
      </c>
      <c r="J166" s="135">
        <v>2540</v>
      </c>
      <c r="K166" s="133">
        <v>-6.0303366629670729E-2</v>
      </c>
      <c r="L166" s="135">
        <v>22463</v>
      </c>
      <c r="M166" s="133">
        <v>-3.6956055734190807E-2</v>
      </c>
    </row>
    <row r="167" spans="3:13" ht="24" customHeight="1" thickBot="1" x14ac:dyDescent="0.25">
      <c r="C167" s="136" t="s">
        <v>49</v>
      </c>
      <c r="D167" s="132">
        <v>127079</v>
      </c>
      <c r="E167" s="133">
        <v>-5.6199218691977526E-2</v>
      </c>
      <c r="F167" s="132">
        <v>2411</v>
      </c>
      <c r="G167" s="133">
        <v>-6.5865943432777962E-2</v>
      </c>
      <c r="H167" s="132">
        <v>301</v>
      </c>
      <c r="I167" s="133">
        <v>0.44711538461538458</v>
      </c>
      <c r="J167" s="132">
        <v>18905</v>
      </c>
      <c r="K167" s="133">
        <v>-0.10074680112258005</v>
      </c>
      <c r="L167" s="132">
        <v>105462</v>
      </c>
      <c r="M167" s="133">
        <v>-4.8468881390187124E-2</v>
      </c>
    </row>
    <row r="168" spans="3:13" ht="24" customHeight="1" thickBot="1" x14ac:dyDescent="0.25">
      <c r="C168" s="137" t="s">
        <v>50</v>
      </c>
      <c r="D168" s="135">
        <v>44960</v>
      </c>
      <c r="E168" s="133">
        <v>-9.1808908191091776E-2</v>
      </c>
      <c r="F168" s="135">
        <v>901</v>
      </c>
      <c r="G168" s="133">
        <v>-0.11493123772102165</v>
      </c>
      <c r="H168" s="135">
        <v>132</v>
      </c>
      <c r="I168" s="133">
        <v>0.60975609756097571</v>
      </c>
      <c r="J168" s="135">
        <v>4924</v>
      </c>
      <c r="K168" s="133">
        <v>-0.18839624196472726</v>
      </c>
      <c r="L168" s="135">
        <v>39003</v>
      </c>
      <c r="M168" s="133">
        <v>-7.8770844158911668E-2</v>
      </c>
    </row>
    <row r="169" spans="3:13" ht="24" customHeight="1" thickBot="1" x14ac:dyDescent="0.25">
      <c r="C169" s="131" t="s">
        <v>51</v>
      </c>
      <c r="D169" s="132">
        <v>21199</v>
      </c>
      <c r="E169" s="133">
        <v>-0.10219379976283249</v>
      </c>
      <c r="F169" s="132">
        <v>564</v>
      </c>
      <c r="G169" s="133">
        <v>1.9891500904159143E-2</v>
      </c>
      <c r="H169" s="132">
        <v>49</v>
      </c>
      <c r="I169" s="133">
        <v>0.88461538461538458</v>
      </c>
      <c r="J169" s="132">
        <v>1699</v>
      </c>
      <c r="K169" s="133">
        <v>-0.27824978759558194</v>
      </c>
      <c r="L169" s="132">
        <v>18887</v>
      </c>
      <c r="M169" s="133">
        <v>-8.6657962183858017E-2</v>
      </c>
    </row>
    <row r="170" spans="3:13" ht="24" customHeight="1" thickBot="1" x14ac:dyDescent="0.25">
      <c r="C170" s="137" t="s">
        <v>52</v>
      </c>
      <c r="D170" s="135">
        <v>26687</v>
      </c>
      <c r="E170" s="133">
        <v>-0.1371249353336782</v>
      </c>
      <c r="F170" s="135">
        <v>479</v>
      </c>
      <c r="G170" s="133">
        <v>0.19451371571072329</v>
      </c>
      <c r="H170" s="135">
        <v>83</v>
      </c>
      <c r="I170" s="133">
        <v>0.27692307692307683</v>
      </c>
      <c r="J170" s="135">
        <v>3061</v>
      </c>
      <c r="K170" s="133">
        <v>-0.20596627756160835</v>
      </c>
      <c r="L170" s="135">
        <v>23064</v>
      </c>
      <c r="M170" s="133">
        <v>-0.13316044649904157</v>
      </c>
    </row>
    <row r="171" spans="3:13" ht="24" customHeight="1" thickBot="1" x14ac:dyDescent="0.25">
      <c r="C171" s="131" t="s">
        <v>53</v>
      </c>
      <c r="D171" s="132">
        <v>34233</v>
      </c>
      <c r="E171" s="133">
        <v>0.11868893173425699</v>
      </c>
      <c r="F171" s="132">
        <v>467</v>
      </c>
      <c r="G171" s="133">
        <v>-0.23316912972085391</v>
      </c>
      <c r="H171" s="132">
        <v>37</v>
      </c>
      <c r="I171" s="133">
        <v>5.7142857142857162E-2</v>
      </c>
      <c r="J171" s="132">
        <v>9221</v>
      </c>
      <c r="K171" s="133">
        <v>5.4190008002743761E-2</v>
      </c>
      <c r="L171" s="132">
        <v>24508</v>
      </c>
      <c r="M171" s="133">
        <v>0.15549269212635553</v>
      </c>
    </row>
    <row r="172" spans="3:13" ht="24" customHeight="1" thickBot="1" x14ac:dyDescent="0.25">
      <c r="C172" s="134" t="s">
        <v>54</v>
      </c>
      <c r="D172" s="135">
        <v>7845</v>
      </c>
      <c r="E172" s="133">
        <v>-2.3403460724511382E-2</v>
      </c>
      <c r="F172" s="135">
        <v>260</v>
      </c>
      <c r="G172" s="133">
        <v>-0.1849529780564263</v>
      </c>
      <c r="H172" s="135">
        <v>177</v>
      </c>
      <c r="I172" s="133">
        <v>-1.1173184357541888E-2</v>
      </c>
      <c r="J172" s="135">
        <v>1448</v>
      </c>
      <c r="K172" s="133">
        <v>-0.10727496917385948</v>
      </c>
      <c r="L172" s="135">
        <v>5960</v>
      </c>
      <c r="M172" s="133">
        <v>7.9485878572636004E-3</v>
      </c>
    </row>
    <row r="173" spans="3:13" ht="24" customHeight="1" thickBot="1" x14ac:dyDescent="0.25">
      <c r="C173" s="136" t="s">
        <v>55</v>
      </c>
      <c r="D173" s="132">
        <v>5795</v>
      </c>
      <c r="E173" s="133">
        <v>-0.18080294034492506</v>
      </c>
      <c r="F173" s="132">
        <v>143</v>
      </c>
      <c r="G173" s="133">
        <v>-0.22702702702702704</v>
      </c>
      <c r="H173" s="132">
        <v>180</v>
      </c>
      <c r="I173" s="133">
        <v>0.62162162162162171</v>
      </c>
      <c r="J173" s="132">
        <v>1267</v>
      </c>
      <c r="K173" s="133">
        <v>-0.22838002436053595</v>
      </c>
      <c r="L173" s="132">
        <v>4205</v>
      </c>
      <c r="M173" s="133">
        <v>-0.18126947040498442</v>
      </c>
    </row>
    <row r="174" spans="3:13" ht="24" customHeight="1" thickBot="1" x14ac:dyDescent="0.25">
      <c r="C174" s="134" t="s">
        <v>56</v>
      </c>
      <c r="D174" s="135">
        <v>11791</v>
      </c>
      <c r="E174" s="133">
        <v>-1.8316543168761967E-2</v>
      </c>
      <c r="F174" s="135">
        <v>615</v>
      </c>
      <c r="G174" s="133">
        <v>0.43356643356643354</v>
      </c>
      <c r="H174" s="135">
        <v>91</v>
      </c>
      <c r="I174" s="133">
        <v>0.54237288135593231</v>
      </c>
      <c r="J174" s="135">
        <v>1293</v>
      </c>
      <c r="K174" s="133">
        <v>8.200836820083679E-2</v>
      </c>
      <c r="L174" s="135">
        <v>9792</v>
      </c>
      <c r="M174" s="133">
        <v>-5.189775367931837E-2</v>
      </c>
    </row>
    <row r="175" spans="3:13" ht="24" customHeight="1" thickBot="1" x14ac:dyDescent="0.25">
      <c r="C175" s="136" t="s">
        <v>57</v>
      </c>
      <c r="D175" s="132">
        <v>24065</v>
      </c>
      <c r="E175" s="133">
        <v>0.12986525188976006</v>
      </c>
      <c r="F175" s="132">
        <v>526</v>
      </c>
      <c r="G175" s="133">
        <v>-6.7375886524822737E-2</v>
      </c>
      <c r="H175" s="132">
        <v>199</v>
      </c>
      <c r="I175" s="133">
        <v>1.1630434782608696</v>
      </c>
      <c r="J175" s="132">
        <v>2248</v>
      </c>
      <c r="K175" s="133">
        <v>-0.17443995593095851</v>
      </c>
      <c r="L175" s="132">
        <v>21092</v>
      </c>
      <c r="M175" s="133">
        <v>0.17700892857142847</v>
      </c>
    </row>
    <row r="176" spans="3:13" ht="24" customHeight="1" thickBot="1" x14ac:dyDescent="0.25">
      <c r="C176" s="134" t="s">
        <v>58</v>
      </c>
      <c r="D176" s="135">
        <v>22929</v>
      </c>
      <c r="E176" s="133">
        <v>-1.0020913210178062E-3</v>
      </c>
      <c r="F176" s="135">
        <v>1058</v>
      </c>
      <c r="G176" s="133">
        <v>-0.27484578478409871</v>
      </c>
      <c r="H176" s="135">
        <v>128</v>
      </c>
      <c r="I176" s="133">
        <v>-0.1048951048951049</v>
      </c>
      <c r="J176" s="135">
        <v>5019</v>
      </c>
      <c r="K176" s="133">
        <v>-8.1778265642151515E-2</v>
      </c>
      <c r="L176" s="135">
        <v>16724</v>
      </c>
      <c r="M176" s="133">
        <v>5.2883404683958801E-2</v>
      </c>
    </row>
    <row r="177" spans="3:18" ht="24" customHeight="1" thickBot="1" x14ac:dyDescent="0.25">
      <c r="C177" s="136" t="s">
        <v>59</v>
      </c>
      <c r="D177" s="132">
        <v>2940</v>
      </c>
      <c r="E177" s="133">
        <v>8.4470675027665143E-2</v>
      </c>
      <c r="F177" s="132">
        <v>397</v>
      </c>
      <c r="G177" s="133">
        <v>0.11516853932584259</v>
      </c>
      <c r="H177" s="132">
        <v>179</v>
      </c>
      <c r="I177" s="133">
        <v>0.58407079646017701</v>
      </c>
      <c r="J177" s="132">
        <v>511</v>
      </c>
      <c r="K177" s="133">
        <v>0.14573991031390143</v>
      </c>
      <c r="L177" s="132">
        <v>1853</v>
      </c>
      <c r="M177" s="133">
        <v>3.1737193763919924E-2</v>
      </c>
    </row>
    <row r="178" spans="3:18" ht="24" customHeight="1" thickBot="1" x14ac:dyDescent="0.25">
      <c r="C178" s="134" t="s">
        <v>60</v>
      </c>
      <c r="D178" s="135">
        <v>3435</v>
      </c>
      <c r="E178" s="133">
        <v>0.28748125937031488</v>
      </c>
      <c r="F178" s="135">
        <v>784</v>
      </c>
      <c r="G178" s="133">
        <v>0.32209106239460361</v>
      </c>
      <c r="H178" s="135">
        <v>225</v>
      </c>
      <c r="I178" s="133">
        <v>2.2142857142857144</v>
      </c>
      <c r="J178" s="135">
        <v>674</v>
      </c>
      <c r="K178" s="133">
        <v>0.22323049001814876</v>
      </c>
      <c r="L178" s="135">
        <v>1752</v>
      </c>
      <c r="M178" s="133">
        <v>0.20495185694635487</v>
      </c>
    </row>
    <row r="179" spans="3:18" ht="24" customHeight="1" thickBot="1" x14ac:dyDescent="0.25">
      <c r="C179" s="136" t="s">
        <v>61</v>
      </c>
      <c r="D179" s="138">
        <v>12657</v>
      </c>
      <c r="E179" s="139">
        <v>0.34121013033803105</v>
      </c>
      <c r="F179" s="138">
        <v>1219</v>
      </c>
      <c r="G179" s="139">
        <v>0.27377220480668751</v>
      </c>
      <c r="H179" s="138">
        <v>302</v>
      </c>
      <c r="I179" s="139">
        <v>1.4159999999999999</v>
      </c>
      <c r="J179" s="138">
        <v>2579</v>
      </c>
      <c r="K179" s="139">
        <v>0.37988228999464946</v>
      </c>
      <c r="L179" s="138">
        <v>8557</v>
      </c>
      <c r="M179" s="139">
        <v>0.31930311440024672</v>
      </c>
    </row>
    <row r="180" spans="3:18" ht="30.75" customHeight="1" thickTop="1" thickBot="1" x14ac:dyDescent="0.25">
      <c r="C180" s="140" t="s">
        <v>62</v>
      </c>
      <c r="D180" s="141">
        <v>731245</v>
      </c>
      <c r="E180" s="142">
        <v>-6.0730203217831402E-3</v>
      </c>
      <c r="F180" s="141">
        <v>15427</v>
      </c>
      <c r="G180" s="142">
        <v>-1.9262555626191946E-2</v>
      </c>
      <c r="H180" s="141">
        <v>6653</v>
      </c>
      <c r="I180" s="142">
        <v>0.36527806279499275</v>
      </c>
      <c r="J180" s="141">
        <v>104013</v>
      </c>
      <c r="K180" s="142">
        <v>-3.338134845035079E-2</v>
      </c>
      <c r="L180" s="141">
        <v>605152</v>
      </c>
      <c r="M180" s="142">
        <v>-3.8732191504596836E-3</v>
      </c>
    </row>
    <row r="181" spans="3:18" ht="24" customHeight="1" thickBot="1" x14ac:dyDescent="0.25">
      <c r="C181" s="143" t="s">
        <v>8</v>
      </c>
      <c r="D181" s="144">
        <v>855720</v>
      </c>
      <c r="E181" s="145">
        <v>1.5414271719551564E-3</v>
      </c>
      <c r="F181" s="144">
        <v>41318</v>
      </c>
      <c r="G181" s="145">
        <v>-2.0645191874659297E-2</v>
      </c>
      <c r="H181" s="144">
        <v>11855</v>
      </c>
      <c r="I181" s="145">
        <v>0.43836447464207717</v>
      </c>
      <c r="J181" s="144">
        <v>148445</v>
      </c>
      <c r="K181" s="145">
        <v>-2.5906701751392758E-2</v>
      </c>
      <c r="L181" s="144">
        <v>654102</v>
      </c>
      <c r="M181" s="145">
        <v>3.8721321589554325E-3</v>
      </c>
    </row>
    <row r="182" spans="3:18" ht="18" customHeight="1" x14ac:dyDescent="0.2">
      <c r="C182" s="3"/>
    </row>
    <row r="183" spans="3:18" ht="17.25" hidden="1" customHeight="1" x14ac:dyDescent="0.2">
      <c r="C183" s="335"/>
      <c r="D183" s="336"/>
      <c r="E183" s="336"/>
      <c r="F183" s="336"/>
      <c r="G183" s="336"/>
      <c r="H183" s="336"/>
      <c r="I183" s="336"/>
      <c r="J183" s="336"/>
      <c r="K183" s="336"/>
      <c r="L183" s="336"/>
      <c r="M183" s="337"/>
    </row>
    <row r="184" spans="3:18" ht="21.75" hidden="1" customHeight="1" x14ac:dyDescent="0.2">
      <c r="C184" s="111"/>
      <c r="D184" s="112"/>
      <c r="E184" s="338" t="str">
        <f>$E$1</f>
        <v>INDICADORES TURÍSTICOS DE TENERIFE definitivo</v>
      </c>
      <c r="F184" s="339"/>
      <c r="G184" s="339"/>
      <c r="H184" s="339"/>
      <c r="I184" s="339"/>
      <c r="J184" s="339"/>
      <c r="K184" s="340"/>
      <c r="L184" s="112"/>
      <c r="M184" s="114"/>
    </row>
    <row r="185" spans="3:18" s="1" customFormat="1" ht="21.75" hidden="1" customHeight="1" x14ac:dyDescent="0.2">
      <c r="C185" s="111"/>
      <c r="D185" s="112"/>
      <c r="E185" s="113"/>
      <c r="F185" s="113"/>
      <c r="G185" s="113"/>
      <c r="H185" s="113"/>
      <c r="I185" s="113"/>
      <c r="J185" s="113"/>
      <c r="K185" s="113"/>
      <c r="L185" s="112"/>
      <c r="M185" s="114"/>
    </row>
    <row r="186" spans="3:18" ht="33" hidden="1" customHeight="1" x14ac:dyDescent="0.2">
      <c r="C186" s="331" t="s">
        <v>30</v>
      </c>
      <c r="D186" s="332"/>
      <c r="E186" s="332"/>
      <c r="F186" s="332"/>
      <c r="G186" s="332"/>
      <c r="H186" s="332"/>
      <c r="I186" s="332"/>
      <c r="J186" s="332"/>
      <c r="K186" s="332"/>
      <c r="L186" s="332"/>
      <c r="M186" s="332"/>
      <c r="N186" s="332"/>
      <c r="O186" s="332"/>
      <c r="P186" s="332"/>
      <c r="Q186" s="332"/>
      <c r="R186" s="147"/>
    </row>
    <row r="187" spans="3:18" ht="20.100000000000001" hidden="1" customHeight="1" x14ac:dyDescent="0.2">
      <c r="C187" s="341">
        <f>E3</f>
        <v>0</v>
      </c>
      <c r="D187" s="342"/>
      <c r="E187" s="342"/>
      <c r="F187" s="342"/>
      <c r="G187" s="342"/>
      <c r="H187" s="342"/>
      <c r="I187" s="342"/>
      <c r="J187" s="342"/>
      <c r="K187" s="342"/>
      <c r="L187" s="342"/>
      <c r="M187" s="342"/>
      <c r="N187" s="342"/>
      <c r="O187" s="342"/>
      <c r="P187" s="342"/>
      <c r="Q187" s="342"/>
      <c r="R187" s="1"/>
    </row>
    <row r="188" spans="3:18" ht="17.25" hidden="1" customHeight="1" x14ac:dyDescent="0.2">
      <c r="C188" s="148"/>
      <c r="D188" s="329" t="s">
        <v>25</v>
      </c>
      <c r="E188" s="330"/>
      <c r="F188" s="329" t="s">
        <v>24</v>
      </c>
      <c r="G188" s="330"/>
      <c r="H188" s="329" t="s">
        <v>23</v>
      </c>
      <c r="I188" s="330"/>
      <c r="J188" s="329" t="s">
        <v>22</v>
      </c>
      <c r="K188" s="330"/>
      <c r="L188" s="329" t="s">
        <v>21</v>
      </c>
      <c r="M188" s="330"/>
      <c r="N188" s="329" t="s">
        <v>64</v>
      </c>
      <c r="O188" s="330"/>
      <c r="P188" s="329" t="s">
        <v>65</v>
      </c>
      <c r="Q188" s="330"/>
    </row>
    <row r="189" spans="3:18" ht="28.5" hidden="1" customHeight="1" x14ac:dyDescent="0.2">
      <c r="C189" s="148"/>
      <c r="D189" s="149" t="s">
        <v>36</v>
      </c>
      <c r="E189" s="149" t="s">
        <v>35</v>
      </c>
      <c r="F189" s="149" t="s">
        <v>36</v>
      </c>
      <c r="G189" s="149" t="s">
        <v>35</v>
      </c>
      <c r="H189" s="149" t="s">
        <v>36</v>
      </c>
      <c r="I189" s="149" t="s">
        <v>35</v>
      </c>
      <c r="J189" s="149" t="s">
        <v>36</v>
      </c>
      <c r="K189" s="149" t="s">
        <v>35</v>
      </c>
      <c r="L189" s="149" t="s">
        <v>36</v>
      </c>
      <c r="M189" s="149" t="s">
        <v>35</v>
      </c>
      <c r="N189" s="149" t="s">
        <v>36</v>
      </c>
      <c r="O189" s="149" t="s">
        <v>35</v>
      </c>
      <c r="P189" s="149" t="s">
        <v>36</v>
      </c>
      <c r="Q189" s="149" t="s">
        <v>35</v>
      </c>
    </row>
    <row r="190" spans="3:18" ht="24" hidden="1" customHeight="1" x14ac:dyDescent="0.2">
      <c r="C190" s="150" t="s">
        <v>37</v>
      </c>
      <c r="D190" s="151" t="e">
        <f>VLOOKUP("españa",#REF!,6,FALSE)/VLOOKUP("españa",#REF!,6,FALSE)-1</f>
        <v>#REF!</v>
      </c>
      <c r="E190" s="152" t="e">
        <f>VLOOKUP("españa",#REF!,6,FALSE)</f>
        <v>#REF!</v>
      </c>
      <c r="F190" s="151" t="e">
        <f>VLOOKUP("españa",#REF!,5,FALSE)/VLOOKUP("españa",#REF!,5,FALSE)-1</f>
        <v>#REF!</v>
      </c>
      <c r="G190" s="152" t="e">
        <f>VLOOKUP("españa",#REF!,5,FALSE)</f>
        <v>#REF!</v>
      </c>
      <c r="H190" s="151" t="e">
        <f>VLOOKUP("españa",#REF!,4,FALSE)/VLOOKUP("españa",#REF!,4,FALSE)-1</f>
        <v>#REF!</v>
      </c>
      <c r="I190" s="152" t="e">
        <f>VLOOKUP("españa",#REF!,4,FALSE)</f>
        <v>#REF!</v>
      </c>
      <c r="J190" s="151" t="e">
        <f>VLOOKUP("españa",#REF!,3,FALSE)/VLOOKUP("españa",#REF!,3,FALSE)-1</f>
        <v>#REF!</v>
      </c>
      <c r="K190" s="152" t="e">
        <f>VLOOKUP("españa",#REF!,3,FALSE)</f>
        <v>#REF!</v>
      </c>
      <c r="L190" s="151" t="e">
        <f>VLOOKUP("españa",#REF!,2,FALSE)/VLOOKUP("españa",#REF!,2,FALSE)-1</f>
        <v>#REF!</v>
      </c>
      <c r="M190" s="152" t="e">
        <f>VLOOKUP("españa",#REF!,2,FALSE)</f>
        <v>#REF!</v>
      </c>
      <c r="N190" s="151" t="e">
        <f>VLOOKUP("españa",#REF!,7,FALSE)/VLOOKUP("españa",#REF!,7,FALSE)-1</f>
        <v>#REF!</v>
      </c>
      <c r="O190" s="152" t="e">
        <f>VLOOKUP("españa",#REF!,7,FALSE)</f>
        <v>#REF!</v>
      </c>
      <c r="P190" s="151" t="e">
        <f>VLOOKUP("españa",#REF!,8,FALSE)/VLOOKUP("españa",#REF!,8,FALSE)-1</f>
        <v>#REF!</v>
      </c>
      <c r="Q190" s="152" t="e">
        <f>VLOOKUP("españa",#REF!,8,FALSE)</f>
        <v>#REF!</v>
      </c>
    </row>
    <row r="191" spans="3:18" ht="24" hidden="1" customHeight="1" x14ac:dyDescent="0.2">
      <c r="C191" s="150" t="s">
        <v>42</v>
      </c>
      <c r="D191" s="151" t="e">
        <f>VLOOKUP("holanda",#REF!,6,FALSE)/VLOOKUP("holanda",#REF!,6,FALSE)-1</f>
        <v>#REF!</v>
      </c>
      <c r="E191" s="152" t="e">
        <f>VLOOKUP("holanda",#REF!,6,FALSE)</f>
        <v>#REF!</v>
      </c>
      <c r="F191" s="151" t="e">
        <f>VLOOKUP("holanda",#REF!,5,FALSE)/VLOOKUP("holanda",#REF!,5,FALSE)-1</f>
        <v>#REF!</v>
      </c>
      <c r="G191" s="152" t="e">
        <f>VLOOKUP("holanda",#REF!,5,FALSE)</f>
        <v>#REF!</v>
      </c>
      <c r="H191" s="151" t="e">
        <f>VLOOKUP("holanda",#REF!,4,FALSE)/VLOOKUP("holanda",#REF!,4,FALSE)-1</f>
        <v>#REF!</v>
      </c>
      <c r="I191" s="152" t="e">
        <f>VLOOKUP("holanda",#REF!,4,FALSE)</f>
        <v>#REF!</v>
      </c>
      <c r="J191" s="151" t="e">
        <f>VLOOKUP("holanda",#REF!,3,FALSE)/VLOOKUP("holanda",#REF!,3,FALSE)-1</f>
        <v>#REF!</v>
      </c>
      <c r="K191" s="152" t="e">
        <f>VLOOKUP("holanda",#REF!,3,FALSE)</f>
        <v>#REF!</v>
      </c>
      <c r="L191" s="151" t="e">
        <f>VLOOKUP("holanda",#REF!,2,FALSE)/VLOOKUP("holanda",#REF!,2,FALSE)-1</f>
        <v>#REF!</v>
      </c>
      <c r="M191" s="152" t="e">
        <f>VLOOKUP("holanda",#REF!,2,FALSE)</f>
        <v>#REF!</v>
      </c>
      <c r="N191" s="151" t="e">
        <f>VLOOKUP("holanda",#REF!,7,FALSE)/VLOOKUP("holanda",#REF!,7,FALSE)-1</f>
        <v>#REF!</v>
      </c>
      <c r="O191" s="152" t="e">
        <f>VLOOKUP("holanda",#REF!,7,FALSE)</f>
        <v>#REF!</v>
      </c>
      <c r="P191" s="151" t="e">
        <f>VLOOKUP("holanda",#REF!,8,FALSE)/VLOOKUP("holanda",#REF!,8,FALSE)-1</f>
        <v>#REF!</v>
      </c>
      <c r="Q191" s="152" t="e">
        <f>VLOOKUP("holanda",#REF!,8,FALSE)</f>
        <v>#REF!</v>
      </c>
    </row>
    <row r="192" spans="3:18" ht="24" hidden="1" customHeight="1" x14ac:dyDescent="0.2">
      <c r="C192" s="150" t="s">
        <v>43</v>
      </c>
      <c r="D192" s="151" t="e">
        <f>VLOOKUP("belgica",#REF!,6,FALSE)/VLOOKUP("belgica",#REF!,6,FALSE)-1</f>
        <v>#REF!</v>
      </c>
      <c r="E192" s="152" t="e">
        <f>VLOOKUP("belgica",#REF!,6,FALSE)</f>
        <v>#REF!</v>
      </c>
      <c r="F192" s="151" t="e">
        <f>VLOOKUP("belgica",#REF!,5,FALSE)/VLOOKUP("belgica",#REF!,5,FALSE)-1</f>
        <v>#REF!</v>
      </c>
      <c r="G192" s="152" t="e">
        <f>VLOOKUP("belgica",#REF!,5,FALSE)</f>
        <v>#REF!</v>
      </c>
      <c r="H192" s="151" t="e">
        <f>VLOOKUP("belgica",#REF!,4,FALSE)/VLOOKUP("belgica",#REF!,4,FALSE)-1</f>
        <v>#REF!</v>
      </c>
      <c r="I192" s="152" t="e">
        <f>VLOOKUP("belgica",#REF!,4,FALSE)</f>
        <v>#REF!</v>
      </c>
      <c r="J192" s="151" t="e">
        <f>VLOOKUP("belgica",#REF!,3,FALSE)/VLOOKUP("belgica",#REF!,3,FALSE)-1</f>
        <v>#REF!</v>
      </c>
      <c r="K192" s="152" t="e">
        <f>VLOOKUP("belgica",#REF!,3,FALSE)</f>
        <v>#REF!</v>
      </c>
      <c r="L192" s="151" t="e">
        <f>VLOOKUP("belgica",#REF!,2,FALSE)/VLOOKUP("belgica",#REF!,2,FALSE)-1</f>
        <v>#REF!</v>
      </c>
      <c r="M192" s="152" t="e">
        <f>VLOOKUP("belgica",#REF!,2,FALSE)</f>
        <v>#REF!</v>
      </c>
      <c r="N192" s="151" t="e">
        <f>VLOOKUP("belgica",#REF!,7,FALSE)/VLOOKUP("belgica",#REF!,7,FALSE)-1</f>
        <v>#REF!</v>
      </c>
      <c r="O192" s="152" t="e">
        <f>VLOOKUP("belgica",#REF!,7,FALSE)</f>
        <v>#REF!</v>
      </c>
      <c r="P192" s="151" t="e">
        <f>VLOOKUP("belgica",#REF!,8,FALSE)/VLOOKUP("belgica",#REF!,8,FALSE)-1</f>
        <v>#REF!</v>
      </c>
      <c r="Q192" s="152" t="e">
        <f>VLOOKUP("belgica",#REF!,8,FALSE)</f>
        <v>#REF!</v>
      </c>
    </row>
    <row r="193" spans="3:17" ht="24" hidden="1" customHeight="1" x14ac:dyDescent="0.2">
      <c r="C193" s="150" t="s">
        <v>44</v>
      </c>
      <c r="D193" s="151" t="e">
        <f>VLOOKUP("alemania",#REF!,6,FALSE)/VLOOKUP("alemania",#REF!,6,FALSE)-1</f>
        <v>#REF!</v>
      </c>
      <c r="E193" s="152" t="e">
        <f>VLOOKUP("alemania",#REF!,6,FALSE)</f>
        <v>#REF!</v>
      </c>
      <c r="F193" s="151" t="e">
        <f>VLOOKUP("alemania",#REF!,5,FALSE)/VLOOKUP("alemania",#REF!,5,FALSE)-1</f>
        <v>#REF!</v>
      </c>
      <c r="G193" s="152" t="e">
        <f>VLOOKUP("alemania",#REF!,5,FALSE)</f>
        <v>#REF!</v>
      </c>
      <c r="H193" s="151" t="e">
        <f>VLOOKUP("alemania",#REF!,4,FALSE)/VLOOKUP("alemania",#REF!,4,FALSE)-1</f>
        <v>#REF!</v>
      </c>
      <c r="I193" s="152" t="e">
        <f>VLOOKUP("alemania",#REF!,4,FALSE)</f>
        <v>#REF!</v>
      </c>
      <c r="J193" s="151" t="e">
        <f>VLOOKUP("alemania",#REF!,3,FALSE)/VLOOKUP("alemania",#REF!,3,FALSE)-1</f>
        <v>#REF!</v>
      </c>
      <c r="K193" s="152" t="e">
        <f>VLOOKUP("alemania",#REF!,3,FALSE)</f>
        <v>#REF!</v>
      </c>
      <c r="L193" s="151" t="e">
        <f>VLOOKUP("alemania",#REF!,2,FALSE)/VLOOKUP("alemania",#REF!,2,FALSE)-1</f>
        <v>#REF!</v>
      </c>
      <c r="M193" s="152" t="e">
        <f>VLOOKUP("alemania",#REF!,2,FALSE)</f>
        <v>#REF!</v>
      </c>
      <c r="N193" s="151" t="e">
        <f>VLOOKUP("alemania",#REF!,7,FALSE)/VLOOKUP("alemania",#REF!,7,FALSE)-1</f>
        <v>#REF!</v>
      </c>
      <c r="O193" s="152" t="e">
        <f>VLOOKUP("alemania",#REF!,7,FALSE)</f>
        <v>#REF!</v>
      </c>
      <c r="P193" s="151" t="e">
        <f>VLOOKUP("alemania",#REF!,8,FALSE)/VLOOKUP("alemania",#REF!,8,FALSE)-1</f>
        <v>#REF!</v>
      </c>
      <c r="Q193" s="152" t="e">
        <f>VLOOKUP("alemania",#REF!,8,FALSE)</f>
        <v>#REF!</v>
      </c>
    </row>
    <row r="194" spans="3:17" ht="24" hidden="1" customHeight="1" x14ac:dyDescent="0.2">
      <c r="C194" s="150" t="s">
        <v>45</v>
      </c>
      <c r="D194" s="151" t="e">
        <f>VLOOKUP("francia",#REF!,6,FALSE)/VLOOKUP("francia",#REF!,6,FALSE)-1</f>
        <v>#REF!</v>
      </c>
      <c r="E194" s="152" t="e">
        <f>VLOOKUP("francia",#REF!,6,FALSE)</f>
        <v>#REF!</v>
      </c>
      <c r="F194" s="151" t="e">
        <f>VLOOKUP("francia",#REF!,5,FALSE)/VLOOKUP("francia",#REF!,5,FALSE)-1</f>
        <v>#REF!</v>
      </c>
      <c r="G194" s="152" t="e">
        <f>VLOOKUP("francia",#REF!,5,FALSE)</f>
        <v>#REF!</v>
      </c>
      <c r="H194" s="151" t="e">
        <f>VLOOKUP("francia",#REF!,4,FALSE)/VLOOKUP("francia",#REF!,4,FALSE)-1</f>
        <v>#REF!</v>
      </c>
      <c r="I194" s="152" t="e">
        <f>VLOOKUP("francia",#REF!,4,FALSE)</f>
        <v>#REF!</v>
      </c>
      <c r="J194" s="151" t="e">
        <f>VLOOKUP("francia",#REF!,3,FALSE)/VLOOKUP("francia",#REF!,3,FALSE)-1</f>
        <v>#REF!</v>
      </c>
      <c r="K194" s="152" t="e">
        <f>VLOOKUP("francia",#REF!,3,FALSE)</f>
        <v>#REF!</v>
      </c>
      <c r="L194" s="151" t="e">
        <f>VLOOKUP("francia",#REF!,2,FALSE)/VLOOKUP("francia",#REF!,2,FALSE)-1</f>
        <v>#REF!</v>
      </c>
      <c r="M194" s="152" t="e">
        <f>VLOOKUP("francia",#REF!,2,FALSE)</f>
        <v>#REF!</v>
      </c>
      <c r="N194" s="151" t="e">
        <f>VLOOKUP("francia",#REF!,7,FALSE)/VLOOKUP("francia",#REF!,7,FALSE)-1</f>
        <v>#REF!</v>
      </c>
      <c r="O194" s="152" t="e">
        <f>VLOOKUP("francia",#REF!,7,FALSE)</f>
        <v>#REF!</v>
      </c>
      <c r="P194" s="151" t="e">
        <f>VLOOKUP("francia",#REF!,8,FALSE)/VLOOKUP("francia",#REF!,8,FALSE)-1</f>
        <v>#REF!</v>
      </c>
      <c r="Q194" s="152" t="e">
        <f>VLOOKUP("francia",#REF!,8,FALSE)</f>
        <v>#REF!</v>
      </c>
    </row>
    <row r="195" spans="3:17" ht="24" hidden="1" customHeight="1" x14ac:dyDescent="0.2">
      <c r="C195" s="150" t="s">
        <v>46</v>
      </c>
      <c r="D195" s="151" t="e">
        <f>VLOOKUP("reino unido",#REF!,6,FALSE)/VLOOKUP("reino unido",#REF!,6,FALSE)-1</f>
        <v>#REF!</v>
      </c>
      <c r="E195" s="152" t="e">
        <f>VLOOKUP("reino unido",#REF!,6,FALSE)</f>
        <v>#REF!</v>
      </c>
      <c r="F195" s="151" t="e">
        <f>VLOOKUP("reino unido",#REF!,5,FALSE)/VLOOKUP("reino unido",#REF!,5,FALSE)-1</f>
        <v>#REF!</v>
      </c>
      <c r="G195" s="152" t="e">
        <f>VLOOKUP("reino unido",#REF!,5,FALSE)</f>
        <v>#REF!</v>
      </c>
      <c r="H195" s="151" t="e">
        <f>VLOOKUP("reino unido",#REF!,4,FALSE)/VLOOKUP("reino unido",#REF!,4,FALSE)-1</f>
        <v>#REF!</v>
      </c>
      <c r="I195" s="152" t="e">
        <f>VLOOKUP("reino unido",#REF!,4,FALSE)</f>
        <v>#REF!</v>
      </c>
      <c r="J195" s="151" t="e">
        <f>VLOOKUP("reino unido",#REF!,3,FALSE)/VLOOKUP("reino unido",#REF!,3,FALSE)-1</f>
        <v>#REF!</v>
      </c>
      <c r="K195" s="152" t="e">
        <f>VLOOKUP("reino unido",#REF!,3,FALSE)</f>
        <v>#REF!</v>
      </c>
      <c r="L195" s="151" t="e">
        <f>VLOOKUP("reino unido",#REF!,2,FALSE)/VLOOKUP("reino unido",#REF!,2,FALSE)-1</f>
        <v>#REF!</v>
      </c>
      <c r="M195" s="152" t="e">
        <f>VLOOKUP("reino unido",#REF!,2,FALSE)</f>
        <v>#REF!</v>
      </c>
      <c r="N195" s="151" t="e">
        <f>VLOOKUP("reino unido",#REF!,7,FALSE)/VLOOKUP("reino unido",#REF!,7,FALSE)-1</f>
        <v>#REF!</v>
      </c>
      <c r="O195" s="152" t="e">
        <f>VLOOKUP("reino unido",#REF!,7,FALSE)</f>
        <v>#REF!</v>
      </c>
      <c r="P195" s="151" t="e">
        <f>VLOOKUP("reino unido",#REF!,8,FALSE)/VLOOKUP("reino unido",#REF!,8,FALSE)-1</f>
        <v>#REF!</v>
      </c>
      <c r="Q195" s="152" t="e">
        <f>VLOOKUP("reino unido",#REF!,8,FALSE)</f>
        <v>#REF!</v>
      </c>
    </row>
    <row r="196" spans="3:17" ht="24" hidden="1" customHeight="1" x14ac:dyDescent="0.2">
      <c r="C196" s="150" t="s">
        <v>47</v>
      </c>
      <c r="D196" s="151" t="e">
        <f>VLOOKUP("irlanda",#REF!,6,FALSE)/VLOOKUP("irlanda",#REF!,6,FALSE)-1</f>
        <v>#REF!</v>
      </c>
      <c r="E196" s="152" t="e">
        <f>VLOOKUP("irlanda",#REF!,6,FALSE)</f>
        <v>#REF!</v>
      </c>
      <c r="F196" s="151" t="e">
        <f>VLOOKUP("irlanda",#REF!,5,FALSE)/VLOOKUP("irlanda",#REF!,5,FALSE)-1</f>
        <v>#REF!</v>
      </c>
      <c r="G196" s="152" t="e">
        <f>VLOOKUP("irlanda",#REF!,5,FALSE)</f>
        <v>#REF!</v>
      </c>
      <c r="H196" s="151" t="e">
        <f>VLOOKUP("irlanda",#REF!,4,FALSE)/VLOOKUP("irlanda",#REF!,4,FALSE)-1</f>
        <v>#REF!</v>
      </c>
      <c r="I196" s="152" t="e">
        <f>VLOOKUP("irlanda",#REF!,4,FALSE)</f>
        <v>#REF!</v>
      </c>
      <c r="J196" s="151" t="e">
        <f>VLOOKUP("irlanda",#REF!,3,FALSE)/VLOOKUP("irlanda",#REF!,3,FALSE)-1</f>
        <v>#REF!</v>
      </c>
      <c r="K196" s="152" t="e">
        <f>VLOOKUP("irlanda",#REF!,3,FALSE)</f>
        <v>#REF!</v>
      </c>
      <c r="L196" s="151" t="e">
        <f>VLOOKUP("irlanda",#REF!,2,FALSE)/VLOOKUP("irlanda",#REF!,2,FALSE)-1</f>
        <v>#REF!</v>
      </c>
      <c r="M196" s="152" t="e">
        <f>VLOOKUP("irlanda",#REF!,2,FALSE)</f>
        <v>#REF!</v>
      </c>
      <c r="N196" s="151" t="e">
        <f>VLOOKUP("irlanda",#REF!,7,FALSE)/VLOOKUP("irlanda",#REF!,7,FALSE)-1</f>
        <v>#REF!</v>
      </c>
      <c r="O196" s="152" t="e">
        <f>VLOOKUP("irlanda",#REF!,7,FALSE)</f>
        <v>#REF!</v>
      </c>
      <c r="P196" s="151" t="e">
        <f>VLOOKUP("irlanda",#REF!,8,FALSE)/VLOOKUP("irlanda",#REF!,8,FALSE)-1</f>
        <v>#REF!</v>
      </c>
      <c r="Q196" s="152" t="e">
        <f>VLOOKUP("irlanda",#REF!,8,FALSE)</f>
        <v>#REF!</v>
      </c>
    </row>
    <row r="197" spans="3:17" ht="24" hidden="1" customHeight="1" x14ac:dyDescent="0.2">
      <c r="C197" s="150" t="s">
        <v>48</v>
      </c>
      <c r="D197" s="151" t="e">
        <f>VLOOKUP("italia",#REF!,6,FALSE)/VLOOKUP("italia",#REF!,6,FALSE)-1</f>
        <v>#REF!</v>
      </c>
      <c r="E197" s="152" t="e">
        <f>VLOOKUP("italia",#REF!,6,FALSE)</f>
        <v>#REF!</v>
      </c>
      <c r="F197" s="151" t="e">
        <f>VLOOKUP("italia",#REF!,5,FALSE)/VLOOKUP("italia",#REF!,5,FALSE)-1</f>
        <v>#REF!</v>
      </c>
      <c r="G197" s="152" t="e">
        <f>VLOOKUP("italia",#REF!,5,FALSE)</f>
        <v>#REF!</v>
      </c>
      <c r="H197" s="151" t="e">
        <f>VLOOKUP("italia",#REF!,4,FALSE)/VLOOKUP("italia",#REF!,4,FALSE)-1</f>
        <v>#REF!</v>
      </c>
      <c r="I197" s="152" t="e">
        <f>VLOOKUP("italia",#REF!,4,FALSE)</f>
        <v>#REF!</v>
      </c>
      <c r="J197" s="151" t="e">
        <f>VLOOKUP("italia",#REF!,3,FALSE)/VLOOKUP("italia",#REF!,3,FALSE)-1</f>
        <v>#REF!</v>
      </c>
      <c r="K197" s="152" t="e">
        <f>VLOOKUP("italia",#REF!,3,FALSE)</f>
        <v>#REF!</v>
      </c>
      <c r="L197" s="151" t="e">
        <f>VLOOKUP("italia",#REF!,2,FALSE)/VLOOKUP("italia",#REF!,2,FALSE)-1</f>
        <v>#REF!</v>
      </c>
      <c r="M197" s="152" t="e">
        <f>VLOOKUP("italia",#REF!,2,FALSE)</f>
        <v>#REF!</v>
      </c>
      <c r="N197" s="151" t="e">
        <f>VLOOKUP("italia",#REF!,7,FALSE)/VLOOKUP("italia",#REF!,7,FALSE)-1</f>
        <v>#REF!</v>
      </c>
      <c r="O197" s="152" t="e">
        <f>VLOOKUP("italia",#REF!,7,FALSE)</f>
        <v>#REF!</v>
      </c>
      <c r="P197" s="151" t="e">
        <f>VLOOKUP("italia",#REF!,8,FALSE)/VLOOKUP("italia",#REF!,8,FALSE)-1</f>
        <v>#REF!</v>
      </c>
      <c r="Q197" s="152" t="e">
        <f>VLOOKUP("italia",#REF!,8,FALSE)</f>
        <v>#REF!</v>
      </c>
    </row>
    <row r="198" spans="3:17" ht="24" hidden="1" customHeight="1" x14ac:dyDescent="0.2">
      <c r="C198" s="150" t="s">
        <v>49</v>
      </c>
      <c r="D198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152" t="e">
        <f>(VLOOKUP("suecia",#REF!,6,FALSE)+VLOOKUP("noruega",#REF!,6,FALSE)+VLOOKUP("dinamarca",#REF!,6,FALSE)+VLOOKUP("finlandia",#REF!,6,FALSE))</f>
        <v>#REF!</v>
      </c>
      <c r="F198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152" t="e">
        <f>(VLOOKUP("suecia",#REF!,5,FALSE)+VLOOKUP("noruega",#REF!,5,FALSE)+VLOOKUP("dinamarca",#REF!,5,FALSE)+VLOOKUP("finlandia",#REF!,5,FALSE))</f>
        <v>#REF!</v>
      </c>
      <c r="H198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152" t="e">
        <f>(VLOOKUP("suecia",#REF!,4,FALSE)+VLOOKUP("noruega",#REF!,4,FALSE)+VLOOKUP("dinamarca",#REF!,4,FALSE)+VLOOKUP("finlandia",#REF!,4,FALSE))</f>
        <v>#REF!</v>
      </c>
      <c r="J198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152" t="e">
        <f>(VLOOKUP("suecia",#REF!,3,FALSE)+VLOOKUP("noruega",#REF!,3,FALSE)+VLOOKUP("dinamarca",#REF!,3,FALSE)+VLOOKUP("finlandia",#REF!,3,FALSE))</f>
        <v>#REF!</v>
      </c>
      <c r="L198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152" t="e">
        <f>(VLOOKUP("suecia",#REF!,2,FALSE)+VLOOKUP("noruega",#REF!,2,FALSE)+VLOOKUP("dinamarca",#REF!,2,FALSE)+VLOOKUP("finlandia",#REF!,2,FALSE))</f>
        <v>#REF!</v>
      </c>
      <c r="N198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152" t="e">
        <f>(VLOOKUP("suecia",#REF!,7,FALSE)+VLOOKUP("noruega",#REF!,7,FALSE)+VLOOKUP("dinamarca",#REF!,7,FALSE)+VLOOKUP("finlandia",#REF!,7,FALSE))</f>
        <v>#REF!</v>
      </c>
      <c r="P198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152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153" t="s">
        <v>50</v>
      </c>
      <c r="D199" s="151" t="e">
        <f>VLOOKUP("suecia",#REF!,6,FALSE)/VLOOKUP("suecia",#REF!,6,FALSE)-1</f>
        <v>#REF!</v>
      </c>
      <c r="E199" s="152" t="e">
        <f>VLOOKUP("suecia",#REF!,6,FALSE)</f>
        <v>#REF!</v>
      </c>
      <c r="F199" s="151" t="e">
        <f>VLOOKUP("suecia",#REF!,5,FALSE)/VLOOKUP("suecia",#REF!,5,FALSE)-1</f>
        <v>#REF!</v>
      </c>
      <c r="G199" s="152" t="e">
        <f>VLOOKUP("suecia",#REF!,5,FALSE)</f>
        <v>#REF!</v>
      </c>
      <c r="H199" s="151" t="e">
        <f>VLOOKUP("suecia",#REF!,4,FALSE)/VLOOKUP("suecia",#REF!,4,FALSE)-1</f>
        <v>#REF!</v>
      </c>
      <c r="I199" s="152" t="e">
        <f>VLOOKUP("suecia",#REF!,4,FALSE)</f>
        <v>#REF!</v>
      </c>
      <c r="J199" s="151" t="e">
        <f>VLOOKUP("suecia",#REF!,3,FALSE)/VLOOKUP("suecia",#REF!,3,FALSE)-1</f>
        <v>#REF!</v>
      </c>
      <c r="K199" s="152" t="e">
        <f>VLOOKUP("suecia",#REF!,3,FALSE)</f>
        <v>#REF!</v>
      </c>
      <c r="L199" s="151" t="e">
        <f>VLOOKUP("suecia",#REF!,2,FALSE)/VLOOKUP("suecia",#REF!,2,FALSE)-1</f>
        <v>#REF!</v>
      </c>
      <c r="M199" s="152" t="e">
        <f>VLOOKUP("suecia",#REF!,2,FALSE)</f>
        <v>#REF!</v>
      </c>
      <c r="N199" s="151" t="e">
        <f>VLOOKUP("suecia",#REF!,7,FALSE)/VLOOKUP("suecia",#REF!,7,FALSE)-1</f>
        <v>#REF!</v>
      </c>
      <c r="O199" s="152" t="e">
        <f>VLOOKUP("suecia",#REF!,7,FALSE)</f>
        <v>#REF!</v>
      </c>
      <c r="P199" s="151" t="e">
        <f>VLOOKUP("suecia",#REF!,8,FALSE)/VLOOKUP("suecia",#REF!,8,FALSE)-1</f>
        <v>#REF!</v>
      </c>
      <c r="Q199" s="152" t="e">
        <f>VLOOKUP("suecia",#REF!,8,FALSE)</f>
        <v>#REF!</v>
      </c>
    </row>
    <row r="200" spans="3:17" ht="24" hidden="1" customHeight="1" x14ac:dyDescent="0.2">
      <c r="C200" s="153" t="s">
        <v>51</v>
      </c>
      <c r="D200" s="151" t="e">
        <f>VLOOKUP("noruega",#REF!,6,FALSE)/VLOOKUP("noruega",#REF!,6,FALSE)-1</f>
        <v>#REF!</v>
      </c>
      <c r="E200" s="152" t="e">
        <f>VLOOKUP("noruega",#REF!,6,FALSE)</f>
        <v>#REF!</v>
      </c>
      <c r="F200" s="151" t="e">
        <f>VLOOKUP("noruega",#REF!,5,FALSE)/VLOOKUP("noruega",#REF!,5,FALSE)-1</f>
        <v>#REF!</v>
      </c>
      <c r="G200" s="152" t="e">
        <f>VLOOKUP("noruega",#REF!,5,FALSE)</f>
        <v>#REF!</v>
      </c>
      <c r="H200" s="151" t="e">
        <f>VLOOKUP("noruega",#REF!,4,FALSE)/VLOOKUP("noruega",#REF!,4,FALSE)-1</f>
        <v>#REF!</v>
      </c>
      <c r="I200" s="152" t="e">
        <f>VLOOKUP("noruega",#REF!,4,FALSE)</f>
        <v>#REF!</v>
      </c>
      <c r="J200" s="151" t="e">
        <f>VLOOKUP("noruega",#REF!,3,FALSE)/VLOOKUP("noruega",#REF!,3,FALSE)-1</f>
        <v>#REF!</v>
      </c>
      <c r="K200" s="152" t="e">
        <f>VLOOKUP("noruega",#REF!,3,FALSE)</f>
        <v>#REF!</v>
      </c>
      <c r="L200" s="151" t="e">
        <f>VLOOKUP("noruega",#REF!,2,FALSE)/VLOOKUP("noruega",#REF!,2,FALSE)-1</f>
        <v>#REF!</v>
      </c>
      <c r="M200" s="152" t="e">
        <f>VLOOKUP("noruega",#REF!,2,FALSE)</f>
        <v>#REF!</v>
      </c>
      <c r="N200" s="151" t="e">
        <f>VLOOKUP("noruega",#REF!,7,FALSE)/VLOOKUP("noruega",#REF!,7,FALSE)-1</f>
        <v>#REF!</v>
      </c>
      <c r="O200" s="152" t="e">
        <f>VLOOKUP("noruega",#REF!,7,FALSE)</f>
        <v>#REF!</v>
      </c>
      <c r="P200" s="151" t="e">
        <f>VLOOKUP("noruega",#REF!,8,FALSE)/VLOOKUP("noruega",#REF!,8,FALSE)-1</f>
        <v>#REF!</v>
      </c>
      <c r="Q200" s="152" t="e">
        <f>VLOOKUP("noruega",#REF!,8,FALSE)</f>
        <v>#REF!</v>
      </c>
    </row>
    <row r="201" spans="3:17" ht="24" hidden="1" customHeight="1" x14ac:dyDescent="0.2">
      <c r="C201" s="153" t="s">
        <v>52</v>
      </c>
      <c r="D201" s="151" t="e">
        <f>VLOOKUP("dinamarca",#REF!,6,FALSE)/VLOOKUP("dinamarca",#REF!,6,FALSE)-1</f>
        <v>#REF!</v>
      </c>
      <c r="E201" s="152" t="e">
        <f>VLOOKUP("dinamarca",#REF!,6,FALSE)</f>
        <v>#REF!</v>
      </c>
      <c r="F201" s="151" t="e">
        <f>VLOOKUP("dinamarca",#REF!,5,FALSE)/VLOOKUP("dinamarca",#REF!,5,FALSE)-1</f>
        <v>#REF!</v>
      </c>
      <c r="G201" s="152" t="e">
        <f>VLOOKUP("dinamarca",#REF!,5,FALSE)</f>
        <v>#REF!</v>
      </c>
      <c r="H201" s="151" t="e">
        <f>VLOOKUP("dinamarca",#REF!,4,FALSE)/VLOOKUP("dinamarca",#REF!,4,FALSE)-1</f>
        <v>#REF!</v>
      </c>
      <c r="I201" s="152" t="e">
        <f>VLOOKUP("dinamarca",#REF!,4,FALSE)</f>
        <v>#REF!</v>
      </c>
      <c r="J201" s="151" t="e">
        <f>VLOOKUP("dinamarca",#REF!,3,FALSE)/VLOOKUP("dinamarca",#REF!,3,FALSE)-1</f>
        <v>#REF!</v>
      </c>
      <c r="K201" s="152" t="e">
        <f>VLOOKUP("dinamarca",#REF!,3,FALSE)</f>
        <v>#REF!</v>
      </c>
      <c r="L201" s="151" t="e">
        <f>VLOOKUP("dinamarca",#REF!,2,FALSE)/VLOOKUP("dinamarca",#REF!,2,FALSE)-1</f>
        <v>#REF!</v>
      </c>
      <c r="M201" s="152" t="e">
        <f>VLOOKUP("dinamarca",#REF!,2,FALSE)</f>
        <v>#REF!</v>
      </c>
      <c r="N201" s="151" t="e">
        <f>VLOOKUP("dinamarca",#REF!,7,FALSE)/VLOOKUP("dinamarca",#REF!,7,FALSE)-1</f>
        <v>#REF!</v>
      </c>
      <c r="O201" s="152" t="e">
        <f>VLOOKUP("dinamarca",#REF!,7,FALSE)</f>
        <v>#REF!</v>
      </c>
      <c r="P201" s="151" t="e">
        <f>VLOOKUP("dinamarca",#REF!,8,FALSE)/VLOOKUP("dinamarca",#REF!,8,FALSE)-1</f>
        <v>#REF!</v>
      </c>
      <c r="Q201" s="152" t="e">
        <f>VLOOKUP("dinamarca",#REF!,8,FALSE)</f>
        <v>#REF!</v>
      </c>
    </row>
    <row r="202" spans="3:17" ht="24" hidden="1" customHeight="1" x14ac:dyDescent="0.2">
      <c r="C202" s="153" t="s">
        <v>53</v>
      </c>
      <c r="D202" s="151" t="s">
        <v>39</v>
      </c>
      <c r="E202" s="152" t="e">
        <f>VLOOKUP("finlandia",#REF!,6,FALSE)</f>
        <v>#REF!</v>
      </c>
      <c r="F202" s="151" t="e">
        <f>VLOOKUP("finlandia",#REF!,5,FALSE)/VLOOKUP("finlandia",#REF!,5,FALSE)-1</f>
        <v>#REF!</v>
      </c>
      <c r="G202" s="152" t="e">
        <f>VLOOKUP("finlandia",#REF!,5,FALSE)</f>
        <v>#REF!</v>
      </c>
      <c r="H202" s="151" t="e">
        <f>VLOOKUP("finlandia",#REF!,4,FALSE)/VLOOKUP("finlandia",#REF!,4,FALSE)-1</f>
        <v>#REF!</v>
      </c>
      <c r="I202" s="152" t="e">
        <f>VLOOKUP("finlandia",#REF!,4,FALSE)</f>
        <v>#REF!</v>
      </c>
      <c r="J202" s="151" t="e">
        <f>VLOOKUP("finlandia",#REF!,3,FALSE)/VLOOKUP("finlandia",#REF!,3,FALSE)-1</f>
        <v>#REF!</v>
      </c>
      <c r="K202" s="152" t="e">
        <f>VLOOKUP("finlandia",#REF!,3,FALSE)</f>
        <v>#REF!</v>
      </c>
      <c r="L202" s="151" t="s">
        <v>39</v>
      </c>
      <c r="M202" s="152" t="e">
        <f>VLOOKUP("finlandia",#REF!,2,FALSE)</f>
        <v>#REF!</v>
      </c>
      <c r="N202" s="151" t="e">
        <f>VLOOKUP("finlandia",#REF!,7,FALSE)/VLOOKUP("finlandia",#REF!,7,FALSE)-1</f>
        <v>#REF!</v>
      </c>
      <c r="O202" s="152" t="e">
        <f>VLOOKUP("finlandia",#REF!,7,FALSE)</f>
        <v>#REF!</v>
      </c>
      <c r="P202" s="151" t="e">
        <f>VLOOKUP("finlandia",#REF!,8,FALSE)/VLOOKUP("finlandia",#REF!,8,FALSE)-1</f>
        <v>#REF!</v>
      </c>
      <c r="Q202" s="152" t="e">
        <f>VLOOKUP("finlandia",#REF!,8,FALSE)</f>
        <v>#REF!</v>
      </c>
    </row>
    <row r="203" spans="3:17" ht="24" hidden="1" customHeight="1" x14ac:dyDescent="0.2">
      <c r="C203" s="150" t="s">
        <v>54</v>
      </c>
      <c r="D203" s="151" t="e">
        <f>VLOOKUP("suiza",#REF!,6,FALSE)/VLOOKUP("suiza",#REF!,6,FALSE)-1</f>
        <v>#REF!</v>
      </c>
      <c r="E203" s="152" t="e">
        <f>VLOOKUP("suiza",#REF!,6,FALSE)</f>
        <v>#REF!</v>
      </c>
      <c r="F203" s="151" t="e">
        <f>VLOOKUP("suiza",#REF!,5,FALSE)/VLOOKUP("suiza",#REF!,5,FALSE)-1</f>
        <v>#REF!</v>
      </c>
      <c r="G203" s="152" t="e">
        <f>VLOOKUP("suiza",#REF!,5,FALSE)</f>
        <v>#REF!</v>
      </c>
      <c r="H203" s="151" t="e">
        <f>VLOOKUP("suiza",#REF!,4,FALSE)/VLOOKUP("suiza",#REF!,4,FALSE)-1</f>
        <v>#REF!</v>
      </c>
      <c r="I203" s="152" t="e">
        <f>VLOOKUP("suiza",#REF!,4,FALSE)</f>
        <v>#REF!</v>
      </c>
      <c r="J203" s="151" t="e">
        <f>VLOOKUP("suiza",#REF!,3,FALSE)/VLOOKUP("suiza",#REF!,3,FALSE)-1</f>
        <v>#REF!</v>
      </c>
      <c r="K203" s="152" t="e">
        <f>VLOOKUP("suiza",#REF!,3,FALSE)</f>
        <v>#REF!</v>
      </c>
      <c r="L203" s="151" t="e">
        <f>VLOOKUP("suiza",#REF!,2,FALSE)/VLOOKUP("suiza",#REF!,2,FALSE)-1</f>
        <v>#REF!</v>
      </c>
      <c r="M203" s="152" t="e">
        <f>VLOOKUP("suiza",#REF!,2,FALSE)</f>
        <v>#REF!</v>
      </c>
      <c r="N203" s="151" t="e">
        <f>VLOOKUP("suiza",#REF!,7,FALSE)/VLOOKUP("suiza",#REF!,7,FALSE)-1</f>
        <v>#REF!</v>
      </c>
      <c r="O203" s="152" t="e">
        <f>VLOOKUP("suiza",#REF!,7,FALSE)</f>
        <v>#REF!</v>
      </c>
      <c r="P203" s="151" t="e">
        <f>VLOOKUP("suiza",#REF!,8,FALSE)/VLOOKUP("suiza",#REF!,8,FALSE)-1</f>
        <v>#REF!</v>
      </c>
      <c r="Q203" s="152" t="e">
        <f>VLOOKUP("suiza",#REF!,8,FALSE)</f>
        <v>#REF!</v>
      </c>
    </row>
    <row r="204" spans="3:17" ht="24" hidden="1" customHeight="1" x14ac:dyDescent="0.2">
      <c r="C204" s="150" t="s">
        <v>55</v>
      </c>
      <c r="D204" s="151" t="e">
        <f>VLOOKUP("austria",#REF!,6,FALSE)/VLOOKUP("austria",#REF!,6,FALSE)-1</f>
        <v>#REF!</v>
      </c>
      <c r="E204" s="152" t="e">
        <f>VLOOKUP("austria",#REF!,6,FALSE)</f>
        <v>#REF!</v>
      </c>
      <c r="F204" s="151" t="e">
        <f>VLOOKUP("austria",#REF!,5,FALSE)/VLOOKUP("austria",#REF!,5,FALSE)-1</f>
        <v>#REF!</v>
      </c>
      <c r="G204" s="152" t="e">
        <f>VLOOKUP("austria",#REF!,5,FALSE)</f>
        <v>#REF!</v>
      </c>
      <c r="H204" s="151" t="e">
        <f>VLOOKUP("austria",#REF!,4,FALSE)/VLOOKUP("austria",#REF!,4,FALSE)-1</f>
        <v>#REF!</v>
      </c>
      <c r="I204" s="152" t="e">
        <f>VLOOKUP("austria",#REF!,4,FALSE)</f>
        <v>#REF!</v>
      </c>
      <c r="J204" s="151" t="e">
        <f>VLOOKUP("austria",#REF!,3,FALSE)/VLOOKUP("austria",#REF!,3,FALSE)-1</f>
        <v>#REF!</v>
      </c>
      <c r="K204" s="152" t="e">
        <f>VLOOKUP("austria",#REF!,3,FALSE)</f>
        <v>#REF!</v>
      </c>
      <c r="L204" s="151" t="e">
        <f>VLOOKUP("austria",#REF!,2,FALSE)/VLOOKUP("austria",#REF!,2,FALSE)-1</f>
        <v>#REF!</v>
      </c>
      <c r="M204" s="152" t="e">
        <f>VLOOKUP("austria",#REF!,2,FALSE)</f>
        <v>#REF!</v>
      </c>
      <c r="N204" s="151" t="e">
        <f>VLOOKUP("austria",#REF!,7,FALSE)/VLOOKUP("austria",#REF!,7,FALSE)-1</f>
        <v>#REF!</v>
      </c>
      <c r="O204" s="152" t="e">
        <f>VLOOKUP("austria",#REF!,7,FALSE)</f>
        <v>#REF!</v>
      </c>
      <c r="P204" s="151" t="e">
        <f>VLOOKUP("austria",#REF!,8,FALSE)/VLOOKUP("austria",#REF!,8,FALSE)-1</f>
        <v>#REF!</v>
      </c>
      <c r="Q204" s="152" t="e">
        <f>VLOOKUP("austria",#REF!,8,FALSE)</f>
        <v>#REF!</v>
      </c>
    </row>
    <row r="205" spans="3:17" ht="24" hidden="1" customHeight="1" x14ac:dyDescent="0.2">
      <c r="C205" s="150" t="s">
        <v>56</v>
      </c>
      <c r="D205" s="151" t="e">
        <f>VLOOKUP("rusia",#REF!,6,FALSE)/VLOOKUP("rusia",#REF!,6,FALSE)-1</f>
        <v>#REF!</v>
      </c>
      <c r="E205" s="152" t="e">
        <f>VLOOKUP("rusia",#REF!,6,FALSE)</f>
        <v>#REF!</v>
      </c>
      <c r="F205" s="151" t="e">
        <f>VLOOKUP("rusia",#REF!,5,FALSE)/VLOOKUP("rusia",#REF!,5,FALSE)-1</f>
        <v>#REF!</v>
      </c>
      <c r="G205" s="152" t="e">
        <f>VLOOKUP("rusia",#REF!,5,FALSE)</f>
        <v>#REF!</v>
      </c>
      <c r="H205" s="151" t="e">
        <f>VLOOKUP("rusia",#REF!,4,FALSE)/VLOOKUP("rusia",#REF!,4,FALSE)-1</f>
        <v>#REF!</v>
      </c>
      <c r="I205" s="152" t="e">
        <f>VLOOKUP("rusia",#REF!,4,FALSE)</f>
        <v>#REF!</v>
      </c>
      <c r="J205" s="151" t="e">
        <f>VLOOKUP("rusia",#REF!,3,FALSE)/VLOOKUP("rusia",#REF!,3,FALSE)-1</f>
        <v>#REF!</v>
      </c>
      <c r="K205" s="152" t="e">
        <f>VLOOKUP("rusia",#REF!,3,FALSE)</f>
        <v>#REF!</v>
      </c>
      <c r="L205" s="151" t="e">
        <f>VLOOKUP("rusia",#REF!,2,FALSE)/VLOOKUP("rusia",#REF!,2,FALSE)-1</f>
        <v>#REF!</v>
      </c>
      <c r="M205" s="152" t="e">
        <f>VLOOKUP("rusia",#REF!,2,FALSE)</f>
        <v>#REF!</v>
      </c>
      <c r="N205" s="151" t="e">
        <f>VLOOKUP("rusia",#REF!,7,FALSE)/VLOOKUP("rusia",#REF!,7,FALSE)-1</f>
        <v>#REF!</v>
      </c>
      <c r="O205" s="152" t="e">
        <f>VLOOKUP("rusia",#REF!,7,FALSE)</f>
        <v>#REF!</v>
      </c>
      <c r="P205" s="151" t="e">
        <f>VLOOKUP("rusia",#REF!,8,FALSE)/VLOOKUP("rusia",#REF!,8,FALSE)-1</f>
        <v>#REF!</v>
      </c>
      <c r="Q205" s="152" t="e">
        <f>VLOOKUP("rusia",#REF!,8,FALSE)</f>
        <v>#REF!</v>
      </c>
    </row>
    <row r="206" spans="3:17" ht="24" hidden="1" customHeight="1" x14ac:dyDescent="0.2">
      <c r="C206" s="150" t="s">
        <v>57</v>
      </c>
      <c r="D206" s="151" t="e">
        <f>VLOOKUP("paises del este",#REF!,6,FALSE)/VLOOKUP("paises del este",#REF!,6,FALSE)-1</f>
        <v>#REF!</v>
      </c>
      <c r="E206" s="152" t="e">
        <f>VLOOKUP("paises del este",#REF!,6,FALSE)</f>
        <v>#REF!</v>
      </c>
      <c r="F206" s="151" t="e">
        <f>VLOOKUP("paises del este",#REF!,5,FALSE)/VLOOKUP("paises del este",#REF!,5,FALSE)-1</f>
        <v>#REF!</v>
      </c>
      <c r="G206" s="152" t="e">
        <f>VLOOKUP("paises del este",#REF!,5,FALSE)</f>
        <v>#REF!</v>
      </c>
      <c r="H206" s="151" t="e">
        <f>VLOOKUP("paises del este",#REF!,4,FALSE)/VLOOKUP("paises del este",#REF!,4,FALSE)-1</f>
        <v>#REF!</v>
      </c>
      <c r="I206" s="152" t="e">
        <f>VLOOKUP("paises del este",#REF!,4,FALSE)</f>
        <v>#REF!</v>
      </c>
      <c r="J206" s="151" t="e">
        <f>VLOOKUP("paises del este",#REF!,3,FALSE)/VLOOKUP("paises del este",#REF!,3,FALSE)-1</f>
        <v>#REF!</v>
      </c>
      <c r="K206" s="152" t="e">
        <f>VLOOKUP("paises del este",#REF!,3,FALSE)</f>
        <v>#REF!</v>
      </c>
      <c r="L206" s="151" t="e">
        <f>VLOOKUP("paises del este",#REF!,2,FALSE)/VLOOKUP("paises del este",#REF!,2,FALSE)-1</f>
        <v>#REF!</v>
      </c>
      <c r="M206" s="152" t="e">
        <f>VLOOKUP("paises del este",#REF!,2,FALSE)</f>
        <v>#REF!</v>
      </c>
      <c r="N206" s="151" t="e">
        <f>VLOOKUP("paises del este",#REF!,7,FALSE)/VLOOKUP("paises del este",#REF!,7,FALSE)-1</f>
        <v>#REF!</v>
      </c>
      <c r="O206" s="152" t="e">
        <f>VLOOKUP("paises del este",#REF!,7,FALSE)</f>
        <v>#REF!</v>
      </c>
      <c r="P206" s="151" t="e">
        <f>VLOOKUP("paises del este",#REF!,8,FALSE)/VLOOKUP("paises del este",#REF!,8,FALSE)-1</f>
        <v>#REF!</v>
      </c>
      <c r="Q206" s="152" t="e">
        <f>VLOOKUP("paises del este",#REF!,8,FALSE)</f>
        <v>#REF!</v>
      </c>
    </row>
    <row r="207" spans="3:17" ht="24" hidden="1" customHeight="1" x14ac:dyDescent="0.2">
      <c r="C207" s="150" t="s">
        <v>58</v>
      </c>
      <c r="D207" s="151" t="e">
        <f>VLOOKUP("resto de europa",#REF!,6,FALSE)/VLOOKUP("resto de europa",#REF!,6,FALSE)-1</f>
        <v>#REF!</v>
      </c>
      <c r="E207" s="152" t="e">
        <f>VLOOKUP("resto de europa",#REF!,6,FALSE)</f>
        <v>#REF!</v>
      </c>
      <c r="F207" s="151" t="e">
        <f>VLOOKUP("resto de europa",#REF!,5,FALSE)/VLOOKUP("resto de europa",#REF!,5,FALSE)-1</f>
        <v>#REF!</v>
      </c>
      <c r="G207" s="152" t="e">
        <f>VLOOKUP("resto de europa",#REF!,5,FALSE)</f>
        <v>#REF!</v>
      </c>
      <c r="H207" s="151" t="e">
        <f>VLOOKUP("resto de europa",#REF!,4,FALSE)/VLOOKUP("resto de europa",#REF!,4,FALSE)-1</f>
        <v>#REF!</v>
      </c>
      <c r="I207" s="152" t="e">
        <f>VLOOKUP("resto de europa",#REF!,4,FALSE)</f>
        <v>#REF!</v>
      </c>
      <c r="J207" s="151" t="e">
        <f>VLOOKUP("resto de europa",#REF!,3,FALSE)/VLOOKUP("resto de europa",#REF!,3,FALSE)-1</f>
        <v>#REF!</v>
      </c>
      <c r="K207" s="152" t="e">
        <f>VLOOKUP("resto de europa",#REF!,3,FALSE)</f>
        <v>#REF!</v>
      </c>
      <c r="L207" s="151" t="e">
        <f>VLOOKUP("resto de europa",#REF!,2,FALSE)/VLOOKUP("resto de europa",#REF!,2,FALSE)-1</f>
        <v>#REF!</v>
      </c>
      <c r="M207" s="152" t="e">
        <f>VLOOKUP("resto de europa",#REF!,2,FALSE)</f>
        <v>#REF!</v>
      </c>
      <c r="N207" s="151" t="e">
        <f>VLOOKUP("resto de europa",#REF!,7,FALSE)/VLOOKUP("resto de europa",#REF!,7,FALSE)-1</f>
        <v>#REF!</v>
      </c>
      <c r="O207" s="152" t="e">
        <f>VLOOKUP("resto de europa",#REF!,7,FALSE)</f>
        <v>#REF!</v>
      </c>
      <c r="P207" s="151" t="e">
        <f>VLOOKUP("resto de europa",#REF!,8,FALSE)/VLOOKUP("resto de europa",#REF!,8,FALSE)-1</f>
        <v>#REF!</v>
      </c>
      <c r="Q207" s="152" t="e">
        <f>VLOOKUP("resto de europa",#REF!,8,FALSE)</f>
        <v>#REF!</v>
      </c>
    </row>
    <row r="208" spans="3:17" ht="24" hidden="1" customHeight="1" x14ac:dyDescent="0.2">
      <c r="C208" s="150" t="s">
        <v>59</v>
      </c>
      <c r="D208" s="151" t="e">
        <f>VLOOKUP("usa",#REF!,6,FALSE)/VLOOKUP("usa",#REF!,6,FALSE)-1</f>
        <v>#REF!</v>
      </c>
      <c r="E208" s="152" t="e">
        <f>VLOOKUP("usa",#REF!,6,FALSE)</f>
        <v>#REF!</v>
      </c>
      <c r="F208" s="151" t="e">
        <f>VLOOKUP("usa",#REF!,5,FALSE)/VLOOKUP("usa",#REF!,5,FALSE)-1</f>
        <v>#REF!</v>
      </c>
      <c r="G208" s="152" t="e">
        <f>VLOOKUP("usa",#REF!,5,FALSE)</f>
        <v>#REF!</v>
      </c>
      <c r="H208" s="151" t="e">
        <f>VLOOKUP("usa",#REF!,4,FALSE)/VLOOKUP("usa",#REF!,4,FALSE)-1</f>
        <v>#REF!</v>
      </c>
      <c r="I208" s="152" t="e">
        <f>VLOOKUP("usa",#REF!,4,FALSE)</f>
        <v>#REF!</v>
      </c>
      <c r="J208" s="151" t="e">
        <f>VLOOKUP("usa",#REF!,3,FALSE)/VLOOKUP("usa",#REF!,3,FALSE)-1</f>
        <v>#REF!</v>
      </c>
      <c r="K208" s="152" t="e">
        <f>VLOOKUP("usa",#REF!,3,FALSE)</f>
        <v>#REF!</v>
      </c>
      <c r="L208" s="151" t="e">
        <f>VLOOKUP("usa",#REF!,2,FALSE)/VLOOKUP("usa",#REF!,2,FALSE)-1</f>
        <v>#REF!</v>
      </c>
      <c r="M208" s="152" t="e">
        <f>VLOOKUP("usa",#REF!,2,FALSE)</f>
        <v>#REF!</v>
      </c>
      <c r="N208" s="151" t="e">
        <f>VLOOKUP("usa",#REF!,7,FALSE)/VLOOKUP("usa",#REF!,7,FALSE)-1</f>
        <v>#REF!</v>
      </c>
      <c r="O208" s="152" t="e">
        <f>VLOOKUP("usa",#REF!,7,FALSE)</f>
        <v>#REF!</v>
      </c>
      <c r="P208" s="151" t="e">
        <f>VLOOKUP("usa",#REF!,8,FALSE)/VLOOKUP("usa",#REF!,8,FALSE)-1</f>
        <v>#REF!</v>
      </c>
      <c r="Q208" s="152" t="e">
        <f>VLOOKUP("usa",#REF!,8,FALSE)</f>
        <v>#REF!</v>
      </c>
    </row>
    <row r="209" spans="3:18" ht="24" hidden="1" customHeight="1" x14ac:dyDescent="0.2">
      <c r="C209" s="150" t="s">
        <v>60</v>
      </c>
      <c r="D209" s="151" t="e">
        <f>VLOOKUP("resto de america",#REF!,6,FALSE)/VLOOKUP("resto de america",#REF!,6,FALSE)-1</f>
        <v>#REF!</v>
      </c>
      <c r="E209" s="152" t="e">
        <f>VLOOKUP("resto de america",#REF!,6,FALSE)</f>
        <v>#REF!</v>
      </c>
      <c r="F209" s="151" t="e">
        <f>VLOOKUP("resto de america",#REF!,5,FALSE)/VLOOKUP("resto de america",#REF!,5,FALSE)-1</f>
        <v>#REF!</v>
      </c>
      <c r="G209" s="152" t="e">
        <f>VLOOKUP("resto de america",#REF!,5,FALSE)</f>
        <v>#REF!</v>
      </c>
      <c r="H209" s="151" t="e">
        <f>VLOOKUP("resto de america",#REF!,4,FALSE)/VLOOKUP("resto de america",#REF!,4,FALSE)-1</f>
        <v>#REF!</v>
      </c>
      <c r="I209" s="152" t="e">
        <f>VLOOKUP("resto de america",#REF!,4,FALSE)</f>
        <v>#REF!</v>
      </c>
      <c r="J209" s="151" t="e">
        <f>VLOOKUP("resto de america",#REF!,3,FALSE)/VLOOKUP("resto de america",#REF!,3,FALSE)-1</f>
        <v>#REF!</v>
      </c>
      <c r="K209" s="152" t="e">
        <f>VLOOKUP("resto de america",#REF!,3,FALSE)</f>
        <v>#REF!</v>
      </c>
      <c r="L209" s="151" t="e">
        <f>VLOOKUP("resto de america",#REF!,2,FALSE)/VLOOKUP("resto de america",#REF!,2,FALSE)-1</f>
        <v>#REF!</v>
      </c>
      <c r="M209" s="152" t="e">
        <f>VLOOKUP("resto de america",#REF!,2,FALSE)</f>
        <v>#REF!</v>
      </c>
      <c r="N209" s="151" t="e">
        <f>VLOOKUP("resto de america",#REF!,7,FALSE)/VLOOKUP("resto de america",#REF!,7,FALSE)-1</f>
        <v>#REF!</v>
      </c>
      <c r="O209" s="152" t="e">
        <f>VLOOKUP("resto de america",#REF!,7,FALSE)</f>
        <v>#REF!</v>
      </c>
      <c r="P209" s="151" t="e">
        <f>VLOOKUP("resto de america",#REF!,8,FALSE)/VLOOKUP("resto de america",#REF!,8,FALSE)-1</f>
        <v>#REF!</v>
      </c>
      <c r="Q209" s="152" t="e">
        <f>VLOOKUP("resto de america",#REF!,8,FALSE)</f>
        <v>#REF!</v>
      </c>
    </row>
    <row r="210" spans="3:18" ht="24" hidden="1" customHeight="1" x14ac:dyDescent="0.2">
      <c r="C210" s="150" t="s">
        <v>61</v>
      </c>
      <c r="D210" s="151" t="e">
        <f>VLOOKUP("resto del mundo",#REF!,6,FALSE)/VLOOKUP("resto del mundo",#REF!,6,FALSE)-1</f>
        <v>#REF!</v>
      </c>
      <c r="E210" s="152" t="e">
        <f>VLOOKUP("resto del mundo",#REF!,6,FALSE)</f>
        <v>#REF!</v>
      </c>
      <c r="F210" s="151" t="e">
        <f>VLOOKUP("resto del mundo",#REF!,5,FALSE)/VLOOKUP("resto del mundo",#REF!,5,FALSE)-1</f>
        <v>#REF!</v>
      </c>
      <c r="G210" s="152" t="e">
        <f>VLOOKUP("resto del mundo",#REF!,5,FALSE)</f>
        <v>#REF!</v>
      </c>
      <c r="H210" s="151" t="e">
        <f>VLOOKUP("resto del mundo",#REF!,4,FALSE)/VLOOKUP("resto del mundo",#REF!,4,FALSE)-1</f>
        <v>#REF!</v>
      </c>
      <c r="I210" s="152" t="e">
        <f>VLOOKUP("resto del mundo",#REF!,4,FALSE)</f>
        <v>#REF!</v>
      </c>
      <c r="J210" s="151" t="e">
        <f>VLOOKUP("resto del mundo",#REF!,3,FALSE)/VLOOKUP("resto del mundo",#REF!,3,FALSE)-1</f>
        <v>#REF!</v>
      </c>
      <c r="K210" s="152" t="e">
        <f>VLOOKUP("resto del mundo",#REF!,3,FALSE)</f>
        <v>#REF!</v>
      </c>
      <c r="L210" s="151" t="e">
        <f>VLOOKUP("resto del mundo",#REF!,2,FALSE)/VLOOKUP("resto del mundo",#REF!,2,FALSE)-1</f>
        <v>#REF!</v>
      </c>
      <c r="M210" s="152" t="e">
        <f>VLOOKUP("resto del mundo",#REF!,2,FALSE)</f>
        <v>#REF!</v>
      </c>
      <c r="N210" s="151" t="e">
        <f>VLOOKUP("resto del mundo",#REF!,7,FALSE)/VLOOKUP("resto del mundo",#REF!,7,FALSE)-1</f>
        <v>#REF!</v>
      </c>
      <c r="O210" s="152" t="e">
        <f>VLOOKUP("resto del mundo",#REF!,7,FALSE)</f>
        <v>#REF!</v>
      </c>
      <c r="P210" s="151" t="e">
        <f>VLOOKUP("resto del mundo",#REF!,8,FALSE)/VLOOKUP("resto del mundo",#REF!,8,FALSE)-1</f>
        <v>#REF!</v>
      </c>
      <c r="Q210" s="152" t="e">
        <f>VLOOKUP("resto del mundo",#REF!,8,FALSE)</f>
        <v>#REF!</v>
      </c>
    </row>
    <row r="211" spans="3:18" ht="24" hidden="1" customHeight="1" x14ac:dyDescent="0.2">
      <c r="C211" s="150" t="s">
        <v>62</v>
      </c>
      <c r="D211" s="151" t="e">
        <f>(VLOOKUP("total",#REF!,6,FALSE)-VLOOKUP("españa",#REF!,6,FALSE))/(VLOOKUP("total",#REF!,6,FALSE)-VLOOKUP("españa",#REF!,6,FALSE))-1</f>
        <v>#REF!</v>
      </c>
      <c r="E211" s="152" t="e">
        <f>VLOOKUP("total",#REF!,6,FALSE)-VLOOKUP("españa",#REF!,6,FALSE)</f>
        <v>#REF!</v>
      </c>
      <c r="F211" s="151" t="e">
        <f>(VLOOKUP("total",#REF!,5,FALSE)-VLOOKUP("españa",#REF!,5,FALSE))/(VLOOKUP("total",#REF!,5,FALSE)-VLOOKUP("españa",#REF!,5,FALSE))-1</f>
        <v>#REF!</v>
      </c>
      <c r="G211" s="152" t="e">
        <f>VLOOKUP("total",#REF!,5,FALSE)-VLOOKUP("españa",#REF!,5,FALSE)</f>
        <v>#REF!</v>
      </c>
      <c r="H211" s="151" t="e">
        <f>(VLOOKUP("total",#REF!,4,FALSE)-VLOOKUP("españa",#REF!,4,FALSE))/(VLOOKUP("total",#REF!,4,FALSE)-VLOOKUP("españa",#REF!,4,FALSE))-1</f>
        <v>#REF!</v>
      </c>
      <c r="I211" s="152" t="e">
        <f>VLOOKUP("total",#REF!,4,FALSE)-VLOOKUP("españa",#REF!,4,FALSE)</f>
        <v>#REF!</v>
      </c>
      <c r="J211" s="151" t="e">
        <f>(VLOOKUP("total",#REF!,3,FALSE)-VLOOKUP("españa",#REF!,3,FALSE))/(VLOOKUP("total",#REF!,3,FALSE)-VLOOKUP("españa",#REF!,3,FALSE))-1</f>
        <v>#REF!</v>
      </c>
      <c r="K211" s="152" t="e">
        <f>VLOOKUP("total",#REF!,3,FALSE)-VLOOKUP("españa",#REF!,3,FALSE)</f>
        <v>#REF!</v>
      </c>
      <c r="L211" s="151" t="e">
        <f>(VLOOKUP("total",#REF!,2,FALSE)-VLOOKUP("españa",#REF!,2,FALSE))/(VLOOKUP("total",#REF!,2,FALSE)-VLOOKUP("españa",#REF!,2,FALSE))-1</f>
        <v>#REF!</v>
      </c>
      <c r="M211" s="152" t="e">
        <f>VLOOKUP("total",#REF!,2,FALSE)-VLOOKUP("españa",#REF!,2,FALSE)</f>
        <v>#REF!</v>
      </c>
      <c r="N211" s="151" t="e">
        <f>(VLOOKUP("total",#REF!,7,FALSE)-VLOOKUP("españa",#REF!,7,FALSE))/(VLOOKUP("total",#REF!,7,FALSE)-VLOOKUP("españa",#REF!,7,FALSE))-1</f>
        <v>#REF!</v>
      </c>
      <c r="O211" s="152" t="e">
        <f>VLOOKUP("total",#REF!,7,FALSE)-VLOOKUP("españa",#REF!,7,FALSE)</f>
        <v>#REF!</v>
      </c>
      <c r="P211" s="151" t="e">
        <f>(VLOOKUP("total",#REF!,8,FALSE)-VLOOKUP("españa",#REF!,8,FALSE))/(VLOOKUP("total",#REF!,8,FALSE)-VLOOKUP("españa",#REF!,8,FALSE))-1</f>
        <v>#REF!</v>
      </c>
      <c r="Q211" s="152" t="e">
        <f>VLOOKUP("total",#REF!,8,FALSE)-VLOOKUP("españa",#REF!,8,FALSE)</f>
        <v>#REF!</v>
      </c>
    </row>
    <row r="212" spans="3:18" ht="24" hidden="1" customHeight="1" x14ac:dyDescent="0.2">
      <c r="C212" s="150" t="s">
        <v>8</v>
      </c>
      <c r="D212" s="151" t="e">
        <f>VLOOKUP("total",#REF!,6,FALSE)/VLOOKUP("total",#REF!,6,FALSE)-1</f>
        <v>#REF!</v>
      </c>
      <c r="E212" s="152" t="e">
        <f>VLOOKUP("total",#REF!,6,FALSE)</f>
        <v>#REF!</v>
      </c>
      <c r="F212" s="151" t="e">
        <f>VLOOKUP("total",#REF!,5,FALSE)/VLOOKUP("total",#REF!,5,FALSE)-1</f>
        <v>#REF!</v>
      </c>
      <c r="G212" s="152" t="e">
        <f>VLOOKUP("total",#REF!,5,FALSE)</f>
        <v>#REF!</v>
      </c>
      <c r="H212" s="151" t="e">
        <f>VLOOKUP("total",#REF!,4,FALSE)/VLOOKUP("total",#REF!,4,FALSE)-1</f>
        <v>#REF!</v>
      </c>
      <c r="I212" s="152" t="e">
        <f>VLOOKUP("total",#REF!,4,FALSE)</f>
        <v>#REF!</v>
      </c>
      <c r="J212" s="151" t="e">
        <f>VLOOKUP("total",#REF!,3,FALSE)/VLOOKUP("total",#REF!,3,FALSE)-1</f>
        <v>#REF!</v>
      </c>
      <c r="K212" s="152" t="e">
        <f>VLOOKUP("total",#REF!,3,FALSE)</f>
        <v>#REF!</v>
      </c>
      <c r="L212" s="151" t="e">
        <f>VLOOKUP("total",#REF!,2,FALSE)/VLOOKUP("total",#REF!,2,FALSE)-1</f>
        <v>#REF!</v>
      </c>
      <c r="M212" s="152" t="e">
        <f>VLOOKUP("total",#REF!,2,FALSE)</f>
        <v>#REF!</v>
      </c>
      <c r="N212" s="151" t="e">
        <f>VLOOKUP("total",#REF!,7,FALSE)/VLOOKUP("total",#REF!,7,FALSE)-1</f>
        <v>#REF!</v>
      </c>
      <c r="O212" s="152" t="e">
        <f>VLOOKUP("total",#REF!,7,FALSE)</f>
        <v>#REF!</v>
      </c>
      <c r="P212" s="151" t="e">
        <f>VLOOKUP("total",#REF!,8,FALSE)/VLOOKUP("total",#REF!,8,FALSE)-1</f>
        <v>#REF!</v>
      </c>
      <c r="Q212" s="152" t="e">
        <f>VLOOKUP("total",#REF!,8,FALSE)</f>
        <v>#REF!</v>
      </c>
    </row>
    <row r="213" spans="3:18" hidden="1" x14ac:dyDescent="0.2"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4"/>
    </row>
    <row r="214" spans="3:18" ht="35.25" hidden="1" customHeight="1" x14ac:dyDescent="0.2">
      <c r="C214" s="331" t="s">
        <v>30</v>
      </c>
      <c r="D214" s="332"/>
      <c r="E214" s="332"/>
      <c r="F214" s="332"/>
      <c r="G214" s="332"/>
      <c r="H214" s="332"/>
      <c r="I214" s="332"/>
      <c r="J214" s="332"/>
      <c r="K214" s="332"/>
      <c r="L214" s="332"/>
      <c r="M214" s="332"/>
      <c r="N214" s="332"/>
      <c r="O214" s="332"/>
      <c r="P214" s="332"/>
      <c r="Q214" s="332"/>
      <c r="R214" s="147"/>
    </row>
    <row r="215" spans="3:18" ht="20.100000000000001" hidden="1" customHeight="1" x14ac:dyDescent="0.2">
      <c r="C215" s="333" t="str">
        <f>I2</f>
        <v>acumulado febrero 2018</v>
      </c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154"/>
    </row>
    <row r="216" spans="3:18" ht="13.5" hidden="1" thickBot="1" x14ac:dyDescent="0.25">
      <c r="C216" s="148"/>
      <c r="D216" s="329" t="s">
        <v>25</v>
      </c>
      <c r="E216" s="330"/>
      <c r="F216" s="329" t="s">
        <v>24</v>
      </c>
      <c r="G216" s="330"/>
      <c r="H216" s="329" t="s">
        <v>23</v>
      </c>
      <c r="I216" s="330"/>
      <c r="J216" s="329" t="s">
        <v>22</v>
      </c>
      <c r="K216" s="330"/>
      <c r="L216" s="329" t="s">
        <v>21</v>
      </c>
      <c r="M216" s="330"/>
      <c r="N216" s="329" t="s">
        <v>64</v>
      </c>
      <c r="O216" s="330"/>
      <c r="P216" s="329" t="s">
        <v>65</v>
      </c>
      <c r="Q216" s="330"/>
    </row>
    <row r="217" spans="3:18" ht="28.5" hidden="1" customHeight="1" x14ac:dyDescent="0.2">
      <c r="C217" s="148"/>
      <c r="D217" s="149" t="s">
        <v>66</v>
      </c>
      <c r="E217" s="149" t="s">
        <v>67</v>
      </c>
      <c r="F217" s="149" t="s">
        <v>66</v>
      </c>
      <c r="G217" s="149" t="s">
        <v>67</v>
      </c>
      <c r="H217" s="149" t="s">
        <v>66</v>
      </c>
      <c r="I217" s="149" t="s">
        <v>67</v>
      </c>
      <c r="J217" s="149" t="s">
        <v>66</v>
      </c>
      <c r="K217" s="149" t="s">
        <v>67</v>
      </c>
      <c r="L217" s="149" t="s">
        <v>66</v>
      </c>
      <c r="M217" s="149" t="s">
        <v>67</v>
      </c>
      <c r="N217" s="149" t="s">
        <v>66</v>
      </c>
      <c r="O217" s="149" t="s">
        <v>67</v>
      </c>
      <c r="P217" s="149" t="s">
        <v>66</v>
      </c>
      <c r="Q217" s="149" t="s">
        <v>67</v>
      </c>
    </row>
    <row r="218" spans="3:18" ht="24" hidden="1" customHeight="1" x14ac:dyDescent="0.2">
      <c r="C218" s="150" t="s">
        <v>37</v>
      </c>
      <c r="D218" s="151" t="e">
        <f>VLOOKUP("españa",#REF!,6,FALSE)/VLOOKUP("españa",#REF!,6,FALSE)-1</f>
        <v>#REF!</v>
      </c>
      <c r="E218" s="152" t="e">
        <f>VLOOKUP("españa",#REF!,6,FALSE)</f>
        <v>#REF!</v>
      </c>
      <c r="F218" s="151" t="e">
        <f>VLOOKUP("españa",#REF!,5,FALSE)/VLOOKUP("españa",#REF!,5,FALSE)-1</f>
        <v>#REF!</v>
      </c>
      <c r="G218" s="152" t="e">
        <f>VLOOKUP("españa",#REF!,5,FALSE)</f>
        <v>#REF!</v>
      </c>
      <c r="H218" s="151" t="e">
        <f>VLOOKUP("españa",#REF!,4,FALSE)/VLOOKUP("españa",#REF!,4,FALSE)-1</f>
        <v>#REF!</v>
      </c>
      <c r="I218" s="152" t="e">
        <f>VLOOKUP("españa",#REF!,4,FALSE)</f>
        <v>#REF!</v>
      </c>
      <c r="J218" s="151" t="e">
        <f>VLOOKUP("españa",#REF!,3,FALSE)/VLOOKUP("españa",#REF!,3,FALSE)-1</f>
        <v>#REF!</v>
      </c>
      <c r="K218" s="152" t="e">
        <f>VLOOKUP("españa",#REF!,3,FALSE)</f>
        <v>#REF!</v>
      </c>
      <c r="L218" s="151" t="e">
        <f>VLOOKUP("españa",#REF!,2,FALSE)/VLOOKUP("españa",#REF!,2,FALSE)-1</f>
        <v>#REF!</v>
      </c>
      <c r="M218" s="152" t="e">
        <f>VLOOKUP("españa",#REF!,2,FALSE)</f>
        <v>#REF!</v>
      </c>
      <c r="N218" s="151" t="e">
        <f>VLOOKUP("españa",#REF!,7,FALSE)/VLOOKUP("españa",#REF!,7,FALSE)-1</f>
        <v>#REF!</v>
      </c>
      <c r="O218" s="152" t="e">
        <f>VLOOKUP("españa",#REF!,7,FALSE)</f>
        <v>#REF!</v>
      </c>
      <c r="P218" s="151" t="e">
        <f>VLOOKUP("españa",#REF!,8,FALSE)/VLOOKUP("españa",#REF!,8,FALSE)-1</f>
        <v>#REF!</v>
      </c>
      <c r="Q218" s="152" t="e">
        <f>VLOOKUP("españa",#REF!,8,FALSE)</f>
        <v>#REF!</v>
      </c>
    </row>
    <row r="219" spans="3:18" ht="24" hidden="1" customHeight="1" x14ac:dyDescent="0.2">
      <c r="C219" s="150" t="s">
        <v>42</v>
      </c>
      <c r="D219" s="151" t="e">
        <f>VLOOKUP("holanda",#REF!,6,FALSE)/VLOOKUP("holanda",#REF!,6,FALSE)-1</f>
        <v>#REF!</v>
      </c>
      <c r="E219" s="152" t="e">
        <f>VLOOKUP("holanda",#REF!,6,FALSE)</f>
        <v>#REF!</v>
      </c>
      <c r="F219" s="151" t="e">
        <f>VLOOKUP("holanda",#REF!,5,FALSE)/VLOOKUP("holanda",#REF!,5,FALSE)-1</f>
        <v>#REF!</v>
      </c>
      <c r="G219" s="152" t="e">
        <f>VLOOKUP("holanda",#REF!,5,FALSE)</f>
        <v>#REF!</v>
      </c>
      <c r="H219" s="151" t="e">
        <f>VLOOKUP("holanda",#REF!,4,FALSE)/VLOOKUP("holanda",#REF!,4,FALSE)-1</f>
        <v>#REF!</v>
      </c>
      <c r="I219" s="152" t="e">
        <f>VLOOKUP("holanda",#REF!,4,FALSE)</f>
        <v>#REF!</v>
      </c>
      <c r="J219" s="151" t="e">
        <f>VLOOKUP("holanda",#REF!,3,FALSE)/VLOOKUP("holanda",#REF!,3,FALSE)-1</f>
        <v>#REF!</v>
      </c>
      <c r="K219" s="152" t="e">
        <f>VLOOKUP("holanda",#REF!,3,FALSE)</f>
        <v>#REF!</v>
      </c>
      <c r="L219" s="151" t="e">
        <f>VLOOKUP("holanda",#REF!,2,FALSE)/VLOOKUP("holanda",#REF!,2,FALSE)-1</f>
        <v>#REF!</v>
      </c>
      <c r="M219" s="152" t="e">
        <f>VLOOKUP("holanda",#REF!,2,FALSE)</f>
        <v>#REF!</v>
      </c>
      <c r="N219" s="151" t="e">
        <f>VLOOKUP("holanda",#REF!,7,FALSE)/VLOOKUP("holanda",#REF!,7,FALSE)-1</f>
        <v>#REF!</v>
      </c>
      <c r="O219" s="152" t="e">
        <f>VLOOKUP("holanda",#REF!,7,FALSE)</f>
        <v>#REF!</v>
      </c>
      <c r="P219" s="151" t="e">
        <f>VLOOKUP("holanda",#REF!,8,FALSE)/VLOOKUP("holanda",#REF!,8,FALSE)-1</f>
        <v>#REF!</v>
      </c>
      <c r="Q219" s="152" t="e">
        <f>VLOOKUP("holanda",#REF!,8,FALSE)</f>
        <v>#REF!</v>
      </c>
    </row>
    <row r="220" spans="3:18" ht="24" hidden="1" customHeight="1" x14ac:dyDescent="0.2">
      <c r="C220" s="150" t="s">
        <v>43</v>
      </c>
      <c r="D220" s="151" t="e">
        <f>VLOOKUP("belgica",#REF!,6,FALSE)/VLOOKUP("belgica",#REF!,6,FALSE)-1</f>
        <v>#REF!</v>
      </c>
      <c r="E220" s="152" t="e">
        <f>VLOOKUP("belgica",#REF!,6,FALSE)</f>
        <v>#REF!</v>
      </c>
      <c r="F220" s="151" t="e">
        <f>VLOOKUP("belgica",#REF!,5,FALSE)/VLOOKUP("belgica",#REF!,5,FALSE)-1</f>
        <v>#REF!</v>
      </c>
      <c r="G220" s="152" t="e">
        <f>VLOOKUP("belgica",#REF!,5,FALSE)</f>
        <v>#REF!</v>
      </c>
      <c r="H220" s="151" t="e">
        <f>VLOOKUP("belgica",#REF!,4,FALSE)/VLOOKUP("belgica",#REF!,4,FALSE)-1</f>
        <v>#REF!</v>
      </c>
      <c r="I220" s="152" t="e">
        <f>VLOOKUP("belgica",#REF!,4,FALSE)</f>
        <v>#REF!</v>
      </c>
      <c r="J220" s="151" t="e">
        <f>VLOOKUP("belgica",#REF!,3,FALSE)/VLOOKUP("belgica",#REF!,3,FALSE)-1</f>
        <v>#REF!</v>
      </c>
      <c r="K220" s="152" t="e">
        <f>VLOOKUP("belgica",#REF!,3,FALSE)</f>
        <v>#REF!</v>
      </c>
      <c r="L220" s="151" t="e">
        <f>VLOOKUP("belgica",#REF!,2,FALSE)/VLOOKUP("belgica",#REF!,2,FALSE)-1</f>
        <v>#REF!</v>
      </c>
      <c r="M220" s="152" t="e">
        <f>VLOOKUP("belgica",#REF!,2,FALSE)</f>
        <v>#REF!</v>
      </c>
      <c r="N220" s="151" t="e">
        <f>VLOOKUP("belgica",#REF!,7,FALSE)/VLOOKUP("belgica",#REF!,7,FALSE)-1</f>
        <v>#REF!</v>
      </c>
      <c r="O220" s="152" t="e">
        <f>VLOOKUP("belgica",#REF!,7,FALSE)</f>
        <v>#REF!</v>
      </c>
      <c r="P220" s="151" t="e">
        <f>VLOOKUP("belgica",#REF!,8,FALSE)/VLOOKUP("belgica",#REF!,8,FALSE)-1</f>
        <v>#REF!</v>
      </c>
      <c r="Q220" s="152" t="e">
        <f>VLOOKUP("belgica",#REF!,8,FALSE)</f>
        <v>#REF!</v>
      </c>
    </row>
    <row r="221" spans="3:18" ht="24" hidden="1" customHeight="1" x14ac:dyDescent="0.2">
      <c r="C221" s="150" t="s">
        <v>44</v>
      </c>
      <c r="D221" s="151" t="e">
        <f>VLOOKUP("alemania",#REF!,6,FALSE)/VLOOKUP("alemania",#REF!,6,FALSE)-1</f>
        <v>#REF!</v>
      </c>
      <c r="E221" s="152" t="e">
        <f>VLOOKUP("alemania",#REF!,6,FALSE)</f>
        <v>#REF!</v>
      </c>
      <c r="F221" s="151" t="e">
        <f>VLOOKUP("alemania",#REF!,5,FALSE)/VLOOKUP("alemania",#REF!,5,FALSE)-1</f>
        <v>#REF!</v>
      </c>
      <c r="G221" s="152" t="e">
        <f>VLOOKUP("alemania",#REF!,5,FALSE)</f>
        <v>#REF!</v>
      </c>
      <c r="H221" s="151" t="e">
        <f>VLOOKUP("alemania",#REF!,4,FALSE)/VLOOKUP("alemania",#REF!,4,FALSE)-1</f>
        <v>#REF!</v>
      </c>
      <c r="I221" s="152" t="e">
        <f>VLOOKUP("alemania",#REF!,4,FALSE)</f>
        <v>#REF!</v>
      </c>
      <c r="J221" s="151" t="e">
        <f>VLOOKUP("alemania",#REF!,3,FALSE)/VLOOKUP("alemania",#REF!,3,FALSE)-1</f>
        <v>#REF!</v>
      </c>
      <c r="K221" s="152" t="e">
        <f>VLOOKUP("alemania",#REF!,3,FALSE)</f>
        <v>#REF!</v>
      </c>
      <c r="L221" s="151" t="e">
        <f>VLOOKUP("alemania",#REF!,2,FALSE)/VLOOKUP("alemania",#REF!,2,FALSE)-1</f>
        <v>#REF!</v>
      </c>
      <c r="M221" s="152" t="e">
        <f>VLOOKUP("alemania",#REF!,2,FALSE)</f>
        <v>#REF!</v>
      </c>
      <c r="N221" s="151" t="e">
        <f>VLOOKUP("alemania",#REF!,7,FALSE)/VLOOKUP("alemania",#REF!,7,FALSE)-1</f>
        <v>#REF!</v>
      </c>
      <c r="O221" s="152" t="e">
        <f>VLOOKUP("alemania",#REF!,7,FALSE)</f>
        <v>#REF!</v>
      </c>
      <c r="P221" s="151" t="e">
        <f>VLOOKUP("alemania",#REF!,8,FALSE)/VLOOKUP("alemania",#REF!,8,FALSE)-1</f>
        <v>#REF!</v>
      </c>
      <c r="Q221" s="152" t="e">
        <f>VLOOKUP("alemania",#REF!,8,FALSE)</f>
        <v>#REF!</v>
      </c>
    </row>
    <row r="222" spans="3:18" ht="24" hidden="1" customHeight="1" x14ac:dyDescent="0.2">
      <c r="C222" s="150" t="s">
        <v>45</v>
      </c>
      <c r="D222" s="151" t="e">
        <f>VLOOKUP("francia",#REF!,6,FALSE)/VLOOKUP("francia",#REF!,6,FALSE)-1</f>
        <v>#REF!</v>
      </c>
      <c r="E222" s="152" t="e">
        <f>VLOOKUP("francia",#REF!,6,FALSE)</f>
        <v>#REF!</v>
      </c>
      <c r="F222" s="151" t="e">
        <f>VLOOKUP("francia",#REF!,5,FALSE)/VLOOKUP("francia",#REF!,5,FALSE)-1</f>
        <v>#REF!</v>
      </c>
      <c r="G222" s="152" t="e">
        <f>VLOOKUP("francia",#REF!,5,FALSE)</f>
        <v>#REF!</v>
      </c>
      <c r="H222" s="151" t="e">
        <f>VLOOKUP("francia",#REF!,4,FALSE)/VLOOKUP("francia",#REF!,4,FALSE)-1</f>
        <v>#REF!</v>
      </c>
      <c r="I222" s="152" t="e">
        <f>VLOOKUP("francia",#REF!,4,FALSE)</f>
        <v>#REF!</v>
      </c>
      <c r="J222" s="151" t="e">
        <f>VLOOKUP("francia",#REF!,3,FALSE)/VLOOKUP("francia",#REF!,3,FALSE)-1</f>
        <v>#REF!</v>
      </c>
      <c r="K222" s="152" t="e">
        <f>VLOOKUP("francia",#REF!,3,FALSE)</f>
        <v>#REF!</v>
      </c>
      <c r="L222" s="151" t="e">
        <f>VLOOKUP("francia",#REF!,2,FALSE)/VLOOKUP("francia",#REF!,2,FALSE)-1</f>
        <v>#REF!</v>
      </c>
      <c r="M222" s="152" t="e">
        <f>VLOOKUP("francia",#REF!,2,FALSE)</f>
        <v>#REF!</v>
      </c>
      <c r="N222" s="151" t="e">
        <f>VLOOKUP("francia",#REF!,7,FALSE)/VLOOKUP("francia",#REF!,7,FALSE)-1</f>
        <v>#REF!</v>
      </c>
      <c r="O222" s="152" t="e">
        <f>VLOOKUP("francia",#REF!,7,FALSE)</f>
        <v>#REF!</v>
      </c>
      <c r="P222" s="151" t="e">
        <f>VLOOKUP("francia",#REF!,8,FALSE)/VLOOKUP("francia",#REF!,8,FALSE)-1</f>
        <v>#REF!</v>
      </c>
      <c r="Q222" s="152" t="e">
        <f>VLOOKUP("francia",#REF!,8,FALSE)</f>
        <v>#REF!</v>
      </c>
    </row>
    <row r="223" spans="3:18" ht="24" hidden="1" customHeight="1" x14ac:dyDescent="0.2">
      <c r="C223" s="150" t="s">
        <v>46</v>
      </c>
      <c r="D223" s="151" t="e">
        <f>VLOOKUP("reino unido",#REF!,6,FALSE)/VLOOKUP("reino unido",#REF!,6,FALSE)-1</f>
        <v>#REF!</v>
      </c>
      <c r="E223" s="152" t="e">
        <f>VLOOKUP("reino unido",#REF!,6,FALSE)</f>
        <v>#REF!</v>
      </c>
      <c r="F223" s="151" t="e">
        <f>VLOOKUP("reino unido",#REF!,5,FALSE)/VLOOKUP("reino unido",#REF!,5,FALSE)-1</f>
        <v>#REF!</v>
      </c>
      <c r="G223" s="152" t="e">
        <f>VLOOKUP("reino unido",#REF!,5,FALSE)</f>
        <v>#REF!</v>
      </c>
      <c r="H223" s="151" t="e">
        <f>VLOOKUP("reino unido",#REF!,4,FALSE)/VLOOKUP("reino unido",#REF!,4,FALSE)-1</f>
        <v>#REF!</v>
      </c>
      <c r="I223" s="152" t="e">
        <f>VLOOKUP("reino unido",#REF!,4,FALSE)</f>
        <v>#REF!</v>
      </c>
      <c r="J223" s="151" t="e">
        <f>VLOOKUP("reino unido",#REF!,3,FALSE)/VLOOKUP("reino unido",#REF!,3,FALSE)-1</f>
        <v>#REF!</v>
      </c>
      <c r="K223" s="152" t="e">
        <f>VLOOKUP("reino unido",#REF!,3,FALSE)</f>
        <v>#REF!</v>
      </c>
      <c r="L223" s="151" t="e">
        <f>VLOOKUP("reino unido",#REF!,2,FALSE)/VLOOKUP("reino unido",#REF!,2,FALSE)-1</f>
        <v>#REF!</v>
      </c>
      <c r="M223" s="152" t="e">
        <f>VLOOKUP("reino unido",#REF!,2,FALSE)</f>
        <v>#REF!</v>
      </c>
      <c r="N223" s="151" t="e">
        <f>VLOOKUP("reino unido",#REF!,7,FALSE)/VLOOKUP("reino unido",#REF!,7,FALSE)-1</f>
        <v>#REF!</v>
      </c>
      <c r="O223" s="152" t="e">
        <f>VLOOKUP("reino unido",#REF!,7,FALSE)</f>
        <v>#REF!</v>
      </c>
      <c r="P223" s="151" t="e">
        <f>VLOOKUP("reino unido",#REF!,8,FALSE)/VLOOKUP("reino unido",#REF!,8,FALSE)-1</f>
        <v>#REF!</v>
      </c>
      <c r="Q223" s="152" t="e">
        <f>VLOOKUP("reino unido",#REF!,8,FALSE)</f>
        <v>#REF!</v>
      </c>
    </row>
    <row r="224" spans="3:18" ht="24" hidden="1" customHeight="1" x14ac:dyDescent="0.2">
      <c r="C224" s="150" t="s">
        <v>47</v>
      </c>
      <c r="D224" s="151" t="e">
        <f>VLOOKUP("irlanda",#REF!,6,FALSE)/VLOOKUP("irlanda",#REF!,6,FALSE)-1</f>
        <v>#REF!</v>
      </c>
      <c r="E224" s="152" t="e">
        <f>VLOOKUP("irlanda",#REF!,6,FALSE)</f>
        <v>#REF!</v>
      </c>
      <c r="F224" s="151" t="e">
        <f>VLOOKUP("irlanda",#REF!,5,FALSE)/VLOOKUP("irlanda",#REF!,5,FALSE)-1</f>
        <v>#REF!</v>
      </c>
      <c r="G224" s="152" t="e">
        <f>VLOOKUP("irlanda",#REF!,5,FALSE)</f>
        <v>#REF!</v>
      </c>
      <c r="H224" s="151" t="e">
        <f>VLOOKUP("irlanda",#REF!,4,FALSE)/VLOOKUP("irlanda",#REF!,4,FALSE)-1</f>
        <v>#REF!</v>
      </c>
      <c r="I224" s="152" t="e">
        <f>VLOOKUP("irlanda",#REF!,4,FALSE)</f>
        <v>#REF!</v>
      </c>
      <c r="J224" s="151" t="e">
        <f>VLOOKUP("irlanda",#REF!,3,FALSE)/VLOOKUP("irlanda",#REF!,3,FALSE)-1</f>
        <v>#REF!</v>
      </c>
      <c r="K224" s="152" t="e">
        <f>VLOOKUP("irlanda",#REF!,3,FALSE)</f>
        <v>#REF!</v>
      </c>
      <c r="L224" s="151" t="e">
        <f>VLOOKUP("irlanda",#REF!,2,FALSE)/VLOOKUP("irlanda",#REF!,2,FALSE)-1</f>
        <v>#REF!</v>
      </c>
      <c r="M224" s="152" t="e">
        <f>VLOOKUP("irlanda",#REF!,2,FALSE)</f>
        <v>#REF!</v>
      </c>
      <c r="N224" s="151" t="e">
        <f>VLOOKUP("irlanda",#REF!,7,FALSE)/VLOOKUP("irlanda",#REF!,7,FALSE)-1</f>
        <v>#REF!</v>
      </c>
      <c r="O224" s="152" t="e">
        <f>VLOOKUP("irlanda",#REF!,7,FALSE)</f>
        <v>#REF!</v>
      </c>
      <c r="P224" s="151" t="e">
        <f>VLOOKUP("irlanda",#REF!,8,FALSE)/VLOOKUP("irlanda",#REF!,8,FALSE)-1</f>
        <v>#REF!</v>
      </c>
      <c r="Q224" s="152" t="e">
        <f>VLOOKUP("irlanda",#REF!,8,FALSE)</f>
        <v>#REF!</v>
      </c>
    </row>
    <row r="225" spans="3:17" ht="24" hidden="1" customHeight="1" x14ac:dyDescent="0.2">
      <c r="C225" s="150" t="s">
        <v>48</v>
      </c>
      <c r="D225" s="151" t="e">
        <f>VLOOKUP("italia",#REF!,6,FALSE)/VLOOKUP("italia",#REF!,6,FALSE)-1</f>
        <v>#REF!</v>
      </c>
      <c r="E225" s="152" t="e">
        <f>VLOOKUP("italia",#REF!,6,FALSE)</f>
        <v>#REF!</v>
      </c>
      <c r="F225" s="151" t="e">
        <f>VLOOKUP("italia",#REF!,5,FALSE)/VLOOKUP("italia",#REF!,5,FALSE)-1</f>
        <v>#REF!</v>
      </c>
      <c r="G225" s="152" t="e">
        <f>VLOOKUP("italia",#REF!,5,FALSE)</f>
        <v>#REF!</v>
      </c>
      <c r="H225" s="151" t="e">
        <f>VLOOKUP("italia",#REF!,4,FALSE)/VLOOKUP("italia",#REF!,4,FALSE)-1</f>
        <v>#REF!</v>
      </c>
      <c r="I225" s="152" t="e">
        <f>VLOOKUP("italia",#REF!,4,FALSE)</f>
        <v>#REF!</v>
      </c>
      <c r="J225" s="151" t="e">
        <f>VLOOKUP("italia",#REF!,3,FALSE)/VLOOKUP("italia",#REF!,3,FALSE)-1</f>
        <v>#REF!</v>
      </c>
      <c r="K225" s="152" t="e">
        <f>VLOOKUP("italia",#REF!,3,FALSE)</f>
        <v>#REF!</v>
      </c>
      <c r="L225" s="151" t="e">
        <f>VLOOKUP("italia",#REF!,2,FALSE)/VLOOKUP("italia",#REF!,2,FALSE)-1</f>
        <v>#REF!</v>
      </c>
      <c r="M225" s="152" t="e">
        <f>VLOOKUP("italia",#REF!,2,FALSE)</f>
        <v>#REF!</v>
      </c>
      <c r="N225" s="151" t="e">
        <f>VLOOKUP("italia",#REF!,7,FALSE)/VLOOKUP("italia",#REF!,7,FALSE)-1</f>
        <v>#REF!</v>
      </c>
      <c r="O225" s="152" t="e">
        <f>VLOOKUP("italia",#REF!,7,FALSE)</f>
        <v>#REF!</v>
      </c>
      <c r="P225" s="151" t="e">
        <f>VLOOKUP("italia",#REF!,8,FALSE)/VLOOKUP("italia",#REF!,8,FALSE)-1</f>
        <v>#REF!</v>
      </c>
      <c r="Q225" s="152" t="e">
        <f>VLOOKUP("italia",#REF!,8,FALSE)</f>
        <v>#REF!</v>
      </c>
    </row>
    <row r="226" spans="3:17" ht="24" hidden="1" customHeight="1" x14ac:dyDescent="0.2">
      <c r="C226" s="150" t="s">
        <v>49</v>
      </c>
      <c r="D226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152" t="e">
        <f>(VLOOKUP("suecia",#REF!,6,FALSE)+VLOOKUP("noruega",#REF!,6,FALSE)+VLOOKUP("dinamarca",#REF!,6,FALSE)+VLOOKUP("finlandia",#REF!,6,FALSE))</f>
        <v>#REF!</v>
      </c>
      <c r="F226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152" t="e">
        <f>(VLOOKUP("suecia",#REF!,5,FALSE)+VLOOKUP("noruega",#REF!,5,FALSE)+VLOOKUP("dinamarca",#REF!,5,FALSE)+VLOOKUP("finlandia",#REF!,5,FALSE))</f>
        <v>#REF!</v>
      </c>
      <c r="H226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152" t="e">
        <f>(VLOOKUP("suecia",#REF!,4,FALSE)+VLOOKUP("noruega",#REF!,4,FALSE)+VLOOKUP("dinamarca",#REF!,4,FALSE)+VLOOKUP("finlandia",#REF!,4,FALSE))</f>
        <v>#REF!</v>
      </c>
      <c r="J226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152" t="e">
        <f>(VLOOKUP("suecia",#REF!,3,FALSE)+VLOOKUP("noruega",#REF!,3,FALSE)+VLOOKUP("dinamarca",#REF!,3,FALSE)+VLOOKUP("finlandia",#REF!,3,FALSE))</f>
        <v>#REF!</v>
      </c>
      <c r="L226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152" t="e">
        <f>(VLOOKUP("suecia",#REF!,2,FALSE)+VLOOKUP("noruega",#REF!,2,FALSE)+VLOOKUP("dinamarca",#REF!,2,FALSE)+VLOOKUP("finlandia",#REF!,2,FALSE))</f>
        <v>#REF!</v>
      </c>
      <c r="N226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152" t="e">
        <f>(VLOOKUP("suecia",#REF!,7,FALSE)+VLOOKUP("noruega",#REF!,7,FALSE)+VLOOKUP("dinamarca",#REF!,7,FALSE)+VLOOKUP("finlandia",#REF!,7,FALSE))</f>
        <v>#REF!</v>
      </c>
      <c r="P226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152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153" t="s">
        <v>50</v>
      </c>
      <c r="D227" s="151" t="e">
        <f>VLOOKUP("suecia",#REF!,6,FALSE)/VLOOKUP("suecia",#REF!,6,FALSE)-1</f>
        <v>#REF!</v>
      </c>
      <c r="E227" s="152" t="e">
        <f>VLOOKUP("suecia",#REF!,6,FALSE)</f>
        <v>#REF!</v>
      </c>
      <c r="F227" s="151" t="e">
        <f>VLOOKUP("suecia",#REF!,5,FALSE)/VLOOKUP("suecia",#REF!,5,FALSE)-1</f>
        <v>#REF!</v>
      </c>
      <c r="G227" s="152" t="e">
        <f>VLOOKUP("suecia",#REF!,5,FALSE)</f>
        <v>#REF!</v>
      </c>
      <c r="H227" s="151" t="e">
        <f>VLOOKUP("suecia",#REF!,4,FALSE)/VLOOKUP("suecia",#REF!,4,FALSE)-1</f>
        <v>#REF!</v>
      </c>
      <c r="I227" s="152" t="e">
        <f>VLOOKUP("suecia",#REF!,4,FALSE)</f>
        <v>#REF!</v>
      </c>
      <c r="J227" s="151" t="e">
        <f>VLOOKUP("suecia",#REF!,3,FALSE)/VLOOKUP("suecia",#REF!,3,FALSE)-1</f>
        <v>#REF!</v>
      </c>
      <c r="K227" s="152" t="e">
        <f>VLOOKUP("suecia",#REF!,3,FALSE)</f>
        <v>#REF!</v>
      </c>
      <c r="L227" s="151" t="e">
        <f>VLOOKUP("suecia",#REF!,2,FALSE)/VLOOKUP("suecia",#REF!,2,FALSE)-1</f>
        <v>#REF!</v>
      </c>
      <c r="M227" s="152" t="e">
        <f>VLOOKUP("suecia",#REF!,2,FALSE)</f>
        <v>#REF!</v>
      </c>
      <c r="N227" s="151" t="e">
        <f>VLOOKUP("suecia",#REF!,7,FALSE)/VLOOKUP("suecia",#REF!,7,FALSE)-1</f>
        <v>#REF!</v>
      </c>
      <c r="O227" s="152" t="e">
        <f>VLOOKUP("suecia",#REF!,7,FALSE)</f>
        <v>#REF!</v>
      </c>
      <c r="P227" s="151" t="e">
        <f>VLOOKUP("suecia",#REF!,8,FALSE)/VLOOKUP("suecia",#REF!,8,FALSE)-1</f>
        <v>#REF!</v>
      </c>
      <c r="Q227" s="152" t="e">
        <f>VLOOKUP("suecia",#REF!,8,FALSE)</f>
        <v>#REF!</v>
      </c>
    </row>
    <row r="228" spans="3:17" ht="24" hidden="1" customHeight="1" x14ac:dyDescent="0.2">
      <c r="C228" s="153" t="s">
        <v>51</v>
      </c>
      <c r="D228" s="151" t="e">
        <f>VLOOKUP("noruega",#REF!,6,FALSE)/VLOOKUP("noruega",#REF!,6,FALSE)-1</f>
        <v>#REF!</v>
      </c>
      <c r="E228" s="152" t="e">
        <f>VLOOKUP("noruega",#REF!,6,FALSE)</f>
        <v>#REF!</v>
      </c>
      <c r="F228" s="151" t="e">
        <f>VLOOKUP("noruega",#REF!,5,FALSE)/VLOOKUP("noruega",#REF!,5,FALSE)-1</f>
        <v>#REF!</v>
      </c>
      <c r="G228" s="152" t="e">
        <f>VLOOKUP("noruega",#REF!,5,FALSE)</f>
        <v>#REF!</v>
      </c>
      <c r="H228" s="151" t="e">
        <f>VLOOKUP("noruega",#REF!,4,FALSE)/VLOOKUP("noruega",#REF!,4,FALSE)-1</f>
        <v>#REF!</v>
      </c>
      <c r="I228" s="152" t="e">
        <f>VLOOKUP("noruega",#REF!,4,FALSE)</f>
        <v>#REF!</v>
      </c>
      <c r="J228" s="151" t="e">
        <f>VLOOKUP("noruega",#REF!,3,FALSE)/VLOOKUP("noruega",#REF!,3,FALSE)-1</f>
        <v>#REF!</v>
      </c>
      <c r="K228" s="152" t="e">
        <f>VLOOKUP("noruega",#REF!,3,FALSE)</f>
        <v>#REF!</v>
      </c>
      <c r="L228" s="151" t="e">
        <f>VLOOKUP("noruega",#REF!,2,FALSE)/VLOOKUP("noruega",#REF!,2,FALSE)-1</f>
        <v>#REF!</v>
      </c>
      <c r="M228" s="152" t="e">
        <f>VLOOKUP("noruega",#REF!,2,FALSE)</f>
        <v>#REF!</v>
      </c>
      <c r="N228" s="151" t="e">
        <f>VLOOKUP("noruega",#REF!,7,FALSE)/VLOOKUP("noruega",#REF!,7,FALSE)-1</f>
        <v>#REF!</v>
      </c>
      <c r="O228" s="152" t="e">
        <f>VLOOKUP("noruega",#REF!,7,FALSE)</f>
        <v>#REF!</v>
      </c>
      <c r="P228" s="151" t="e">
        <f>VLOOKUP("noruega",#REF!,8,FALSE)/VLOOKUP("noruega",#REF!,8,FALSE)-1</f>
        <v>#REF!</v>
      </c>
      <c r="Q228" s="152" t="e">
        <f>VLOOKUP("noruega",#REF!,8,FALSE)</f>
        <v>#REF!</v>
      </c>
    </row>
    <row r="229" spans="3:17" ht="24" hidden="1" customHeight="1" x14ac:dyDescent="0.2">
      <c r="C229" s="153" t="s">
        <v>52</v>
      </c>
      <c r="D229" s="151" t="e">
        <f>VLOOKUP("dinamarca",#REF!,6,FALSE)/VLOOKUP("dinamarca",#REF!,6,FALSE)-1</f>
        <v>#REF!</v>
      </c>
      <c r="E229" s="152" t="e">
        <f>VLOOKUP("dinamarca",#REF!,6,FALSE)</f>
        <v>#REF!</v>
      </c>
      <c r="F229" s="151" t="e">
        <f>VLOOKUP("dinamarca",#REF!,5,FALSE)/VLOOKUP("dinamarca",#REF!,5,FALSE)-1</f>
        <v>#REF!</v>
      </c>
      <c r="G229" s="152" t="e">
        <f>VLOOKUP("dinamarca",#REF!,5,FALSE)</f>
        <v>#REF!</v>
      </c>
      <c r="H229" s="151" t="e">
        <f>VLOOKUP("dinamarca",#REF!,4,FALSE)/VLOOKUP("dinamarca",#REF!,4,FALSE)-1</f>
        <v>#REF!</v>
      </c>
      <c r="I229" s="152" t="e">
        <f>VLOOKUP("dinamarca",#REF!,4,FALSE)</f>
        <v>#REF!</v>
      </c>
      <c r="J229" s="151" t="e">
        <f>VLOOKUP("dinamarca",#REF!,3,FALSE)/VLOOKUP("dinamarca",#REF!,3,FALSE)-1</f>
        <v>#REF!</v>
      </c>
      <c r="K229" s="152" t="e">
        <f>VLOOKUP("dinamarca",#REF!,3,FALSE)</f>
        <v>#REF!</v>
      </c>
      <c r="L229" s="151" t="e">
        <f>VLOOKUP("dinamarca",#REF!,2,FALSE)/VLOOKUP("dinamarca",#REF!,2,FALSE)-1</f>
        <v>#REF!</v>
      </c>
      <c r="M229" s="152" t="e">
        <f>VLOOKUP("dinamarca",#REF!,2,FALSE)</f>
        <v>#REF!</v>
      </c>
      <c r="N229" s="151" t="e">
        <f>VLOOKUP("dinamarca",#REF!,7,FALSE)/VLOOKUP("dinamarca",#REF!,7,FALSE)-1</f>
        <v>#REF!</v>
      </c>
      <c r="O229" s="152" t="e">
        <f>VLOOKUP("dinamarca",#REF!,7,FALSE)</f>
        <v>#REF!</v>
      </c>
      <c r="P229" s="151" t="e">
        <f>VLOOKUP("dinamarca",#REF!,8,FALSE)/VLOOKUP("dinamarca",#REF!,8,FALSE)-1</f>
        <v>#REF!</v>
      </c>
      <c r="Q229" s="152" t="e">
        <f>VLOOKUP("dinamarca",#REF!,8,FALSE)</f>
        <v>#REF!</v>
      </c>
    </row>
    <row r="230" spans="3:17" ht="24" hidden="1" customHeight="1" x14ac:dyDescent="0.2">
      <c r="C230" s="153" t="s">
        <v>53</v>
      </c>
      <c r="D230" s="151" t="s">
        <v>39</v>
      </c>
      <c r="E230" s="152" t="e">
        <f>VLOOKUP("finlandia",#REF!,6,FALSE)</f>
        <v>#REF!</v>
      </c>
      <c r="F230" s="151" t="e">
        <f>VLOOKUP("finlandia",#REF!,5,FALSE)/VLOOKUP("finlandia",#REF!,5,FALSE)-1</f>
        <v>#REF!</v>
      </c>
      <c r="G230" s="152" t="e">
        <f>VLOOKUP("finlandia",#REF!,5,FALSE)</f>
        <v>#REF!</v>
      </c>
      <c r="H230" s="151" t="e">
        <f>VLOOKUP("finlandia",#REF!,4,FALSE)/VLOOKUP("finlandia",#REF!,4,FALSE)-1</f>
        <v>#REF!</v>
      </c>
      <c r="I230" s="152" t="e">
        <f>VLOOKUP("finlandia",#REF!,4,FALSE)</f>
        <v>#REF!</v>
      </c>
      <c r="J230" s="151" t="e">
        <f>VLOOKUP("finlandia",#REF!,3,FALSE)/VLOOKUP("finlandia",#REF!,3,FALSE)-1</f>
        <v>#REF!</v>
      </c>
      <c r="K230" s="152" t="e">
        <f>VLOOKUP("finlandia",#REF!,3,FALSE)</f>
        <v>#REF!</v>
      </c>
      <c r="L230" s="151" t="s">
        <v>39</v>
      </c>
      <c r="M230" s="152" t="e">
        <f>VLOOKUP("finlandia",#REF!,2,FALSE)</f>
        <v>#REF!</v>
      </c>
      <c r="N230" s="151" t="e">
        <f>VLOOKUP("finlandia",#REF!,7,FALSE)/VLOOKUP("finlandia",#REF!,7,FALSE)-1</f>
        <v>#REF!</v>
      </c>
      <c r="O230" s="152" t="e">
        <f>VLOOKUP("finlandia",#REF!,7,FALSE)</f>
        <v>#REF!</v>
      </c>
      <c r="P230" s="151" t="e">
        <f>VLOOKUP("finlandia",#REF!,8,FALSE)/VLOOKUP("finlandia",#REF!,8,FALSE)-1</f>
        <v>#REF!</v>
      </c>
      <c r="Q230" s="152" t="e">
        <f>VLOOKUP("finlandia",#REF!,8,FALSE)</f>
        <v>#REF!</v>
      </c>
    </row>
    <row r="231" spans="3:17" ht="24" hidden="1" customHeight="1" x14ac:dyDescent="0.2">
      <c r="C231" s="150" t="s">
        <v>54</v>
      </c>
      <c r="D231" s="151" t="e">
        <f>VLOOKUP("suiza",#REF!,6,FALSE)/VLOOKUP("suiza",#REF!,6,FALSE)-1</f>
        <v>#REF!</v>
      </c>
      <c r="E231" s="152" t="e">
        <f>VLOOKUP("suiza",#REF!,6,FALSE)</f>
        <v>#REF!</v>
      </c>
      <c r="F231" s="151" t="e">
        <f>VLOOKUP("suiza",#REF!,5,FALSE)/VLOOKUP("suiza",#REF!,5,FALSE)-1</f>
        <v>#REF!</v>
      </c>
      <c r="G231" s="152" t="e">
        <f>VLOOKUP("suiza",#REF!,5,FALSE)</f>
        <v>#REF!</v>
      </c>
      <c r="H231" s="151" t="e">
        <f>VLOOKUP("suiza",#REF!,4,FALSE)/VLOOKUP("suiza",#REF!,4,FALSE)-1</f>
        <v>#REF!</v>
      </c>
      <c r="I231" s="152" t="e">
        <f>VLOOKUP("suiza",#REF!,4,FALSE)</f>
        <v>#REF!</v>
      </c>
      <c r="J231" s="151" t="e">
        <f>VLOOKUP("suiza",#REF!,3,FALSE)/VLOOKUP("suiza",#REF!,3,FALSE)-1</f>
        <v>#REF!</v>
      </c>
      <c r="K231" s="152" t="e">
        <f>VLOOKUP("suiza",#REF!,3,FALSE)</f>
        <v>#REF!</v>
      </c>
      <c r="L231" s="151" t="e">
        <f>VLOOKUP("suiza",#REF!,2,FALSE)/VLOOKUP("suiza",#REF!,2,FALSE)-1</f>
        <v>#REF!</v>
      </c>
      <c r="M231" s="152" t="e">
        <f>VLOOKUP("suiza",#REF!,2,FALSE)</f>
        <v>#REF!</v>
      </c>
      <c r="N231" s="151" t="e">
        <f>VLOOKUP("suiza",#REF!,7,FALSE)/VLOOKUP("suiza",#REF!,7,FALSE)-1</f>
        <v>#REF!</v>
      </c>
      <c r="O231" s="152" t="e">
        <f>VLOOKUP("suiza",#REF!,7,FALSE)</f>
        <v>#REF!</v>
      </c>
      <c r="P231" s="151" t="e">
        <f>VLOOKUP("suiza",#REF!,8,FALSE)/VLOOKUP("suiza",#REF!,8,FALSE)-1</f>
        <v>#REF!</v>
      </c>
      <c r="Q231" s="152" t="e">
        <f>VLOOKUP("suiza",#REF!,8,FALSE)</f>
        <v>#REF!</v>
      </c>
    </row>
    <row r="232" spans="3:17" ht="24" hidden="1" customHeight="1" x14ac:dyDescent="0.2">
      <c r="C232" s="150" t="s">
        <v>55</v>
      </c>
      <c r="D232" s="151" t="e">
        <f>VLOOKUP("austria",#REF!,6,FALSE)/VLOOKUP("austria",#REF!,6,FALSE)-1</f>
        <v>#REF!</v>
      </c>
      <c r="E232" s="152" t="e">
        <f>VLOOKUP("austria",#REF!,6,FALSE)</f>
        <v>#REF!</v>
      </c>
      <c r="F232" s="151" t="e">
        <f>VLOOKUP("austria",#REF!,5,FALSE)/VLOOKUP("austria",#REF!,5,FALSE)-1</f>
        <v>#REF!</v>
      </c>
      <c r="G232" s="152" t="e">
        <f>VLOOKUP("austria",#REF!,5,FALSE)</f>
        <v>#REF!</v>
      </c>
      <c r="H232" s="151" t="e">
        <f>VLOOKUP("austria",#REF!,4,FALSE)/VLOOKUP("austria",#REF!,4,FALSE)-1</f>
        <v>#REF!</v>
      </c>
      <c r="I232" s="152" t="e">
        <f>VLOOKUP("austria",#REF!,4,FALSE)</f>
        <v>#REF!</v>
      </c>
      <c r="J232" s="151" t="e">
        <f>VLOOKUP("austria",#REF!,3,FALSE)/VLOOKUP("austria",#REF!,3,FALSE)-1</f>
        <v>#REF!</v>
      </c>
      <c r="K232" s="152" t="e">
        <f>VLOOKUP("austria",#REF!,3,FALSE)</f>
        <v>#REF!</v>
      </c>
      <c r="L232" s="151" t="e">
        <f>VLOOKUP("austria",#REF!,2,FALSE)/VLOOKUP("austria",#REF!,2,FALSE)-1</f>
        <v>#REF!</v>
      </c>
      <c r="M232" s="152" t="e">
        <f>VLOOKUP("austria",#REF!,2,FALSE)</f>
        <v>#REF!</v>
      </c>
      <c r="N232" s="151" t="e">
        <f>VLOOKUP("austria",#REF!,7,FALSE)/VLOOKUP("austria",#REF!,7,FALSE)-1</f>
        <v>#REF!</v>
      </c>
      <c r="O232" s="152" t="e">
        <f>VLOOKUP("austria",#REF!,7,FALSE)</f>
        <v>#REF!</v>
      </c>
      <c r="P232" s="151" t="e">
        <f>VLOOKUP("austria",#REF!,8,FALSE)/VLOOKUP("austria",#REF!,8,FALSE)-1</f>
        <v>#REF!</v>
      </c>
      <c r="Q232" s="152" t="e">
        <f>VLOOKUP("austria",#REF!,8,FALSE)</f>
        <v>#REF!</v>
      </c>
    </row>
    <row r="233" spans="3:17" ht="24" hidden="1" customHeight="1" x14ac:dyDescent="0.2">
      <c r="C233" s="150" t="s">
        <v>56</v>
      </c>
      <c r="D233" s="151" t="e">
        <f>VLOOKUP("rusia",#REF!,6,FALSE)/VLOOKUP("rusia",#REF!,6,FALSE)-1</f>
        <v>#REF!</v>
      </c>
      <c r="E233" s="152" t="e">
        <f>VLOOKUP("rusia",#REF!,6,FALSE)</f>
        <v>#REF!</v>
      </c>
      <c r="F233" s="151" t="e">
        <f>VLOOKUP("rusia",#REF!,5,FALSE)/VLOOKUP("rusia",#REF!,5,FALSE)-1</f>
        <v>#REF!</v>
      </c>
      <c r="G233" s="152" t="e">
        <f>VLOOKUP("rusia",#REF!,5,FALSE)</f>
        <v>#REF!</v>
      </c>
      <c r="H233" s="151" t="e">
        <f>VLOOKUP("rusia",#REF!,4,FALSE)/VLOOKUP("rusia",#REF!,4,FALSE)-1</f>
        <v>#REF!</v>
      </c>
      <c r="I233" s="152" t="e">
        <f>VLOOKUP("rusia",#REF!,4,FALSE)</f>
        <v>#REF!</v>
      </c>
      <c r="J233" s="151" t="e">
        <f>VLOOKUP("rusia",#REF!,3,FALSE)/VLOOKUP("rusia",#REF!,3,FALSE)-1</f>
        <v>#REF!</v>
      </c>
      <c r="K233" s="152" t="e">
        <f>VLOOKUP("rusia",#REF!,3,FALSE)</f>
        <v>#REF!</v>
      </c>
      <c r="L233" s="151" t="e">
        <f>VLOOKUP("rusia",#REF!,2,FALSE)/VLOOKUP("rusia",#REF!,2,FALSE)-1</f>
        <v>#REF!</v>
      </c>
      <c r="M233" s="152" t="e">
        <f>VLOOKUP("rusia",#REF!,2,FALSE)</f>
        <v>#REF!</v>
      </c>
      <c r="N233" s="151" t="e">
        <f>VLOOKUP("rusia",#REF!,7,FALSE)/VLOOKUP("rusia",#REF!,7,FALSE)-1</f>
        <v>#REF!</v>
      </c>
      <c r="O233" s="152" t="e">
        <f>VLOOKUP("rusia",#REF!,7,FALSE)</f>
        <v>#REF!</v>
      </c>
      <c r="P233" s="151" t="e">
        <f>VLOOKUP("rusia",#REF!,8,FALSE)/VLOOKUP("rusia",#REF!,8,FALSE)-1</f>
        <v>#REF!</v>
      </c>
      <c r="Q233" s="152" t="e">
        <f>VLOOKUP("rusia",#REF!,8,FALSE)</f>
        <v>#REF!</v>
      </c>
    </row>
    <row r="234" spans="3:17" ht="24" hidden="1" customHeight="1" x14ac:dyDescent="0.2">
      <c r="C234" s="150" t="s">
        <v>57</v>
      </c>
      <c r="D234" s="151" t="e">
        <f>VLOOKUP("paises del este",#REF!,6,FALSE)/VLOOKUP("paises del este",#REF!,6,FALSE)-1</f>
        <v>#REF!</v>
      </c>
      <c r="E234" s="152" t="e">
        <f>VLOOKUP("paises del este",#REF!,6,FALSE)</f>
        <v>#REF!</v>
      </c>
      <c r="F234" s="151" t="e">
        <f>VLOOKUP("paises del este",#REF!,5,FALSE)/VLOOKUP("paises del este",#REF!,5,FALSE)-1</f>
        <v>#REF!</v>
      </c>
      <c r="G234" s="152" t="e">
        <f>VLOOKUP("paises del este",#REF!,5,FALSE)</f>
        <v>#REF!</v>
      </c>
      <c r="H234" s="151" t="e">
        <f>VLOOKUP("paises del este",#REF!,4,FALSE)/VLOOKUP("paises del este",#REF!,4,FALSE)-1</f>
        <v>#REF!</v>
      </c>
      <c r="I234" s="152" t="e">
        <f>VLOOKUP("paises del este",#REF!,4,FALSE)</f>
        <v>#REF!</v>
      </c>
      <c r="J234" s="151" t="e">
        <f>VLOOKUP("paises del este",#REF!,3,FALSE)/VLOOKUP("paises del este",#REF!,3,FALSE)-1</f>
        <v>#REF!</v>
      </c>
      <c r="K234" s="152" t="e">
        <f>VLOOKUP("paises del este",#REF!,3,FALSE)</f>
        <v>#REF!</v>
      </c>
      <c r="L234" s="151" t="e">
        <f>VLOOKUP("paises del este",#REF!,2,FALSE)/VLOOKUP("paises del este",#REF!,2,FALSE)-1</f>
        <v>#REF!</v>
      </c>
      <c r="M234" s="152" t="e">
        <f>VLOOKUP("paises del este",#REF!,2,FALSE)</f>
        <v>#REF!</v>
      </c>
      <c r="N234" s="151" t="e">
        <f>VLOOKUP("paises del este",#REF!,7,FALSE)/VLOOKUP("paises del este",#REF!,7,FALSE)-1</f>
        <v>#REF!</v>
      </c>
      <c r="O234" s="152" t="e">
        <f>VLOOKUP("paises del este",#REF!,7,FALSE)</f>
        <v>#REF!</v>
      </c>
      <c r="P234" s="151" t="e">
        <f>VLOOKUP("paises del este",#REF!,8,FALSE)/VLOOKUP("paises del este",#REF!,8,FALSE)-1</f>
        <v>#REF!</v>
      </c>
      <c r="Q234" s="152" t="e">
        <f>VLOOKUP("paises del este",#REF!,8,FALSE)</f>
        <v>#REF!</v>
      </c>
    </row>
    <row r="235" spans="3:17" ht="24" hidden="1" customHeight="1" x14ac:dyDescent="0.2">
      <c r="C235" s="150" t="s">
        <v>58</v>
      </c>
      <c r="D235" s="151" t="e">
        <f>VLOOKUP("resto de europa",#REF!,6,FALSE)/VLOOKUP("resto de europa",#REF!,6,FALSE)-1</f>
        <v>#REF!</v>
      </c>
      <c r="E235" s="152" t="e">
        <f>VLOOKUP("resto de europa",#REF!,6,FALSE)</f>
        <v>#REF!</v>
      </c>
      <c r="F235" s="151" t="e">
        <f>VLOOKUP("resto de europa",#REF!,5,FALSE)/VLOOKUP("resto de europa",#REF!,5,FALSE)-1</f>
        <v>#REF!</v>
      </c>
      <c r="G235" s="152" t="e">
        <f>VLOOKUP("resto de europa",#REF!,5,FALSE)</f>
        <v>#REF!</v>
      </c>
      <c r="H235" s="151" t="e">
        <f>VLOOKUP("resto de europa",#REF!,4,FALSE)/VLOOKUP("resto de europa",#REF!,4,FALSE)-1</f>
        <v>#REF!</v>
      </c>
      <c r="I235" s="152" t="e">
        <f>VLOOKUP("resto de europa",#REF!,4,FALSE)</f>
        <v>#REF!</v>
      </c>
      <c r="J235" s="151" t="e">
        <f>VLOOKUP("resto de europa",#REF!,3,FALSE)/VLOOKUP("resto de europa",#REF!,3,FALSE)-1</f>
        <v>#REF!</v>
      </c>
      <c r="K235" s="152" t="e">
        <f>VLOOKUP("resto de europa",#REF!,3,FALSE)</f>
        <v>#REF!</v>
      </c>
      <c r="L235" s="151" t="e">
        <f>VLOOKUP("resto de europa",#REF!,2,FALSE)/VLOOKUP("resto de europa",#REF!,2,FALSE)-1</f>
        <v>#REF!</v>
      </c>
      <c r="M235" s="152" t="e">
        <f>VLOOKUP("resto de europa",#REF!,2,FALSE)</f>
        <v>#REF!</v>
      </c>
      <c r="N235" s="151" t="e">
        <f>VLOOKUP("resto de europa",#REF!,7,FALSE)/VLOOKUP("resto de europa",#REF!,7,FALSE)-1</f>
        <v>#REF!</v>
      </c>
      <c r="O235" s="152" t="e">
        <f>VLOOKUP("resto de europa",#REF!,7,FALSE)</f>
        <v>#REF!</v>
      </c>
      <c r="P235" s="151" t="e">
        <f>VLOOKUP("resto de europa",#REF!,8,FALSE)/VLOOKUP("resto de europa",#REF!,8,FALSE)-1</f>
        <v>#REF!</v>
      </c>
      <c r="Q235" s="152" t="e">
        <f>VLOOKUP("resto de europa",#REF!,8,FALSE)</f>
        <v>#REF!</v>
      </c>
    </row>
    <row r="236" spans="3:17" ht="24" hidden="1" customHeight="1" x14ac:dyDescent="0.2">
      <c r="C236" s="150" t="s">
        <v>59</v>
      </c>
      <c r="D236" s="151" t="e">
        <f>VLOOKUP("usa",#REF!,6,FALSE)/VLOOKUP("usa",#REF!,6,FALSE)-1</f>
        <v>#REF!</v>
      </c>
      <c r="E236" s="152" t="e">
        <f>VLOOKUP("usa",#REF!,6,FALSE)</f>
        <v>#REF!</v>
      </c>
      <c r="F236" s="151" t="e">
        <f>VLOOKUP("usa",#REF!,5,FALSE)/VLOOKUP("usa",#REF!,5,FALSE)-1</f>
        <v>#REF!</v>
      </c>
      <c r="G236" s="152" t="e">
        <f>VLOOKUP("usa",#REF!,5,FALSE)</f>
        <v>#REF!</v>
      </c>
      <c r="H236" s="151" t="e">
        <f>VLOOKUP("usa",#REF!,4,FALSE)/VLOOKUP("usa",#REF!,4,FALSE)-1</f>
        <v>#REF!</v>
      </c>
      <c r="I236" s="152" t="e">
        <f>VLOOKUP("usa",#REF!,4,FALSE)</f>
        <v>#REF!</v>
      </c>
      <c r="J236" s="151" t="e">
        <f>VLOOKUP("usa",#REF!,3,FALSE)/VLOOKUP("usa",#REF!,3,FALSE)-1</f>
        <v>#REF!</v>
      </c>
      <c r="K236" s="152" t="e">
        <f>VLOOKUP("usa",#REF!,3,FALSE)</f>
        <v>#REF!</v>
      </c>
      <c r="L236" s="151" t="e">
        <f>VLOOKUP("usa",#REF!,2,FALSE)/VLOOKUP("usa",#REF!,2,FALSE)-1</f>
        <v>#REF!</v>
      </c>
      <c r="M236" s="152" t="e">
        <f>VLOOKUP("usa",#REF!,2,FALSE)</f>
        <v>#REF!</v>
      </c>
      <c r="N236" s="151" t="e">
        <f>VLOOKUP("usa",#REF!,7,FALSE)/VLOOKUP("usa",#REF!,7,FALSE)-1</f>
        <v>#REF!</v>
      </c>
      <c r="O236" s="152" t="e">
        <f>VLOOKUP("usa",#REF!,7,FALSE)</f>
        <v>#REF!</v>
      </c>
      <c r="P236" s="151" t="e">
        <f>VLOOKUP("usa",#REF!,8,FALSE)/VLOOKUP("usa",#REF!,8,FALSE)-1</f>
        <v>#REF!</v>
      </c>
      <c r="Q236" s="152" t="e">
        <f>VLOOKUP("usa",#REF!,8,FALSE)</f>
        <v>#REF!</v>
      </c>
    </row>
    <row r="237" spans="3:17" ht="24" hidden="1" customHeight="1" x14ac:dyDescent="0.2">
      <c r="C237" s="150" t="s">
        <v>60</v>
      </c>
      <c r="D237" s="151" t="e">
        <f>VLOOKUP("resto de america",#REF!,6,FALSE)/VLOOKUP("resto de america",#REF!,6,FALSE)-1</f>
        <v>#REF!</v>
      </c>
      <c r="E237" s="152" t="e">
        <f>VLOOKUP("resto de america",#REF!,6,FALSE)</f>
        <v>#REF!</v>
      </c>
      <c r="F237" s="151" t="e">
        <f>VLOOKUP("resto de america",#REF!,5,FALSE)/VLOOKUP("resto de america",#REF!,5,FALSE)-1</f>
        <v>#REF!</v>
      </c>
      <c r="G237" s="152" t="e">
        <f>VLOOKUP("resto de america",#REF!,5,FALSE)</f>
        <v>#REF!</v>
      </c>
      <c r="H237" s="151" t="e">
        <f>VLOOKUP("resto de america",#REF!,4,FALSE)/VLOOKUP("resto de america",#REF!,4,FALSE)-1</f>
        <v>#REF!</v>
      </c>
      <c r="I237" s="152" t="e">
        <f>VLOOKUP("resto de america",#REF!,4,FALSE)</f>
        <v>#REF!</v>
      </c>
      <c r="J237" s="151" t="e">
        <f>VLOOKUP("resto de america",#REF!,3,FALSE)/VLOOKUP("resto de america",#REF!,3,FALSE)-1</f>
        <v>#REF!</v>
      </c>
      <c r="K237" s="152" t="e">
        <f>VLOOKUP("resto de america",#REF!,3,FALSE)</f>
        <v>#REF!</v>
      </c>
      <c r="L237" s="151" t="e">
        <f>VLOOKUP("resto de america",#REF!,2,FALSE)/VLOOKUP("resto de america",#REF!,2,FALSE)-1</f>
        <v>#REF!</v>
      </c>
      <c r="M237" s="152" t="e">
        <f>VLOOKUP("resto de america",#REF!,2,FALSE)</f>
        <v>#REF!</v>
      </c>
      <c r="N237" s="151" t="e">
        <f>VLOOKUP("resto de america",#REF!,7,FALSE)/VLOOKUP("resto de america",#REF!,7,FALSE)-1</f>
        <v>#REF!</v>
      </c>
      <c r="O237" s="152" t="e">
        <f>VLOOKUP("resto de america",#REF!,7,FALSE)</f>
        <v>#REF!</v>
      </c>
      <c r="P237" s="151" t="e">
        <f>VLOOKUP("resto de america",#REF!,8,FALSE)/VLOOKUP("resto de america",#REF!,8,FALSE)-1</f>
        <v>#REF!</v>
      </c>
      <c r="Q237" s="152" t="e">
        <f>VLOOKUP("resto de america",#REF!,8,FALSE)</f>
        <v>#REF!</v>
      </c>
    </row>
    <row r="238" spans="3:17" ht="24" hidden="1" customHeight="1" x14ac:dyDescent="0.2">
      <c r="C238" s="150" t="s">
        <v>61</v>
      </c>
      <c r="D238" s="151" t="e">
        <f>VLOOKUP("resto del mundo",#REF!,6,FALSE)/VLOOKUP("resto del mundo",#REF!,6,FALSE)-1</f>
        <v>#REF!</v>
      </c>
      <c r="E238" s="152" t="e">
        <f>VLOOKUP("resto del mundo",#REF!,6,FALSE)</f>
        <v>#REF!</v>
      </c>
      <c r="F238" s="151" t="e">
        <f>VLOOKUP("resto del mundo",#REF!,5,FALSE)/VLOOKUP("resto del mundo",#REF!,5,FALSE)-1</f>
        <v>#REF!</v>
      </c>
      <c r="G238" s="152" t="e">
        <f>VLOOKUP("resto del mundo",#REF!,5,FALSE)</f>
        <v>#REF!</v>
      </c>
      <c r="H238" s="151" t="e">
        <f>VLOOKUP("resto del mundo",#REF!,4,FALSE)/VLOOKUP("resto del mundo",#REF!,4,FALSE)-1</f>
        <v>#REF!</v>
      </c>
      <c r="I238" s="152" t="e">
        <f>VLOOKUP("resto del mundo",#REF!,4,FALSE)</f>
        <v>#REF!</v>
      </c>
      <c r="J238" s="151" t="e">
        <f>VLOOKUP("resto del mundo",#REF!,3,FALSE)/VLOOKUP("resto del mundo",#REF!,3,FALSE)-1</f>
        <v>#REF!</v>
      </c>
      <c r="K238" s="152" t="e">
        <f>VLOOKUP("resto del mundo",#REF!,3,FALSE)</f>
        <v>#REF!</v>
      </c>
      <c r="L238" s="151" t="e">
        <f>VLOOKUP("resto del mundo",#REF!,2,FALSE)/VLOOKUP("resto del mundo",#REF!,2,FALSE)-1</f>
        <v>#REF!</v>
      </c>
      <c r="M238" s="152" t="e">
        <f>VLOOKUP("resto del mundo",#REF!,2,FALSE)</f>
        <v>#REF!</v>
      </c>
      <c r="N238" s="151" t="e">
        <f>VLOOKUP("resto del mundo",#REF!,7,FALSE)/VLOOKUP("resto del mundo",#REF!,7,FALSE)-1</f>
        <v>#REF!</v>
      </c>
      <c r="O238" s="152" t="e">
        <f>VLOOKUP("resto del mundo",#REF!,7,FALSE)</f>
        <v>#REF!</v>
      </c>
      <c r="P238" s="151" t="e">
        <f>VLOOKUP("resto del mundo",#REF!,8,FALSE)/VLOOKUP("resto del mundo",#REF!,8,FALSE)-1</f>
        <v>#REF!</v>
      </c>
      <c r="Q238" s="152" t="e">
        <f>VLOOKUP("resto del mundo",#REF!,8,FALSE)</f>
        <v>#REF!</v>
      </c>
    </row>
    <row r="239" spans="3:17" ht="24" hidden="1" customHeight="1" x14ac:dyDescent="0.2">
      <c r="C239" s="150" t="s">
        <v>62</v>
      </c>
      <c r="D239" s="151" t="e">
        <f>(VLOOKUP("total",#REF!,6,FALSE)-VLOOKUP("españa",#REF!,6,FALSE))/(VLOOKUP("total",#REF!,6,FALSE)-VLOOKUP("españa",#REF!,6,FALSE))-1</f>
        <v>#REF!</v>
      </c>
      <c r="E239" s="152" t="e">
        <f>VLOOKUP("total",#REF!,6,FALSE)-VLOOKUP("españa",#REF!,6,FALSE)</f>
        <v>#REF!</v>
      </c>
      <c r="F239" s="151" t="e">
        <f>(VLOOKUP("total",#REF!,5,FALSE)-VLOOKUP("españa",#REF!,5,FALSE))/(VLOOKUP("total",#REF!,5,FALSE)-VLOOKUP("españa",#REF!,5,FALSE))-1</f>
        <v>#REF!</v>
      </c>
      <c r="G239" s="152" t="e">
        <f>VLOOKUP("total",#REF!,5,FALSE)-VLOOKUP("españa",#REF!,5,FALSE)</f>
        <v>#REF!</v>
      </c>
      <c r="H239" s="151" t="e">
        <f>(VLOOKUP("total",#REF!,4,FALSE)-VLOOKUP("españa",#REF!,4,FALSE))/(VLOOKUP("total",#REF!,4,FALSE)-VLOOKUP("españa",#REF!,4,FALSE))-1</f>
        <v>#REF!</v>
      </c>
      <c r="I239" s="152" t="e">
        <f>VLOOKUP("total",#REF!,4,FALSE)-VLOOKUP("españa",#REF!,4,FALSE)</f>
        <v>#REF!</v>
      </c>
      <c r="J239" s="151" t="e">
        <f>(VLOOKUP("total",#REF!,3,FALSE)-VLOOKUP("españa",#REF!,3,FALSE))/(VLOOKUP("total",#REF!,3,FALSE)-VLOOKUP("españa",#REF!,3,FALSE))-1</f>
        <v>#REF!</v>
      </c>
      <c r="K239" s="152" t="e">
        <f>VLOOKUP("total",#REF!,3,FALSE)-VLOOKUP("españa",#REF!,3,FALSE)</f>
        <v>#REF!</v>
      </c>
      <c r="L239" s="151" t="e">
        <f>(VLOOKUP("total",#REF!,2,FALSE)-VLOOKUP("españa",#REF!,2,FALSE))/(VLOOKUP("total",#REF!,2,FALSE)-VLOOKUP("españa",#REF!,2,FALSE))-1</f>
        <v>#REF!</v>
      </c>
      <c r="M239" s="152" t="e">
        <f>VLOOKUP("total",#REF!,2,FALSE)-VLOOKUP("españa",#REF!,2,FALSE)</f>
        <v>#REF!</v>
      </c>
      <c r="N239" s="151" t="e">
        <f>(VLOOKUP("total",#REF!,7,FALSE)-VLOOKUP("españa",#REF!,7,FALSE))/(VLOOKUP("total",#REF!,7,FALSE)-VLOOKUP("españa",#REF!,7,FALSE))-1</f>
        <v>#REF!</v>
      </c>
      <c r="O239" s="152" t="e">
        <f>VLOOKUP("total",#REF!,7,FALSE)-VLOOKUP("españa",#REF!,7,FALSE)</f>
        <v>#REF!</v>
      </c>
      <c r="P239" s="151" t="e">
        <f>(VLOOKUP("total",#REF!,8,FALSE)-VLOOKUP("españa",#REF!,8,FALSE))/(VLOOKUP("total",#REF!,8,FALSE)-VLOOKUP("españa",#REF!,8,FALSE))-1</f>
        <v>#REF!</v>
      </c>
      <c r="Q239" s="152" t="e">
        <f>VLOOKUP("total",#REF!,8,FALSE)-VLOOKUP("españa",#REF!,8,FALSE)</f>
        <v>#REF!</v>
      </c>
    </row>
    <row r="240" spans="3:17" ht="24" hidden="1" customHeight="1" x14ac:dyDescent="0.2">
      <c r="C240" s="150" t="s">
        <v>8</v>
      </c>
      <c r="D240" s="151" t="e">
        <f>VLOOKUP("total",#REF!,6,FALSE)/VLOOKUP("total",#REF!,6,FALSE)-1</f>
        <v>#REF!</v>
      </c>
      <c r="E240" s="152" t="e">
        <f>VLOOKUP("total",#REF!,6,FALSE)</f>
        <v>#REF!</v>
      </c>
      <c r="F240" s="151" t="e">
        <f>VLOOKUP("total",#REF!,5,FALSE)/VLOOKUP("total",#REF!,5,FALSE)-1</f>
        <v>#REF!</v>
      </c>
      <c r="G240" s="152" t="e">
        <f>VLOOKUP("total",#REF!,5,FALSE)</f>
        <v>#REF!</v>
      </c>
      <c r="H240" s="151" t="e">
        <f>VLOOKUP("total",#REF!,4,FALSE)/VLOOKUP("total",#REF!,4,FALSE)-1</f>
        <v>#REF!</v>
      </c>
      <c r="I240" s="152" t="e">
        <f>VLOOKUP("total",#REF!,4,FALSE)</f>
        <v>#REF!</v>
      </c>
      <c r="J240" s="151" t="e">
        <f>VLOOKUP("total",#REF!,3,FALSE)/VLOOKUP("total",#REF!,3,FALSE)-1</f>
        <v>#REF!</v>
      </c>
      <c r="K240" s="152" t="e">
        <f>VLOOKUP("total",#REF!,3,FALSE)</f>
        <v>#REF!</v>
      </c>
      <c r="L240" s="151" t="e">
        <f>VLOOKUP("total",#REF!,2,FALSE)/VLOOKUP("total",#REF!,2,FALSE)-1</f>
        <v>#REF!</v>
      </c>
      <c r="M240" s="152" t="e">
        <f>VLOOKUP("total",#REF!,2,FALSE)</f>
        <v>#REF!</v>
      </c>
      <c r="N240" s="151" t="e">
        <f>VLOOKUP("total",#REF!,7,FALSE)/VLOOKUP("total",#REF!,7,FALSE)-1</f>
        <v>#REF!</v>
      </c>
      <c r="O240" s="152" t="e">
        <f>VLOOKUP("total",#REF!,7,FALSE)</f>
        <v>#REF!</v>
      </c>
      <c r="P240" s="151" t="e">
        <f>VLOOKUP("total",#REF!,8,FALSE)/VLOOKUP("total",#REF!,8,FALSE)-1</f>
        <v>#REF!</v>
      </c>
      <c r="Q240" s="152" t="e">
        <f>VLOOKUP("total",#REF!,8,FALSE)</f>
        <v>#REF!</v>
      </c>
    </row>
    <row r="241" spans="3:13" ht="18" customHeight="1" thickBot="1" x14ac:dyDescent="0.25">
      <c r="C241" s="3"/>
    </row>
    <row r="242" spans="3:13" ht="50.25" customHeight="1" thickBot="1" x14ac:dyDescent="0.25">
      <c r="C242" s="2"/>
      <c r="D242" s="2"/>
      <c r="E242" s="280" t="str">
        <f>$E$1</f>
        <v>INDICADORES TURÍSTICOS DE TENERIFE definitivo</v>
      </c>
      <c r="F242" s="280"/>
      <c r="G242" s="280"/>
      <c r="H242" s="280"/>
      <c r="I242" s="280"/>
      <c r="J242" s="280"/>
      <c r="K242" s="280"/>
      <c r="L242" s="2"/>
      <c r="M242" s="2"/>
    </row>
    <row r="243" spans="3:13" ht="5.25" customHeight="1" thickBot="1" x14ac:dyDescent="0.25">
      <c r="C243" s="3"/>
    </row>
    <row r="244" spans="3:13" ht="28.5" customHeight="1" thickBot="1" x14ac:dyDescent="0.25">
      <c r="C244" s="281" t="s">
        <v>68</v>
      </c>
      <c r="D244" s="282"/>
      <c r="E244" s="282"/>
      <c r="F244" s="282"/>
      <c r="G244" s="282"/>
      <c r="H244" s="282"/>
      <c r="I244" s="282"/>
      <c r="J244" s="282"/>
      <c r="K244" s="282"/>
      <c r="L244" s="282"/>
      <c r="M244" s="283"/>
    </row>
    <row r="245" spans="3:13" ht="5.25" customHeight="1" thickBot="1" x14ac:dyDescent="0.25">
      <c r="C245" s="155"/>
      <c r="D245" s="156"/>
      <c r="E245" s="156"/>
      <c r="F245" s="156"/>
      <c r="G245" s="157"/>
      <c r="H245" s="157"/>
      <c r="I245" s="157"/>
      <c r="J245" s="156"/>
      <c r="K245" s="156"/>
      <c r="L245" s="156"/>
      <c r="M245" s="158"/>
    </row>
    <row r="246" spans="3:13" ht="32.25" customHeight="1" thickTop="1" thickBot="1" x14ac:dyDescent="0.25">
      <c r="C246" s="121"/>
      <c r="D246" s="326" t="s">
        <v>7</v>
      </c>
      <c r="E246" s="327"/>
      <c r="F246" s="326" t="s">
        <v>31</v>
      </c>
      <c r="G246" s="327"/>
      <c r="H246" s="326" t="s">
        <v>32</v>
      </c>
      <c r="I246" s="327"/>
      <c r="J246" s="326" t="s">
        <v>33</v>
      </c>
      <c r="K246" s="327"/>
      <c r="L246" s="326" t="s">
        <v>34</v>
      </c>
      <c r="M246" s="328"/>
    </row>
    <row r="247" spans="3:13" ht="31.5" customHeight="1" thickBot="1" x14ac:dyDescent="0.25">
      <c r="C247" s="122"/>
      <c r="D247" s="159" t="s">
        <v>69</v>
      </c>
      <c r="E247" s="160" t="s">
        <v>70</v>
      </c>
      <c r="F247" s="159" t="s">
        <v>69</v>
      </c>
      <c r="G247" s="160" t="s">
        <v>70</v>
      </c>
      <c r="H247" s="159" t="s">
        <v>69</v>
      </c>
      <c r="I247" s="160" t="s">
        <v>70</v>
      </c>
      <c r="J247" s="159" t="s">
        <v>69</v>
      </c>
      <c r="K247" s="160" t="s">
        <v>70</v>
      </c>
      <c r="L247" s="159" t="s">
        <v>69</v>
      </c>
      <c r="M247" s="161" t="s">
        <v>70</v>
      </c>
    </row>
    <row r="248" spans="3:13" ht="18.75" thickBot="1" x14ac:dyDescent="0.25">
      <c r="C248" s="125" t="s">
        <v>37</v>
      </c>
      <c r="D248" s="162">
        <v>0.14560782487191429</v>
      </c>
      <c r="E248" s="163">
        <v>0.14546230075258262</v>
      </c>
      <c r="F248" s="162">
        <v>0.65895522388059702</v>
      </c>
      <c r="G248" s="163">
        <v>0.62662761992352001</v>
      </c>
      <c r="H248" s="162">
        <v>0.42767699470219939</v>
      </c>
      <c r="I248" s="163">
        <v>0.4388021931674399</v>
      </c>
      <c r="J248" s="162">
        <v>0.29410305185675295</v>
      </c>
      <c r="K248" s="163">
        <v>0.29931624507393312</v>
      </c>
      <c r="L248" s="162">
        <v>7.4110302717317014E-2</v>
      </c>
      <c r="M248" s="164">
        <v>7.4835423221454755E-2</v>
      </c>
    </row>
    <row r="249" spans="3:13" ht="26.25" thickBot="1" x14ac:dyDescent="0.25">
      <c r="C249" s="165" t="s">
        <v>71</v>
      </c>
      <c r="D249" s="166">
        <v>3.4019305948401052E-2</v>
      </c>
      <c r="E249" s="167">
        <v>3.2447883147074162E-2</v>
      </c>
      <c r="F249" s="166"/>
      <c r="G249" s="167"/>
      <c r="H249" s="166"/>
      <c r="I249" s="167"/>
      <c r="J249" s="166"/>
      <c r="K249" s="167"/>
      <c r="L249" s="166"/>
      <c r="M249" s="168"/>
    </row>
    <row r="250" spans="3:13" ht="26.25" thickBot="1" x14ac:dyDescent="0.25">
      <c r="C250" s="165" t="s">
        <v>40</v>
      </c>
      <c r="D250" s="166">
        <v>1.8924929039871141E-2</v>
      </c>
      <c r="E250" s="167">
        <v>1.8271645808866335E-2</v>
      </c>
      <c r="F250" s="166"/>
      <c r="G250" s="167"/>
      <c r="H250" s="166"/>
      <c r="I250" s="167"/>
      <c r="J250" s="166"/>
      <c r="K250" s="167"/>
      <c r="L250" s="166"/>
      <c r="M250" s="168"/>
    </row>
    <row r="251" spans="3:13" ht="18.75" thickBot="1" x14ac:dyDescent="0.25">
      <c r="C251" s="165" t="s">
        <v>41</v>
      </c>
      <c r="D251" s="166">
        <v>9.2663589883642095E-2</v>
      </c>
      <c r="E251" s="167">
        <v>9.474277179656973E-2</v>
      </c>
      <c r="F251" s="166"/>
      <c r="G251" s="167"/>
      <c r="H251" s="166"/>
      <c r="I251" s="167"/>
      <c r="J251" s="166"/>
      <c r="K251" s="167"/>
      <c r="L251" s="166"/>
      <c r="M251" s="168"/>
    </row>
    <row r="252" spans="3:13" ht="18.75" thickBot="1" x14ac:dyDescent="0.25">
      <c r="C252" s="169" t="s">
        <v>42</v>
      </c>
      <c r="D252" s="170">
        <v>3.1273870517000465E-2</v>
      </c>
      <c r="E252" s="171">
        <v>2.969546113214603E-2</v>
      </c>
      <c r="F252" s="170">
        <v>7.6492537313432836E-3</v>
      </c>
      <c r="G252" s="171">
        <v>8.4466818335834255E-3</v>
      </c>
      <c r="H252" s="170">
        <v>1.9746347728367315E-2</v>
      </c>
      <c r="I252" s="171">
        <v>2.2522142555883595E-2</v>
      </c>
      <c r="J252" s="170">
        <v>1.3522454718385576E-2</v>
      </c>
      <c r="K252" s="171">
        <v>1.3318063929401462E-2</v>
      </c>
      <c r="L252" s="170">
        <v>3.6942752555553869E-2</v>
      </c>
      <c r="M252" s="172">
        <v>3.4884467560105305E-2</v>
      </c>
    </row>
    <row r="253" spans="3:13" ht="24" customHeight="1" thickBot="1" x14ac:dyDescent="0.25">
      <c r="C253" s="173" t="s">
        <v>43</v>
      </c>
      <c r="D253" s="166">
        <v>3.1641825803446669E-2</v>
      </c>
      <c r="E253" s="167">
        <v>3.2311971205534522E-2</v>
      </c>
      <c r="F253" s="166">
        <v>7.882462686567164E-3</v>
      </c>
      <c r="G253" s="167">
        <v>7.3817706568565762E-3</v>
      </c>
      <c r="H253" s="166">
        <v>1.3645850056188794E-2</v>
      </c>
      <c r="I253" s="167">
        <v>1.1978068325601013E-2</v>
      </c>
      <c r="J253" s="166">
        <v>8.2568301491467485E-3</v>
      </c>
      <c r="K253" s="167">
        <v>9.0942773417764158E-3</v>
      </c>
      <c r="L253" s="166">
        <v>3.8683415100931089E-2</v>
      </c>
      <c r="M253" s="168">
        <v>3.9524416681190395E-2</v>
      </c>
    </row>
    <row r="254" spans="3:13" ht="24" customHeight="1" thickBot="1" x14ac:dyDescent="0.25">
      <c r="C254" s="169" t="s">
        <v>44</v>
      </c>
      <c r="D254" s="170">
        <v>0.119033535165347</v>
      </c>
      <c r="E254" s="171">
        <v>0.11972491001729538</v>
      </c>
      <c r="F254" s="170">
        <v>5.1445895522388062E-2</v>
      </c>
      <c r="G254" s="171">
        <v>5.9707633476934995E-2</v>
      </c>
      <c r="H254" s="170">
        <v>0.21014609086530744</v>
      </c>
      <c r="I254" s="171">
        <v>0.18194854491775622</v>
      </c>
      <c r="J254" s="170">
        <v>0.28302042841783143</v>
      </c>
      <c r="K254" s="171">
        <v>0.28194280710027281</v>
      </c>
      <c r="L254" s="170">
        <v>8.5571942828500697E-2</v>
      </c>
      <c r="M254" s="172">
        <v>8.5573809589330099E-2</v>
      </c>
    </row>
    <row r="255" spans="3:13" ht="24" customHeight="1" thickBot="1" x14ac:dyDescent="0.25">
      <c r="C255" s="173" t="s">
        <v>45</v>
      </c>
      <c r="D255" s="166">
        <v>3.8968327899394507E-2</v>
      </c>
      <c r="E255" s="167">
        <v>3.5125975786472211E-2</v>
      </c>
      <c r="F255" s="166">
        <v>3.1436567164179106E-2</v>
      </c>
      <c r="G255" s="167">
        <v>2.8728399244881166E-2</v>
      </c>
      <c r="H255" s="166">
        <v>9.7929041579707818E-2</v>
      </c>
      <c r="I255" s="167">
        <v>9.0004217629692115E-2</v>
      </c>
      <c r="J255" s="166">
        <v>4.0732776445289887E-2</v>
      </c>
      <c r="K255" s="167">
        <v>3.405301626865169E-2</v>
      </c>
      <c r="L255" s="166">
        <v>3.7954341783495604E-2</v>
      </c>
      <c r="M255" s="168">
        <v>3.4778979425227258E-2</v>
      </c>
    </row>
    <row r="256" spans="3:13" ht="24" customHeight="1" thickBot="1" x14ac:dyDescent="0.25">
      <c r="C256" s="169" t="s">
        <v>46</v>
      </c>
      <c r="D256" s="170">
        <v>0.33773870517000465</v>
      </c>
      <c r="E256" s="171">
        <v>0.33277824522039917</v>
      </c>
      <c r="F256" s="170">
        <v>5.6250000000000001E-2</v>
      </c>
      <c r="G256" s="171">
        <v>5.624667215257273E-2</v>
      </c>
      <c r="H256" s="170">
        <v>6.0362819072082199E-2</v>
      </c>
      <c r="I256" s="171">
        <v>6.6554196541543653E-2</v>
      </c>
      <c r="J256" s="170">
        <v>0.10959942657072753</v>
      </c>
      <c r="K256" s="171">
        <v>0.10956246421233454</v>
      </c>
      <c r="L256" s="170">
        <v>0.41159834135820283</v>
      </c>
      <c r="M256" s="172">
        <v>0.40572877013065239</v>
      </c>
    </row>
    <row r="257" spans="3:13" ht="24" customHeight="1" thickBot="1" x14ac:dyDescent="0.25">
      <c r="C257" s="173" t="s">
        <v>47</v>
      </c>
      <c r="D257" s="166">
        <v>1.7291569632044715E-2</v>
      </c>
      <c r="E257" s="167">
        <v>1.8528256906464733E-2</v>
      </c>
      <c r="F257" s="166">
        <v>4.4776119402985077E-3</v>
      </c>
      <c r="G257" s="167">
        <v>5.7359988382787164E-3</v>
      </c>
      <c r="H257" s="166">
        <v>6.1004976721785202E-3</v>
      </c>
      <c r="I257" s="167">
        <v>6.5795023196963303E-3</v>
      </c>
      <c r="J257" s="166">
        <v>6.4924323877264076E-3</v>
      </c>
      <c r="K257" s="167">
        <v>6.9385967866886725E-3</v>
      </c>
      <c r="L257" s="166">
        <v>2.0717833437125022E-2</v>
      </c>
      <c r="M257" s="168">
        <v>2.218308459536892E-2</v>
      </c>
    </row>
    <row r="258" spans="3:13" ht="24" customHeight="1" thickBot="1" x14ac:dyDescent="0.25">
      <c r="C258" s="169" t="s">
        <v>48</v>
      </c>
      <c r="D258" s="170">
        <v>2.8397764322310202E-2</v>
      </c>
      <c r="E258" s="171">
        <v>3.09902771934745E-2</v>
      </c>
      <c r="F258" s="170">
        <v>2.5979477611940298E-2</v>
      </c>
      <c r="G258" s="171">
        <v>2.7711893121641899E-2</v>
      </c>
      <c r="H258" s="170">
        <v>2.1993899502327822E-2</v>
      </c>
      <c r="I258" s="171">
        <v>3.1294812315478704E-2</v>
      </c>
      <c r="J258" s="170">
        <v>1.6472307225760208E-2</v>
      </c>
      <c r="K258" s="171">
        <v>1.7110714406008958E-2</v>
      </c>
      <c r="L258" s="170">
        <v>3.130458556738612E-2</v>
      </c>
      <c r="M258" s="172">
        <v>3.4341738750225503E-2</v>
      </c>
    </row>
    <row r="259" spans="3:13" ht="24" customHeight="1" thickBot="1" x14ac:dyDescent="0.25">
      <c r="C259" s="173" t="s">
        <v>49</v>
      </c>
      <c r="D259" s="166">
        <v>0.1471169073125291</v>
      </c>
      <c r="E259" s="167">
        <v>0.14850535221801522</v>
      </c>
      <c r="F259" s="166">
        <v>4.9160447761194027E-2</v>
      </c>
      <c r="G259" s="167">
        <v>5.8352291979282628E-2</v>
      </c>
      <c r="H259" s="166">
        <v>2.3920372451436828E-2</v>
      </c>
      <c r="I259" s="167">
        <v>2.5390130746520457E-2</v>
      </c>
      <c r="J259" s="166">
        <v>0.12301160642902434</v>
      </c>
      <c r="K259" s="167">
        <v>0.12735356529354305</v>
      </c>
      <c r="L259" s="166">
        <v>0.16114039218068865</v>
      </c>
      <c r="M259" s="168">
        <v>0.16123173450012385</v>
      </c>
    </row>
    <row r="260" spans="3:13" ht="24" customHeight="1" thickBot="1" x14ac:dyDescent="0.25">
      <c r="C260" s="174" t="s">
        <v>50</v>
      </c>
      <c r="D260" s="170">
        <v>4.874243129948766E-2</v>
      </c>
      <c r="E260" s="171">
        <v>5.2540550647408028E-2</v>
      </c>
      <c r="F260" s="170">
        <v>2.0102611940298509E-2</v>
      </c>
      <c r="G260" s="171">
        <v>2.180647659615664E-2</v>
      </c>
      <c r="H260" s="170">
        <v>9.3112859206935308E-3</v>
      </c>
      <c r="I260" s="171">
        <v>1.1134542387178406E-2</v>
      </c>
      <c r="J260" s="170">
        <v>3.0063683731701266E-2</v>
      </c>
      <c r="K260" s="171">
        <v>3.3170534541412645E-2</v>
      </c>
      <c r="L260" s="170">
        <v>5.5470328234883119E-2</v>
      </c>
      <c r="M260" s="172">
        <v>5.9628314849977528E-2</v>
      </c>
    </row>
    <row r="261" spans="3:13" ht="24" customHeight="1" thickBot="1" x14ac:dyDescent="0.25">
      <c r="C261" s="165" t="s">
        <v>51</v>
      </c>
      <c r="D261" s="166">
        <v>2.6215649743828597E-2</v>
      </c>
      <c r="E261" s="167">
        <v>2.4773290328612162E-2</v>
      </c>
      <c r="F261" s="166">
        <v>1.2266791044776119E-2</v>
      </c>
      <c r="G261" s="167">
        <v>1.3650225083498717E-2</v>
      </c>
      <c r="H261" s="166">
        <v>6.2610370846042703E-3</v>
      </c>
      <c r="I261" s="167">
        <v>4.133277098270772E-3</v>
      </c>
      <c r="J261" s="166">
        <v>1.1441016734210019E-2</v>
      </c>
      <c r="K261" s="167">
        <v>1.1445316447168985E-2</v>
      </c>
      <c r="L261" s="166">
        <v>3.0757780579309509E-2</v>
      </c>
      <c r="M261" s="168">
        <v>2.8874701499154568E-2</v>
      </c>
    </row>
    <row r="262" spans="3:13" ht="24" customHeight="1" thickBot="1" x14ac:dyDescent="0.25">
      <c r="C262" s="174" t="s">
        <v>52</v>
      </c>
      <c r="D262" s="170">
        <v>3.2147182114578482E-2</v>
      </c>
      <c r="E262" s="171">
        <v>3.1186603094470154E-2</v>
      </c>
      <c r="F262" s="170">
        <v>8.9085820895522388E-3</v>
      </c>
      <c r="G262" s="171">
        <v>1.1593010310276392E-2</v>
      </c>
      <c r="H262" s="170">
        <v>6.4215764970300205E-3</v>
      </c>
      <c r="I262" s="171">
        <v>7.0012652889076335E-3</v>
      </c>
      <c r="J262" s="170">
        <v>2.095222341686654E-2</v>
      </c>
      <c r="K262" s="171">
        <v>2.062043180976119E-2</v>
      </c>
      <c r="L262" s="170">
        <v>3.6614669562707897E-2</v>
      </c>
      <c r="M262" s="172">
        <v>3.5260555693148773E-2</v>
      </c>
    </row>
    <row r="263" spans="3:13" ht="24" customHeight="1" thickBot="1" x14ac:dyDescent="0.25">
      <c r="C263" s="165" t="s">
        <v>53</v>
      </c>
      <c r="D263" s="166">
        <v>4.0011644154634374E-2</v>
      </c>
      <c r="E263" s="167">
        <v>4.0004908147524894E-2</v>
      </c>
      <c r="F263" s="166">
        <v>7.882462686567164E-3</v>
      </c>
      <c r="G263" s="167">
        <v>1.1302579989350888E-2</v>
      </c>
      <c r="H263" s="166">
        <v>1.9264729491090063E-3</v>
      </c>
      <c r="I263" s="167">
        <v>3.1210459721636441E-3</v>
      </c>
      <c r="J263" s="166">
        <v>6.0554682546246519E-2</v>
      </c>
      <c r="K263" s="167">
        <v>6.2117282495200245E-2</v>
      </c>
      <c r="L263" s="166">
        <v>3.8297613803788141E-2</v>
      </c>
      <c r="M263" s="168">
        <v>3.7468162457842964E-2</v>
      </c>
    </row>
    <row r="264" spans="3:13" ht="24" customHeight="1" thickBot="1" x14ac:dyDescent="0.25">
      <c r="C264" s="169" t="s">
        <v>54</v>
      </c>
      <c r="D264" s="170">
        <v>9.0754541220307398E-3</v>
      </c>
      <c r="E264" s="171">
        <v>9.1677184125648573E-3</v>
      </c>
      <c r="F264" s="170">
        <v>5.7835820895522387E-3</v>
      </c>
      <c r="G264" s="171">
        <v>6.2926569533859333E-3</v>
      </c>
      <c r="H264" s="170">
        <v>1.4127468293466046E-2</v>
      </c>
      <c r="I264" s="171">
        <v>1.4930409110080135E-2</v>
      </c>
      <c r="J264" s="170">
        <v>9.0011854547459545E-3</v>
      </c>
      <c r="K264" s="171">
        <v>9.7544545117720372E-3</v>
      </c>
      <c r="L264" s="170">
        <v>9.2106262436016228E-3</v>
      </c>
      <c r="M264" s="172">
        <v>9.111728751784889E-3</v>
      </c>
    </row>
    <row r="265" spans="3:13" ht="24" customHeight="1" thickBot="1" x14ac:dyDescent="0.25">
      <c r="C265" s="173" t="s">
        <v>55</v>
      </c>
      <c r="D265" s="166">
        <v>6.7675826734979044E-3</v>
      </c>
      <c r="E265" s="167">
        <v>6.7720749777964752E-3</v>
      </c>
      <c r="F265" s="166">
        <v>3.4048507462686567E-3</v>
      </c>
      <c r="G265" s="167">
        <v>3.4609613243622634E-3</v>
      </c>
      <c r="H265" s="166">
        <v>1.0435061807673784E-2</v>
      </c>
      <c r="I265" s="167">
        <v>1.5183466891606916E-2</v>
      </c>
      <c r="J265" s="166">
        <v>8.2154770766134592E-3</v>
      </c>
      <c r="K265" s="167">
        <v>8.5351476978005325E-3</v>
      </c>
      <c r="L265" s="166">
        <v>6.598113522791136E-3</v>
      </c>
      <c r="M265" s="168">
        <v>6.4286609733650102E-3</v>
      </c>
    </row>
    <row r="266" spans="3:13" ht="24" customHeight="1" thickBot="1" x14ac:dyDescent="0.25">
      <c r="C266" s="169" t="s">
        <v>56</v>
      </c>
      <c r="D266" s="170">
        <v>8.8612016767582666E-3</v>
      </c>
      <c r="E266" s="171">
        <v>1.3779039872855607E-2</v>
      </c>
      <c r="F266" s="170">
        <v>7.3227611940298509E-3</v>
      </c>
      <c r="G266" s="171">
        <v>1.4884553947432112E-2</v>
      </c>
      <c r="H266" s="170">
        <v>5.2978006100497669E-3</v>
      </c>
      <c r="I266" s="171">
        <v>7.6760860396457194E-3</v>
      </c>
      <c r="J266" s="170">
        <v>5.2518402117277315E-3</v>
      </c>
      <c r="K266" s="171">
        <v>8.7102967429014116E-3</v>
      </c>
      <c r="L266" s="170">
        <v>9.8242629524431559E-3</v>
      </c>
      <c r="M266" s="172">
        <v>1.4970142271388867E-2</v>
      </c>
    </row>
    <row r="267" spans="3:13" ht="24" customHeight="1" thickBot="1" x14ac:dyDescent="0.25">
      <c r="C267" s="173" t="s">
        <v>57</v>
      </c>
      <c r="D267" s="166">
        <v>2.7235677689799721E-2</v>
      </c>
      <c r="E267" s="167">
        <v>2.8122516711073714E-2</v>
      </c>
      <c r="F267" s="166">
        <v>1.1240671641791045E-2</v>
      </c>
      <c r="G267" s="167">
        <v>1.273052906723462E-2</v>
      </c>
      <c r="H267" s="166">
        <v>1.1719377107079787E-2</v>
      </c>
      <c r="I267" s="167">
        <v>1.678616617460987E-2</v>
      </c>
      <c r="J267" s="166">
        <v>1.4321947454029168E-2</v>
      </c>
      <c r="K267" s="167">
        <v>1.5143655899491393E-2</v>
      </c>
      <c r="L267" s="166">
        <v>3.1416984370490758E-2</v>
      </c>
      <c r="M267" s="168">
        <v>3.2245735374605185E-2</v>
      </c>
    </row>
    <row r="268" spans="3:13" ht="24" customHeight="1" thickBot="1" x14ac:dyDescent="0.25">
      <c r="C268" s="169" t="s">
        <v>58</v>
      </c>
      <c r="D268" s="170">
        <v>2.6714019562179787E-2</v>
      </c>
      <c r="E268" s="171">
        <v>2.6794979666245968E-2</v>
      </c>
      <c r="F268" s="170">
        <v>2.140858208955224E-2</v>
      </c>
      <c r="G268" s="171">
        <v>2.5606273294931991E-2</v>
      </c>
      <c r="H268" s="170">
        <v>8.6691282709905285E-3</v>
      </c>
      <c r="I268" s="171">
        <v>1.0797132011809363E-2</v>
      </c>
      <c r="J268" s="170">
        <v>3.6376919471783419E-2</v>
      </c>
      <c r="K268" s="171">
        <v>3.3810502206204317E-2</v>
      </c>
      <c r="L268" s="170">
        <v>2.5271503865607486E-2</v>
      </c>
      <c r="M268" s="172">
        <v>2.5567877792760152E-2</v>
      </c>
    </row>
    <row r="269" spans="3:13" ht="24" customHeight="1" thickBot="1" x14ac:dyDescent="0.25">
      <c r="C269" s="173" t="s">
        <v>59</v>
      </c>
      <c r="D269" s="166">
        <v>3.5700978108989287E-3</v>
      </c>
      <c r="E269" s="167">
        <v>3.4357032674239237E-3</v>
      </c>
      <c r="F269" s="166">
        <v>1.0634328358208956E-2</v>
      </c>
      <c r="G269" s="167">
        <v>9.608403117285445E-3</v>
      </c>
      <c r="H269" s="166">
        <v>1.1398298282228287E-2</v>
      </c>
      <c r="I269" s="167">
        <v>1.5099114297764657E-2</v>
      </c>
      <c r="J269" s="166">
        <v>3.4874424503073911E-3</v>
      </c>
      <c r="K269" s="167">
        <v>3.4423523864057395E-3</v>
      </c>
      <c r="L269" s="166">
        <v>2.9800871850175431E-3</v>
      </c>
      <c r="M269" s="168">
        <v>2.8328915062176847E-3</v>
      </c>
    </row>
    <row r="270" spans="3:13" ht="24" customHeight="1" thickBot="1" x14ac:dyDescent="0.25">
      <c r="C270" s="169" t="s">
        <v>60</v>
      </c>
      <c r="D270" s="170">
        <v>4.1266884024219845E-3</v>
      </c>
      <c r="E270" s="171">
        <v>4.0141635114289724E-3</v>
      </c>
      <c r="F270" s="170">
        <v>1.6277985074626865E-2</v>
      </c>
      <c r="G270" s="171">
        <v>1.8974780967132968E-2</v>
      </c>
      <c r="H270" s="170">
        <v>1.8462032428961311E-2</v>
      </c>
      <c r="I270" s="171">
        <v>1.8979333614508646E-2</v>
      </c>
      <c r="J270" s="170">
        <v>4.7831720563504534E-3</v>
      </c>
      <c r="K270" s="171">
        <v>4.5404021691535582E-3</v>
      </c>
      <c r="L270" s="170">
        <v>2.9193310752312529E-3</v>
      </c>
      <c r="M270" s="172">
        <v>2.6784813377730078E-3</v>
      </c>
    </row>
    <row r="271" spans="3:13" ht="24" customHeight="1" thickBot="1" x14ac:dyDescent="0.25">
      <c r="C271" s="173" t="s">
        <v>61</v>
      </c>
      <c r="D271" s="166">
        <v>1.6578947368421054E-2</v>
      </c>
      <c r="E271" s="167">
        <v>1.4791053148226055E-2</v>
      </c>
      <c r="F271" s="166">
        <v>3.0690298507462688E-2</v>
      </c>
      <c r="G271" s="167">
        <v>2.950288010068251E-2</v>
      </c>
      <c r="H271" s="166">
        <v>3.8368919569754377E-2</v>
      </c>
      <c r="I271" s="167">
        <v>2.5474483340362716E-2</v>
      </c>
      <c r="J271" s="166">
        <v>2.3350701623797314E-2</v>
      </c>
      <c r="K271" s="167">
        <v>1.7373437973660279E-2</v>
      </c>
      <c r="L271" s="166">
        <v>1.3755183255616144E-2</v>
      </c>
      <c r="M271" s="168">
        <v>1.3082057538426728E-2</v>
      </c>
    </row>
    <row r="272" spans="3:13" ht="30.75" customHeight="1" thickBot="1" x14ac:dyDescent="0.25">
      <c r="C272" s="175" t="s">
        <v>62</v>
      </c>
      <c r="D272" s="176">
        <v>0.85439217512808574</v>
      </c>
      <c r="E272" s="177">
        <v>0.8545376992474174</v>
      </c>
      <c r="F272" s="176">
        <v>0.34104477611940298</v>
      </c>
      <c r="G272" s="177">
        <v>0.37337238007647999</v>
      </c>
      <c r="H272" s="176">
        <v>0.57232300529780056</v>
      </c>
      <c r="I272" s="177">
        <v>0.56119780683256004</v>
      </c>
      <c r="J272" s="176">
        <v>0.7058969481432471</v>
      </c>
      <c r="K272" s="177">
        <v>0.70068375492606694</v>
      </c>
      <c r="L272" s="176">
        <v>0.925889697282683</v>
      </c>
      <c r="M272" s="178">
        <v>0.92516457677854524</v>
      </c>
    </row>
    <row r="273" spans="3:18" ht="24" customHeight="1" thickBot="1" x14ac:dyDescent="0.25">
      <c r="C273" s="179" t="s">
        <v>8</v>
      </c>
      <c r="D273" s="180">
        <v>1</v>
      </c>
      <c r="E273" s="181">
        <v>1</v>
      </c>
      <c r="F273" s="180">
        <v>1</v>
      </c>
      <c r="G273" s="181">
        <v>1</v>
      </c>
      <c r="H273" s="180">
        <v>1</v>
      </c>
      <c r="I273" s="181">
        <v>1</v>
      </c>
      <c r="J273" s="180">
        <v>1</v>
      </c>
      <c r="K273" s="181">
        <v>1</v>
      </c>
      <c r="L273" s="180">
        <v>1</v>
      </c>
      <c r="M273" s="182">
        <v>1</v>
      </c>
    </row>
    <row r="274" spans="3:18" ht="18" customHeight="1" x14ac:dyDescent="0.2">
      <c r="C274" s="183"/>
      <c r="D274" s="184"/>
      <c r="E274" s="185"/>
      <c r="F274" s="184"/>
      <c r="G274" s="185"/>
      <c r="H274" s="184"/>
      <c r="I274" s="185"/>
      <c r="J274" s="184"/>
      <c r="K274" s="185"/>
      <c r="L274" s="184"/>
      <c r="M274" s="185"/>
      <c r="N274" s="186"/>
    </row>
    <row r="275" spans="3:18" ht="5.25" customHeight="1" thickBot="1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3:18" ht="20.100000000000001" customHeight="1" thickBot="1" x14ac:dyDescent="0.25">
      <c r="C276" s="256" t="s">
        <v>72</v>
      </c>
      <c r="D276" s="257"/>
      <c r="E276" s="257"/>
      <c r="F276" s="257"/>
      <c r="G276" s="257"/>
      <c r="H276" s="257"/>
      <c r="I276" s="257"/>
      <c r="J276" s="257"/>
      <c r="K276" s="257"/>
      <c r="L276" s="257"/>
      <c r="M276" s="258"/>
    </row>
    <row r="277" spans="3:18" ht="5.25" customHeight="1" x14ac:dyDescent="0.2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105"/>
    </row>
    <row r="278" spans="3:18" ht="45.75" customHeight="1" x14ac:dyDescent="0.2">
      <c r="C278" s="309" t="s">
        <v>7</v>
      </c>
      <c r="D278" s="317" t="s">
        <v>73</v>
      </c>
      <c r="E278" s="187" t="s">
        <v>74</v>
      </c>
      <c r="F278" s="188">
        <v>1085.0400550592499</v>
      </c>
      <c r="G278" s="320" t="s">
        <v>98</v>
      </c>
      <c r="H278" s="321"/>
      <c r="I278" s="321"/>
      <c r="J278" s="321"/>
      <c r="K278" s="321"/>
      <c r="L278" s="322"/>
      <c r="M278" s="263" t="s">
        <v>99</v>
      </c>
      <c r="O278" s="99"/>
      <c r="R278" s="99"/>
    </row>
    <row r="279" spans="3:18" ht="45.75" customHeight="1" x14ac:dyDescent="0.2">
      <c r="C279" s="309"/>
      <c r="D279" s="318"/>
      <c r="E279" s="189" t="s">
        <v>75</v>
      </c>
      <c r="F279" s="190">
        <v>711.60052191465252</v>
      </c>
      <c r="G279" s="320" t="str">
        <f>CONCATENATE("El gasto medio por turista en origen se situó en ",FIXED($F$279,0),"€.")</f>
        <v>El gasto medio por turista en origen se situó en 712€.</v>
      </c>
      <c r="H279" s="321"/>
      <c r="I279" s="321"/>
      <c r="J279" s="321"/>
      <c r="K279" s="321"/>
      <c r="L279" s="322"/>
      <c r="M279" s="263"/>
      <c r="O279" s="99"/>
      <c r="R279" s="99"/>
    </row>
    <row r="280" spans="3:18" ht="45.75" customHeight="1" thickBot="1" x14ac:dyDescent="0.25">
      <c r="C280" s="309"/>
      <c r="D280" s="319"/>
      <c r="E280" s="191" t="s">
        <v>76</v>
      </c>
      <c r="F280" s="192">
        <v>377.5487012706127</v>
      </c>
      <c r="G280" s="320" t="str">
        <f>CONCATENATE("El gasto medio por turista en destino ascendió a ",FIXED($F$280,0),"€. ")</f>
        <v xml:space="preserve">El gasto medio por turista en destino ascendió a 378€. </v>
      </c>
      <c r="H280" s="321"/>
      <c r="I280" s="321"/>
      <c r="J280" s="321"/>
      <c r="K280" s="321"/>
      <c r="L280" s="322"/>
      <c r="M280" s="263"/>
      <c r="O280" s="99"/>
      <c r="R280" s="99"/>
    </row>
    <row r="281" spans="3:18" ht="45.75" customHeight="1" thickTop="1" x14ac:dyDescent="0.2">
      <c r="C281" s="309"/>
      <c r="D281" s="323" t="s">
        <v>77</v>
      </c>
      <c r="E281" s="193" t="s">
        <v>74</v>
      </c>
      <c r="F281" s="194">
        <v>122.05293818049635</v>
      </c>
      <c r="G281" s="306" t="str">
        <f>CONCATENATE("El gasto total diario por turista se situó en ",FIXED($F$281,0),"€.")</f>
        <v>El gasto total diario por turista se situó en 122€.</v>
      </c>
      <c r="H281" s="307"/>
      <c r="I281" s="307"/>
      <c r="J281" s="307"/>
      <c r="K281" s="307"/>
      <c r="L281" s="308"/>
      <c r="M281" s="263"/>
      <c r="O281" s="99"/>
      <c r="R281" s="99"/>
    </row>
    <row r="282" spans="3:18" ht="45.75" customHeight="1" x14ac:dyDescent="0.2">
      <c r="C282" s="309"/>
      <c r="D282" s="324"/>
      <c r="E282" s="195" t="s">
        <v>75</v>
      </c>
      <c r="F282" s="196">
        <v>79.968746690150326</v>
      </c>
      <c r="G282" s="306" t="str">
        <f>CONCATENATE("La media del gasto diario por turista en origen fue de ",FIXED($F$282,0),"€.")</f>
        <v>La media del gasto diario por turista en origen fue de 80€.</v>
      </c>
      <c r="H282" s="307"/>
      <c r="I282" s="307"/>
      <c r="J282" s="307"/>
      <c r="K282" s="307"/>
      <c r="L282" s="308"/>
      <c r="M282" s="263"/>
      <c r="O282" s="99"/>
      <c r="R282" s="99"/>
    </row>
    <row r="283" spans="3:18" ht="45.75" customHeight="1" x14ac:dyDescent="0.2">
      <c r="C283" s="309"/>
      <c r="D283" s="325"/>
      <c r="E283" s="197" t="s">
        <v>76</v>
      </c>
      <c r="F283" s="198">
        <v>42.106985614838642</v>
      </c>
      <c r="G283" s="306" t="str">
        <f>CONCATENATE("El gasto medio en Tenerife, por turista y día  fue de ",FIXED($F$283,1),"€.")</f>
        <v>El gasto medio en Tenerife, por turista y día  fue de 42,1€.</v>
      </c>
      <c r="H283" s="307"/>
      <c r="I283" s="307"/>
      <c r="J283" s="307"/>
      <c r="K283" s="307"/>
      <c r="L283" s="308"/>
      <c r="M283" s="263"/>
      <c r="O283" s="99"/>
      <c r="R283" s="99"/>
    </row>
    <row r="284" spans="3:18" ht="5.25" customHeight="1" thickBot="1" x14ac:dyDescent="0.25">
      <c r="C284" s="199"/>
      <c r="D284" s="199"/>
      <c r="E284" s="199"/>
      <c r="F284" s="199"/>
      <c r="G284" s="199"/>
      <c r="H284" s="199"/>
      <c r="I284" s="199"/>
      <c r="J284" s="199"/>
      <c r="K284" s="199"/>
      <c r="L284" s="199"/>
      <c r="M284" s="200"/>
      <c r="N284" s="186"/>
      <c r="O284" s="99"/>
      <c r="R284" s="99"/>
    </row>
    <row r="285" spans="3:18" ht="19.5" customHeight="1" thickBot="1" x14ac:dyDescent="0.25">
      <c r="C285" s="256" t="s">
        <v>78</v>
      </c>
      <c r="D285" s="257"/>
      <c r="E285" s="257"/>
      <c r="F285" s="257"/>
      <c r="G285" s="257"/>
      <c r="H285" s="257"/>
      <c r="I285" s="257"/>
      <c r="J285" s="257"/>
      <c r="K285" s="257"/>
      <c r="L285" s="257"/>
      <c r="M285" s="258"/>
      <c r="N285" s="186"/>
      <c r="O285" s="99"/>
      <c r="P285" s="99"/>
      <c r="Q285" s="99"/>
    </row>
    <row r="286" spans="3:18" ht="5.25" customHeight="1" x14ac:dyDescent="0.2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105"/>
      <c r="N286" s="186"/>
      <c r="O286" s="99"/>
      <c r="P286" s="99"/>
      <c r="Q286" s="99"/>
    </row>
    <row r="287" spans="3:18" s="99" customFormat="1" ht="47.25" customHeight="1" thickBot="1" x14ac:dyDescent="0.25">
      <c r="C287" s="309" t="s">
        <v>7</v>
      </c>
      <c r="D287" s="310"/>
      <c r="E287" s="201" t="s">
        <v>8</v>
      </c>
      <c r="F287" s="202">
        <v>140716</v>
      </c>
      <c r="G287" s="203">
        <v>9.5273624702270077E-3</v>
      </c>
      <c r="H287" s="311" t="s">
        <v>100</v>
      </c>
      <c r="I287" s="311"/>
      <c r="J287" s="311"/>
      <c r="K287" s="311"/>
      <c r="L287" s="312"/>
      <c r="M287" s="263" t="s">
        <v>79</v>
      </c>
      <c r="Q287" s="204"/>
    </row>
    <row r="288" spans="3:18" s="99" customFormat="1" ht="47.25" customHeight="1" thickTop="1" thickBot="1" x14ac:dyDescent="0.25">
      <c r="C288" s="309"/>
      <c r="D288" s="310"/>
      <c r="E288" s="205" t="s">
        <v>80</v>
      </c>
      <c r="F288" s="206">
        <v>84809</v>
      </c>
      <c r="G288" s="207">
        <v>8.2506092849075063E-3</v>
      </c>
      <c r="H288" s="313" t="s">
        <v>101</v>
      </c>
      <c r="I288" s="314"/>
      <c r="J288" s="314"/>
      <c r="K288" s="314"/>
      <c r="L288" s="315"/>
      <c r="M288" s="263"/>
      <c r="O288" s="208"/>
      <c r="Q288" s="204"/>
    </row>
    <row r="289" spans="3:20" s="99" customFormat="1" ht="47.25" customHeight="1" thickTop="1" thickBot="1" x14ac:dyDescent="0.25">
      <c r="C289" s="309"/>
      <c r="D289" s="310"/>
      <c r="E289" s="209" t="s">
        <v>81</v>
      </c>
      <c r="F289" s="210">
        <v>48872</v>
      </c>
      <c r="G289" s="207">
        <v>-3.0395136778115228E-3</v>
      </c>
      <c r="H289" s="316" t="s">
        <v>102</v>
      </c>
      <c r="I289" s="314"/>
      <c r="J289" s="314"/>
      <c r="K289" s="314"/>
      <c r="L289" s="315"/>
      <c r="M289" s="263"/>
      <c r="O289" s="208"/>
      <c r="Q289" s="204"/>
    </row>
    <row r="290" spans="3:20" s="99" customFormat="1" ht="47.25" customHeight="1" thickTop="1" thickBot="1" x14ac:dyDescent="0.25">
      <c r="C290" s="309"/>
      <c r="D290" s="310"/>
      <c r="E290" s="205" t="s">
        <v>82</v>
      </c>
      <c r="F290" s="206">
        <v>5618</v>
      </c>
      <c r="G290" s="207">
        <v>0.17605191542809284</v>
      </c>
      <c r="H290" s="313" t="s">
        <v>103</v>
      </c>
      <c r="I290" s="314"/>
      <c r="J290" s="314"/>
      <c r="K290" s="314"/>
      <c r="L290" s="315"/>
      <c r="M290" s="263"/>
      <c r="O290" s="208"/>
      <c r="Q290" s="204"/>
    </row>
    <row r="291" spans="3:20" s="99" customFormat="1" ht="47.25" customHeight="1" thickTop="1" thickBot="1" x14ac:dyDescent="0.25">
      <c r="C291" s="309"/>
      <c r="D291" s="310"/>
      <c r="E291" s="209" t="s">
        <v>83</v>
      </c>
      <c r="F291" s="210">
        <v>517</v>
      </c>
      <c r="G291" s="207">
        <v>-7.1813285457809739E-2</v>
      </c>
      <c r="H291" s="316" t="s">
        <v>104</v>
      </c>
      <c r="I291" s="314"/>
      <c r="J291" s="314"/>
      <c r="K291" s="314"/>
      <c r="L291" s="315"/>
      <c r="M291" s="263"/>
      <c r="O291" s="208"/>
      <c r="Q291" s="204"/>
    </row>
    <row r="292" spans="3:20" s="99" customFormat="1" ht="47.25" customHeight="1" thickTop="1" thickBot="1" x14ac:dyDescent="0.25">
      <c r="C292" s="309"/>
      <c r="D292" s="310"/>
      <c r="E292" s="205" t="s">
        <v>84</v>
      </c>
      <c r="F292" s="206">
        <v>900</v>
      </c>
      <c r="G292" s="207">
        <v>-1.9607843137254943E-2</v>
      </c>
      <c r="H292" s="313" t="s">
        <v>105</v>
      </c>
      <c r="I292" s="314"/>
      <c r="J292" s="314"/>
      <c r="K292" s="314"/>
      <c r="L292" s="315"/>
      <c r="M292" s="263"/>
      <c r="O292" s="208"/>
      <c r="Q292" s="204"/>
    </row>
    <row r="293" spans="3:20" ht="5.25" customHeight="1" thickTop="1" x14ac:dyDescent="0.2">
      <c r="C293" s="59" t="s">
        <v>85</v>
      </c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211"/>
      <c r="P293" s="99"/>
      <c r="Q293" s="99"/>
      <c r="R293" s="99"/>
    </row>
    <row r="294" spans="3:20" s="1" customFormat="1" ht="18.75" customHeight="1" thickBot="1" x14ac:dyDescent="0.25"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211"/>
      <c r="P294" s="212"/>
      <c r="Q294" s="212"/>
      <c r="R294" s="212"/>
    </row>
    <row r="295" spans="3:20" ht="50.25" customHeight="1" thickBot="1" x14ac:dyDescent="0.25">
      <c r="C295" s="2"/>
      <c r="D295" s="2"/>
      <c r="E295" s="280" t="str">
        <f>E242</f>
        <v>INDICADORES TURÍSTICOS DE TENERIFE definitivo</v>
      </c>
      <c r="F295" s="280"/>
      <c r="G295" s="280"/>
      <c r="H295" s="280"/>
      <c r="I295" s="280"/>
      <c r="J295" s="280"/>
      <c r="K295" s="280"/>
      <c r="L295" s="2"/>
      <c r="M295" s="2"/>
      <c r="O295" s="99"/>
      <c r="P295" s="99"/>
      <c r="Q295" s="99"/>
      <c r="R295" s="99"/>
      <c r="S295" s="99"/>
      <c r="T295" s="99"/>
    </row>
    <row r="296" spans="3:20" ht="5.25" customHeight="1" thickBot="1" x14ac:dyDescent="0.25">
      <c r="C296" s="3"/>
      <c r="O296" s="99"/>
      <c r="P296" s="99"/>
      <c r="Q296" s="99"/>
      <c r="R296" s="99"/>
      <c r="S296" s="99"/>
      <c r="T296" s="99"/>
    </row>
    <row r="297" spans="3:20" ht="18" customHeight="1" thickBot="1" x14ac:dyDescent="0.25">
      <c r="C297" s="281" t="s">
        <v>86</v>
      </c>
      <c r="D297" s="282"/>
      <c r="E297" s="282"/>
      <c r="F297" s="282"/>
      <c r="G297" s="282"/>
      <c r="H297" s="282"/>
      <c r="I297" s="282"/>
      <c r="J297" s="282"/>
      <c r="K297" s="282"/>
      <c r="L297" s="282"/>
      <c r="M297" s="283"/>
      <c r="O297" s="99"/>
      <c r="P297" s="99"/>
      <c r="Q297" s="99"/>
      <c r="R297" s="99"/>
      <c r="S297" s="99"/>
      <c r="T297" s="99"/>
    </row>
    <row r="298" spans="3:20" ht="5.25" customHeight="1" x14ac:dyDescent="0.2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105"/>
      <c r="N298" s="186"/>
      <c r="O298" s="99"/>
      <c r="P298" s="99"/>
      <c r="Q298" s="99"/>
      <c r="R298" s="99"/>
      <c r="S298" s="99"/>
      <c r="T298" s="99"/>
    </row>
    <row r="299" spans="3:20" ht="27.75" customHeight="1" x14ac:dyDescent="0.2">
      <c r="C299" s="284" t="s">
        <v>7</v>
      </c>
      <c r="D299" s="285"/>
      <c r="E299" s="213" t="s">
        <v>8</v>
      </c>
      <c r="F299" s="23">
        <v>164366</v>
      </c>
      <c r="G299" s="214">
        <v>3.3293518576727132E-2</v>
      </c>
      <c r="H299" s="290" t="s">
        <v>106</v>
      </c>
      <c r="I299" s="290"/>
      <c r="J299" s="290"/>
      <c r="K299" s="290"/>
      <c r="L299" s="291"/>
      <c r="M299" s="263" t="s">
        <v>9</v>
      </c>
      <c r="O299" s="99"/>
      <c r="P299" s="99"/>
      <c r="Q299" s="99"/>
      <c r="R299" s="99"/>
      <c r="S299" s="99"/>
      <c r="T299" s="99"/>
    </row>
    <row r="300" spans="3:20" ht="34.5" customHeight="1" x14ac:dyDescent="0.2">
      <c r="C300" s="286"/>
      <c r="D300" s="287"/>
      <c r="E300" s="215" t="s">
        <v>87</v>
      </c>
      <c r="F300" s="30">
        <v>94536</v>
      </c>
      <c r="G300" s="94">
        <v>1.8948457608484848E-2</v>
      </c>
      <c r="H300" s="292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300" s="292"/>
      <c r="J300" s="292"/>
      <c r="K300" s="292"/>
      <c r="L300" s="293"/>
      <c r="M300" s="263"/>
      <c r="O300" s="99"/>
      <c r="P300" s="99"/>
      <c r="Q300" s="99"/>
      <c r="R300" s="99"/>
      <c r="S300" s="99"/>
      <c r="T300" s="99"/>
    </row>
    <row r="301" spans="3:20" ht="41.25" customHeight="1" thickBot="1" x14ac:dyDescent="0.25">
      <c r="C301" s="288"/>
      <c r="D301" s="289"/>
      <c r="E301" s="216" t="s">
        <v>88</v>
      </c>
      <c r="F301" s="217">
        <v>69830</v>
      </c>
      <c r="G301" s="218">
        <v>5.3369939057503091E-2</v>
      </c>
      <c r="H301" s="294" t="s">
        <v>107</v>
      </c>
      <c r="I301" s="294"/>
      <c r="J301" s="294"/>
      <c r="K301" s="294"/>
      <c r="L301" s="295"/>
      <c r="M301" s="263"/>
      <c r="Q301" s="219"/>
    </row>
    <row r="302" spans="3:20" ht="18.75" hidden="1" customHeight="1" x14ac:dyDescent="0.2">
      <c r="C302" s="296" t="s">
        <v>12</v>
      </c>
      <c r="D302" s="297"/>
      <c r="E302" s="220" t="s">
        <v>8</v>
      </c>
      <c r="F302" s="221">
        <v>3228</v>
      </c>
      <c r="G302" s="222">
        <v>0.12122264675234451</v>
      </c>
      <c r="H302" s="274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2.537, todas ellas pertenecientes a la tipología hotelera. Se registra un descenso con respecto al año anterior del 0,0%.</v>
      </c>
      <c r="I302" s="274"/>
      <c r="J302" s="274"/>
      <c r="K302" s="274"/>
      <c r="L302" s="275"/>
      <c r="M302" s="263"/>
      <c r="Q302" s="219"/>
    </row>
    <row r="303" spans="3:20" ht="48.75" customHeight="1" thickTop="1" thickBot="1" x14ac:dyDescent="0.25">
      <c r="C303" s="298"/>
      <c r="D303" s="299"/>
      <c r="E303" s="223" t="s">
        <v>87</v>
      </c>
      <c r="F303" s="224">
        <v>2537</v>
      </c>
      <c r="G303" s="218">
        <v>0</v>
      </c>
      <c r="H303" s="278"/>
      <c r="I303" s="278"/>
      <c r="J303" s="278"/>
      <c r="K303" s="278"/>
      <c r="L303" s="279"/>
      <c r="M303" s="263"/>
    </row>
    <row r="304" spans="3:20" ht="42" customHeight="1" thickTop="1" x14ac:dyDescent="0.2">
      <c r="C304" s="300" t="s">
        <v>13</v>
      </c>
      <c r="D304" s="301"/>
      <c r="E304" s="225" t="s">
        <v>8</v>
      </c>
      <c r="F304" s="226">
        <v>1571</v>
      </c>
      <c r="G304" s="222">
        <v>0.45194085027726438</v>
      </c>
      <c r="H304" s="250" t="s">
        <v>108</v>
      </c>
      <c r="I304" s="250"/>
      <c r="J304" s="250"/>
      <c r="K304" s="250"/>
      <c r="L304" s="251"/>
      <c r="M304" s="263"/>
    </row>
    <row r="305" spans="3:18" ht="34.5" customHeight="1" x14ac:dyDescent="0.2">
      <c r="C305" s="302"/>
      <c r="D305" s="303"/>
      <c r="E305" s="227" t="s">
        <v>87</v>
      </c>
      <c r="F305" s="50">
        <v>824</v>
      </c>
      <c r="G305" s="94">
        <v>0.42560553633218001</v>
      </c>
      <c r="H305" s="252" t="str">
        <f>CONCATENATE("Las plazas hoteleras estimadas se sitúan en ",FIXED(F305,0)," plazas, registrando un ",IF(G305&gt;0,"incremento del ","descenso del "),FIXED(G305*100,1),"%.")</f>
        <v>Las plazas hoteleras estimadas se sitúan en 824 plazas, registrando un incremento del 42,6%.</v>
      </c>
      <c r="I305" s="252"/>
      <c r="J305" s="252"/>
      <c r="K305" s="252"/>
      <c r="L305" s="253"/>
      <c r="M305" s="263"/>
    </row>
    <row r="306" spans="3:18" ht="34.5" customHeight="1" thickBot="1" x14ac:dyDescent="0.25">
      <c r="C306" s="304"/>
      <c r="D306" s="305"/>
      <c r="E306" s="228" t="s">
        <v>88</v>
      </c>
      <c r="F306" s="229">
        <v>747</v>
      </c>
      <c r="G306" s="218">
        <v>0.48214285714285721</v>
      </c>
      <c r="H306" s="266" t="s">
        <v>109</v>
      </c>
      <c r="I306" s="266"/>
      <c r="J306" s="266"/>
      <c r="K306" s="266"/>
      <c r="L306" s="267"/>
      <c r="M306" s="263"/>
    </row>
    <row r="307" spans="3:18" ht="39.75" customHeight="1" thickTop="1" x14ac:dyDescent="0.2">
      <c r="C307" s="268" t="s">
        <v>14</v>
      </c>
      <c r="D307" s="269"/>
      <c r="E307" s="220" t="s">
        <v>8</v>
      </c>
      <c r="F307" s="221">
        <v>29509</v>
      </c>
      <c r="G307" s="222">
        <v>5.5513824802374989E-2</v>
      </c>
      <c r="H307" s="274" t="s">
        <v>110</v>
      </c>
      <c r="I307" s="274"/>
      <c r="J307" s="274"/>
      <c r="K307" s="274"/>
      <c r="L307" s="275"/>
      <c r="M307" s="263"/>
    </row>
    <row r="308" spans="3:18" ht="34.5" customHeight="1" x14ac:dyDescent="0.2">
      <c r="C308" s="270"/>
      <c r="D308" s="271"/>
      <c r="E308" s="230" t="s">
        <v>87</v>
      </c>
      <c r="F308" s="43">
        <v>19717</v>
      </c>
      <c r="G308" s="94">
        <v>2.6820122903864263E-2</v>
      </c>
      <c r="H308" s="276" t="str">
        <f>CONCATENATE("La oferta hotelera asciende a ",FIXED(F308,0),", cifra que se ",IF(G308&gt;0,"incrementa un ","reduce un "),FIXED(G308*100,1),"% respecto al año anterior.")</f>
        <v>La oferta hotelera asciende a 19.717, cifra que se incrementa un 2,7% respecto al año anterior.</v>
      </c>
      <c r="I308" s="276"/>
      <c r="J308" s="276"/>
      <c r="K308" s="276"/>
      <c r="L308" s="277"/>
      <c r="M308" s="263"/>
    </row>
    <row r="309" spans="3:18" ht="34.5" customHeight="1" thickBot="1" x14ac:dyDescent="0.25">
      <c r="C309" s="272"/>
      <c r="D309" s="273"/>
      <c r="E309" s="223" t="s">
        <v>88</v>
      </c>
      <c r="F309" s="224">
        <v>9792</v>
      </c>
      <c r="G309" s="218">
        <v>0.11844660194174761</v>
      </c>
      <c r="H309" s="278" t="str">
        <f>CONCATENATE("Las plazas extrahoteras estimadas ascienden a ",FIXED(F309,0),", las cuales ",IF(G309&gt;0,"se incrementan un ","descienden un "),FIXED(G309*100,1),"%.")</f>
        <v>Las plazas extrahoteras estimadas ascienden a 9.792, las cuales se incrementan un 11,8%.</v>
      </c>
      <c r="I309" s="278"/>
      <c r="J309" s="278"/>
      <c r="K309" s="278"/>
      <c r="L309" s="279"/>
      <c r="M309" s="263"/>
    </row>
    <row r="310" spans="3:18" ht="34.5" customHeight="1" thickTop="1" x14ac:dyDescent="0.2">
      <c r="C310" s="246" t="s">
        <v>15</v>
      </c>
      <c r="D310" s="247"/>
      <c r="E310" s="231" t="s">
        <v>8</v>
      </c>
      <c r="F310" s="232">
        <v>130058</v>
      </c>
      <c r="G310" s="222">
        <v>2.2854536303007489E-2</v>
      </c>
      <c r="H310" s="250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130.058 experimentando un incremento interanual del 2,3%.</v>
      </c>
      <c r="I310" s="250"/>
      <c r="J310" s="250"/>
      <c r="K310" s="250"/>
      <c r="L310" s="251"/>
      <c r="M310" s="263"/>
    </row>
    <row r="311" spans="3:18" ht="34.5" customHeight="1" x14ac:dyDescent="0.2">
      <c r="C311" s="248"/>
      <c r="D311" s="249"/>
      <c r="E311" s="233" t="s">
        <v>87</v>
      </c>
      <c r="F311" s="56">
        <v>71458</v>
      </c>
      <c r="G311" s="94">
        <v>1.4149671449454226E-2</v>
      </c>
      <c r="H311" s="252" t="str">
        <f>CONCATENATE("Las plazas hoteleras, con un oferta de ",FIXED(F311,0)," plazas, se ",IF(G311&gt;0,"incrementan un ","reducen un "),FIXED(G311*100,1),"% respecto al mismo período del año anterior.")</f>
        <v>Las plazas hoteleras, con un oferta de 71.458 plazas, se incrementan un 1,4% respecto al mismo período del año anterior.</v>
      </c>
      <c r="I311" s="252"/>
      <c r="J311" s="252"/>
      <c r="K311" s="252"/>
      <c r="L311" s="253"/>
      <c r="M311" s="263"/>
    </row>
    <row r="312" spans="3:18" ht="34.5" customHeight="1" x14ac:dyDescent="0.2">
      <c r="C312" s="248"/>
      <c r="D312" s="249"/>
      <c r="E312" s="234" t="s">
        <v>88</v>
      </c>
      <c r="F312" s="235">
        <v>58600</v>
      </c>
      <c r="G312" s="236">
        <v>3.3673775378807891E-2</v>
      </c>
      <c r="H312" s="254" t="s">
        <v>111</v>
      </c>
      <c r="I312" s="254"/>
      <c r="J312" s="254"/>
      <c r="K312" s="254"/>
      <c r="L312" s="255"/>
      <c r="M312" s="263"/>
    </row>
    <row r="313" spans="3:18" ht="5.25" customHeight="1" thickBot="1" x14ac:dyDescent="0.25">
      <c r="C313" s="199"/>
      <c r="D313" s="199"/>
      <c r="E313" s="199"/>
      <c r="F313" s="199"/>
      <c r="G313" s="199"/>
      <c r="H313" s="199"/>
      <c r="I313" s="199"/>
      <c r="J313" s="199"/>
      <c r="K313" s="199"/>
      <c r="L313" s="199"/>
      <c r="M313" s="200"/>
      <c r="N313" s="186"/>
      <c r="O313" s="99"/>
      <c r="R313" s="99"/>
    </row>
    <row r="314" spans="3:18" ht="19.5" customHeight="1" thickBot="1" x14ac:dyDescent="0.25">
      <c r="C314" s="256" t="s">
        <v>89</v>
      </c>
      <c r="D314" s="257"/>
      <c r="E314" s="257"/>
      <c r="F314" s="257"/>
      <c r="G314" s="257"/>
      <c r="H314" s="257"/>
      <c r="I314" s="257"/>
      <c r="J314" s="257"/>
      <c r="K314" s="257"/>
      <c r="L314" s="257"/>
      <c r="M314" s="258"/>
      <c r="N314" s="186"/>
      <c r="O314" s="99"/>
      <c r="P314" s="99"/>
      <c r="Q314" s="99"/>
    </row>
    <row r="315" spans="3:18" ht="5.25" customHeight="1" x14ac:dyDescent="0.2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105"/>
      <c r="O315" s="99"/>
      <c r="P315" s="99"/>
      <c r="Q315" s="99"/>
    </row>
    <row r="316" spans="3:18" ht="87.75" customHeight="1" thickBot="1" x14ac:dyDescent="0.25">
      <c r="C316" s="259" t="s">
        <v>90</v>
      </c>
      <c r="D316" s="260"/>
      <c r="E316" s="237" t="s">
        <v>91</v>
      </c>
      <c r="F316" s="238">
        <v>176273</v>
      </c>
      <c r="G316" s="203">
        <v>0.56003469241457426</v>
      </c>
      <c r="H316" s="261" t="s">
        <v>112</v>
      </c>
      <c r="I316" s="261"/>
      <c r="J316" s="261"/>
      <c r="K316" s="261"/>
      <c r="L316" s="262"/>
      <c r="M316" s="263" t="s">
        <v>114</v>
      </c>
    </row>
    <row r="317" spans="3:18" ht="24" hidden="1" customHeight="1" x14ac:dyDescent="0.2">
      <c r="C317" s="259"/>
      <c r="D317" s="260"/>
      <c r="E317" s="239" t="s">
        <v>92</v>
      </c>
      <c r="F317" s="240">
        <v>0</v>
      </c>
      <c r="G317" s="241">
        <v>-1</v>
      </c>
      <c r="H317" s="264" t="s">
        <v>113</v>
      </c>
      <c r="I317" s="264"/>
      <c r="J317" s="264"/>
      <c r="K317" s="264"/>
      <c r="L317" s="265"/>
      <c r="M317" s="263"/>
    </row>
    <row r="318" spans="3:18" ht="13.5" thickTop="1" x14ac:dyDescent="0.2">
      <c r="C318" s="242"/>
      <c r="D318" s="243"/>
      <c r="E318" s="243"/>
      <c r="F318" s="243"/>
      <c r="G318" s="243"/>
      <c r="H318" s="243"/>
      <c r="I318" s="243"/>
      <c r="J318" s="243"/>
      <c r="K318" s="243"/>
      <c r="L318" s="243"/>
      <c r="M318" s="243"/>
    </row>
    <row r="319" spans="3:18" ht="29.25" customHeight="1" x14ac:dyDescent="0.2"/>
    <row r="320" spans="3:18" ht="18" customHeight="1" x14ac:dyDescent="0.2">
      <c r="C320" s="245" t="s">
        <v>93</v>
      </c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</row>
    <row r="322" spans="5:6" ht="6.75" customHeight="1" x14ac:dyDescent="0.2"/>
    <row r="324" spans="5:6" ht="8.25" customHeight="1" x14ac:dyDescent="0.2"/>
    <row r="327" spans="5:6" x14ac:dyDescent="0.2">
      <c r="E327" s="244"/>
      <c r="F327" s="244"/>
    </row>
    <row r="328" spans="5:6" x14ac:dyDescent="0.2">
      <c r="E328" s="244"/>
      <c r="F328" s="244"/>
    </row>
    <row r="331" spans="5:6" ht="21.75" customHeight="1" x14ac:dyDescent="0.2"/>
    <row r="333" spans="5:6" ht="6" customHeight="1" x14ac:dyDescent="0.2"/>
  </sheetData>
  <mergeCells count="163"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G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</mergeCells>
  <conditionalFormatting sqref="D190:D212 F190:F212 H190:H212 J190:J212 L190:L212 N190:N212 D218:D240 F218:F240 H218:H240 J218:J240 L218:L240 N218:N240 P190:P212 P218:P240 G9:G10 G15:G23">
    <cfRule type="cellIs" dxfId="263" priority="262" stopIfTrue="1" operator="greaterThan">
      <formula>0</formula>
    </cfRule>
    <cfRule type="cellIs" dxfId="262" priority="263" stopIfTrue="1" operator="lessThan">
      <formula>0</formula>
    </cfRule>
    <cfRule type="cellIs" dxfId="261" priority="264" stopIfTrue="1" operator="equal">
      <formula>0</formula>
    </cfRule>
  </conditionalFormatting>
  <conditionalFormatting sqref="G9:G10 G15:G23">
    <cfRule type="cellIs" dxfId="260" priority="259" operator="equal">
      <formula>0</formula>
    </cfRule>
    <cfRule type="cellIs" dxfId="259" priority="260" operator="lessThan">
      <formula>0</formula>
    </cfRule>
    <cfRule type="cellIs" dxfId="258" priority="261" operator="greaterThan">
      <formula>0</formula>
    </cfRule>
  </conditionalFormatting>
  <conditionalFormatting sqref="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316:G317 G299:G312 G287:G289 L110:L114 G110:G114 L102:L106 G102:G106 L94:L98 G94:G98 L87:L90 G86:G90 L9:L11 L15:L23">
    <cfRule type="cellIs" dxfId="251" priority="247" operator="equal">
      <formula>0</formula>
    </cfRule>
    <cfRule type="cellIs" dxfId="250" priority="248" operator="lessThan">
      <formula>0</formula>
    </cfRule>
    <cfRule type="cellIs" dxfId="249" priority="249" operator="greaterThan">
      <formula>0</formula>
    </cfRule>
  </conditionalFormatting>
  <conditionalFormatting sqref="G316:G317 G299:G312 G287:G289 L110:L114 G110:G114 L102:L106 G102:G106 L94:L98 G94:G98 L87:L90 G86:G90 L9:L11 L15:L23">
    <cfRule type="cellIs" dxfId="248" priority="250" stopIfTrue="1" operator="greaterThan">
      <formula>0</formula>
    </cfRule>
    <cfRule type="cellIs" dxfId="247" priority="251" stopIfTrue="1" operator="lessThan">
      <formula>0</formula>
    </cfRule>
    <cfRule type="cellIs" dxfId="246" priority="252" stopIfTrue="1" operator="equal">
      <formula>0</formula>
    </cfRule>
  </conditionalFormatting>
  <conditionalFormatting sqref="G27:G28 G33:G41">
    <cfRule type="cellIs" dxfId="245" priority="196" stopIfTrue="1" operator="greaterThan">
      <formula>0</formula>
    </cfRule>
    <cfRule type="cellIs" dxfId="244" priority="197" stopIfTrue="1" operator="lessThan">
      <formula>0</formula>
    </cfRule>
    <cfRule type="cellIs" dxfId="243" priority="198" stopIfTrue="1" operator="equal">
      <formula>0</formula>
    </cfRule>
  </conditionalFormatting>
  <conditionalFormatting sqref="G27:G28 G33:G41">
    <cfRule type="cellIs" dxfId="242" priority="193" operator="equal">
      <formula>0</formula>
    </cfRule>
    <cfRule type="cellIs" dxfId="241" priority="194" operator="lessThan">
      <formula>0</formula>
    </cfRule>
    <cfRule type="cellIs" dxfId="240" priority="195" operator="greaterThan">
      <formula>0</formula>
    </cfRule>
  </conditionalFormatting>
  <conditionalFormatting sqref="G45:G47 G51:G59">
    <cfRule type="cellIs" dxfId="239" priority="238" stopIfTrue="1" operator="greaterThan">
      <formula>0</formula>
    </cfRule>
    <cfRule type="cellIs" dxfId="238" priority="239" stopIfTrue="1" operator="lessThan">
      <formula>0</formula>
    </cfRule>
    <cfRule type="cellIs" dxfId="237" priority="240" stopIfTrue="1" operator="equal">
      <formula>0</formula>
    </cfRule>
  </conditionalFormatting>
  <conditionalFormatting sqref="G45:G47 G51:G59">
    <cfRule type="cellIs" dxfId="236" priority="235" operator="equal">
      <formula>0</formula>
    </cfRule>
    <cfRule type="cellIs" dxfId="235" priority="236" operator="lessThan">
      <formula>0</formula>
    </cfRule>
    <cfRule type="cellIs" dxfId="234" priority="237" operator="greaterThan">
      <formula>0</formula>
    </cfRule>
  </conditionalFormatting>
  <conditionalFormatting sqref="G46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6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L27:L29 L33:L41">
    <cfRule type="cellIs" dxfId="227" priority="241" operator="equal">
      <formula>0</formula>
    </cfRule>
    <cfRule type="cellIs" dxfId="226" priority="242" operator="lessThan">
      <formula>0</formula>
    </cfRule>
    <cfRule type="cellIs" dxfId="225" priority="243" operator="greaterThan">
      <formula>0</formula>
    </cfRule>
  </conditionalFormatting>
  <conditionalFormatting sqref="L27:L29 L33:L41">
    <cfRule type="cellIs" dxfId="224" priority="244" stopIfTrue="1" operator="greaterThan">
      <formula>0</formula>
    </cfRule>
    <cfRule type="cellIs" dxfId="223" priority="245" stopIfTrue="1" operator="lessThan">
      <formula>0</formula>
    </cfRule>
    <cfRule type="cellIs" dxfId="222" priority="246" stopIfTrue="1" operator="equal">
      <formula>0</formula>
    </cfRule>
  </conditionalFormatting>
  <conditionalFormatting sqref="L45:L47 L51:L59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45:L47 L51:L59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68:G70 G74:G82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68:G70 G74:G82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69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9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L68:L70 L74:L82">
    <cfRule type="cellIs" dxfId="203" priority="205" operator="equal">
      <formula>0</formula>
    </cfRule>
    <cfRule type="cellIs" dxfId="202" priority="206" operator="lessThan">
      <formula>0</formula>
    </cfRule>
    <cfRule type="cellIs" dxfId="201" priority="207" operator="greaterThan">
      <formula>0</formula>
    </cfRule>
  </conditionalFormatting>
  <conditionalFormatting sqref="L68:L70 L74:L82">
    <cfRule type="cellIs" dxfId="200" priority="208" stopIfTrue="1" operator="greaterThan">
      <formula>0</formula>
    </cfRule>
    <cfRule type="cellIs" dxfId="199" priority="209" stopIfTrue="1" operator="lessThan">
      <formula>0</formula>
    </cfRule>
    <cfRule type="cellIs" dxfId="198" priority="210" stopIfTrue="1" operator="equal">
      <formula>0</formula>
    </cfRule>
  </conditionalFormatting>
  <conditionalFormatting sqref="G11">
    <cfRule type="cellIs" dxfId="197" priority="202" stopIfTrue="1" operator="greaterThan">
      <formula>0</formula>
    </cfRule>
    <cfRule type="cellIs" dxfId="196" priority="203" stopIfTrue="1" operator="lessThan">
      <formula>0</formula>
    </cfRule>
    <cfRule type="cellIs" dxfId="195" priority="204" stopIfTrue="1" operator="equal">
      <formula>0</formula>
    </cfRule>
  </conditionalFormatting>
  <conditionalFormatting sqref="G11">
    <cfRule type="cellIs" dxfId="194" priority="199" operator="equal">
      <formula>0</formula>
    </cfRule>
    <cfRule type="cellIs" dxfId="193" priority="200" operator="lessThan">
      <formula>0</formula>
    </cfRule>
    <cfRule type="cellIs" dxfId="192" priority="201" operator="greaterThan">
      <formula>0</formula>
    </cfRule>
  </conditionalFormatting>
  <conditionalFormatting sqref="G28 G33:G41">
    <cfRule type="cellIs" dxfId="191" priority="190" stopIfTrue="1" operator="greaterThan">
      <formula>0</formula>
    </cfRule>
    <cfRule type="cellIs" dxfId="190" priority="191" stopIfTrue="1" operator="lessThan">
      <formula>0</formula>
    </cfRule>
    <cfRule type="cellIs" dxfId="189" priority="192" stopIfTrue="1" operator="equal">
      <formula>0</formula>
    </cfRule>
  </conditionalFormatting>
  <conditionalFormatting sqref="G28 G33:G41">
    <cfRule type="cellIs" dxfId="188" priority="187" operator="equal">
      <formula>0</formula>
    </cfRule>
    <cfRule type="cellIs" dxfId="187" priority="188" operator="lessThan">
      <formula>0</formula>
    </cfRule>
    <cfRule type="cellIs" dxfId="186" priority="189" operator="greaterThan">
      <formula>0</formula>
    </cfRule>
  </conditionalFormatting>
  <conditionalFormatting sqref="G29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9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E124:E149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E124:E149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G124:G149 I124:I149 K124:K149 M124:M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G124:G149 I124:I149 K124:K149 M124:M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E156:E181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E156:E181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G156:G181 I156:I181 K156:K181 M156:M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G156:G181 I156:I181 K156:K181 M156:M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L86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86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12:G13">
    <cfRule type="cellIs" dxfId="149" priority="148" stopIfTrue="1" operator="greaterThan">
      <formula>0</formula>
    </cfRule>
    <cfRule type="cellIs" dxfId="148" priority="149" stopIfTrue="1" operator="lessThan">
      <formula>0</formula>
    </cfRule>
    <cfRule type="cellIs" dxfId="147" priority="150" stopIfTrue="1" operator="equal">
      <formula>0</formula>
    </cfRule>
  </conditionalFormatting>
  <conditionalFormatting sqref="G12:G13">
    <cfRule type="cellIs" dxfId="146" priority="145" operator="equal">
      <formula>0</formula>
    </cfRule>
    <cfRule type="cellIs" dxfId="145" priority="146" operator="lessThan">
      <formula>0</formula>
    </cfRule>
    <cfRule type="cellIs" dxfId="144" priority="147" operator="greaterThan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L12:L13">
    <cfRule type="cellIs" dxfId="137" priority="133" operator="equal">
      <formula>0</formula>
    </cfRule>
    <cfRule type="cellIs" dxfId="136" priority="134" operator="lessThan">
      <formula>0</formula>
    </cfRule>
    <cfRule type="cellIs" dxfId="135" priority="135" operator="greaterThan">
      <formula>0</formula>
    </cfRule>
  </conditionalFormatting>
  <conditionalFormatting sqref="L12:L13">
    <cfRule type="cellIs" dxfId="134" priority="136" stopIfTrue="1" operator="greaterThan">
      <formula>0</formula>
    </cfRule>
    <cfRule type="cellIs" dxfId="133" priority="137" stopIfTrue="1" operator="lessThan">
      <formula>0</formula>
    </cfRule>
    <cfRule type="cellIs" dxfId="132" priority="138" stopIfTrue="1" operator="equal">
      <formula>0</formula>
    </cfRule>
  </conditionalFormatting>
  <conditionalFormatting sqref="G30:G31">
    <cfRule type="cellIs" dxfId="131" priority="124" stopIfTrue="1" operator="greaterThan">
      <formula>0</formula>
    </cfRule>
    <cfRule type="cellIs" dxfId="130" priority="125" stopIfTrue="1" operator="lessThan">
      <formula>0</formula>
    </cfRule>
    <cfRule type="cellIs" dxfId="129" priority="126" stopIfTrue="1" operator="equal">
      <formula>0</formula>
    </cfRule>
  </conditionalFormatting>
  <conditionalFormatting sqref="G30:G31">
    <cfRule type="cellIs" dxfId="128" priority="121" operator="equal">
      <formula>0</formula>
    </cfRule>
    <cfRule type="cellIs" dxfId="127" priority="122" operator="lessThan">
      <formula>0</formula>
    </cfRule>
    <cfRule type="cellIs" dxfId="126" priority="123" operator="greaterThan">
      <formula>0</formula>
    </cfRule>
  </conditionalFormatting>
  <conditionalFormatting sqref="L30:L31">
    <cfRule type="cellIs" dxfId="125" priority="127" operator="equal">
      <formula>0</formula>
    </cfRule>
    <cfRule type="cellIs" dxfId="124" priority="128" operator="lessThan">
      <formula>0</formula>
    </cfRule>
    <cfRule type="cellIs" dxfId="123" priority="129" operator="greaterThan">
      <formula>0</formula>
    </cfRule>
  </conditionalFormatting>
  <conditionalFormatting sqref="L30:L31">
    <cfRule type="cellIs" dxfId="122" priority="130" stopIfTrue="1" operator="greaterThan">
      <formula>0</formula>
    </cfRule>
    <cfRule type="cellIs" dxfId="121" priority="131" stopIfTrue="1" operator="lessThan">
      <formula>0</formula>
    </cfRule>
    <cfRule type="cellIs" dxfId="120" priority="132" stopIfTrue="1" operator="equal">
      <formula>0</formula>
    </cfRule>
  </conditionalFormatting>
  <conditionalFormatting sqref="G30:G31">
    <cfRule type="cellIs" dxfId="119" priority="118" stopIfTrue="1" operator="greaterThan">
      <formula>0</formula>
    </cfRule>
    <cfRule type="cellIs" dxfId="118" priority="119" stopIfTrue="1" operator="lessThan">
      <formula>0</formula>
    </cfRule>
    <cfRule type="cellIs" dxfId="117" priority="120" stopIfTrue="1" operator="equal">
      <formula>0</formula>
    </cfRule>
  </conditionalFormatting>
  <conditionalFormatting sqref="G30:G31">
    <cfRule type="cellIs" dxfId="116" priority="115" operator="equal">
      <formula>0</formula>
    </cfRule>
    <cfRule type="cellIs" dxfId="115" priority="116" operator="lessThan">
      <formula>0</formula>
    </cfRule>
    <cfRule type="cellIs" dxfId="114" priority="117" operator="greaterThan">
      <formula>0</formula>
    </cfRule>
  </conditionalFormatting>
  <conditionalFormatting sqref="G48:G49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48:G49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48:L49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48:L49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71:G72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71:G72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71:L72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71:L72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14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14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14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14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32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32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32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32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50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50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50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50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73">
    <cfRule type="cellIs" dxfId="23" priority="22" stopIfTrue="1" operator="greaterThan">
      <formula>0</formula>
    </cfRule>
    <cfRule type="cellIs" dxfId="22" priority="23" stopIfTrue="1" operator="lessThan">
      <formula>0</formula>
    </cfRule>
    <cfRule type="cellIs" dxfId="21" priority="24" stopIfTrue="1" operator="equal">
      <formula>0</formula>
    </cfRule>
  </conditionalFormatting>
  <conditionalFormatting sqref="G73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L73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L73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90:G292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90:G292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febrero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2018-03-23T12:15:41+00:00</PublishingStartDate>
    <_dlc_DocId xmlns="8b099203-c902-4a5b-992f-1f849b15ff82">Q5F7QW3RQ55V-2035-377</_dlc_DocId>
    <_dlc_DocIdUrl xmlns="8b099203-c902-4a5b-992f-1f849b15ff82">
      <Url>http://admin.webtenerife.com/es/investigacion/Situacion-turistica/indicadores-turisticos/_layouts/DocIdRedir.aspx?ID=Q5F7QW3RQ55V-2035-377</Url>
      <Description>Q5F7QW3RQ55V-2035-377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60A9D-CE2E-4012-B94F-FC4CCB99C6D6}"/>
</file>

<file path=customXml/itemProps2.xml><?xml version="1.0" encoding="utf-8"?>
<ds:datastoreItem xmlns:ds="http://schemas.openxmlformats.org/officeDocument/2006/customXml" ds:itemID="{826C83B8-BC8E-41D2-8133-304DD857104E}"/>
</file>

<file path=customXml/itemProps3.xml><?xml version="1.0" encoding="utf-8"?>
<ds:datastoreItem xmlns:ds="http://schemas.openxmlformats.org/officeDocument/2006/customXml" ds:itemID="{8D069DE4-42AD-47D7-B83F-854E39AE5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2018</vt:lpstr>
      <vt:lpstr>'febrero 2018'!Área_de_impresión</vt:lpstr>
      <vt:lpstr>'febrero 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(febrero y acumulado 2018)</dc:title>
  <dc:creator>Manuela Rabaneda</dc:creator>
  <cp:lastModifiedBy>Manuela Rabaneda</cp:lastModifiedBy>
  <dcterms:created xsi:type="dcterms:W3CDTF">2018-03-22T15:52:59Z</dcterms:created>
  <dcterms:modified xsi:type="dcterms:W3CDTF">2018-03-22T15:58:10Z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66a4cfa9-c690-400e-9a44-84a0502414c1</vt:lpwstr>
  </property>
</Properties>
</file>