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I:\INVESTIGACION\BOLETIN ESTADÍSTICO SPET\INDICADORES TURISTICOS DE TENERIFE\2017\"/>
    </mc:Choice>
  </mc:AlternateContent>
  <bookViews>
    <workbookView xWindow="0" yWindow="0" windowWidth="28800" windowHeight="10560"/>
  </bookViews>
  <sheets>
    <sheet name="Ind turísticos verano" sheetId="1" r:id="rId1"/>
  </sheets>
  <externalReferences>
    <externalReference r:id="rId2"/>
  </externalReferences>
  <definedNames>
    <definedName name="_xlnm.Print_Area" localSheetId="0">'Ind turísticos verano'!$C$1:$M$315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verano'!$C$1:$M$317</definedName>
    <definedName name="Z_B161D6A3_44F3_469D_B50D_76D907B3525C_.wvu.Cols" localSheetId="0" hidden="1">'Ind turísticos verano'!#REF!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6" i="1" l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Q226" i="1"/>
  <c r="P226" i="1"/>
  <c r="O226" i="1"/>
  <c r="N226" i="1"/>
  <c r="M226" i="1"/>
  <c r="K226" i="1"/>
  <c r="J226" i="1"/>
  <c r="I226" i="1"/>
  <c r="H226" i="1"/>
  <c r="G226" i="1"/>
  <c r="F226" i="1"/>
  <c r="E226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Q208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Q198" i="1"/>
  <c r="P198" i="1"/>
  <c r="O198" i="1"/>
  <c r="N198" i="1"/>
  <c r="M198" i="1"/>
  <c r="K198" i="1"/>
  <c r="J198" i="1"/>
  <c r="I198" i="1"/>
  <c r="H198" i="1"/>
  <c r="G198" i="1"/>
  <c r="F198" i="1"/>
  <c r="E198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3" i="1"/>
  <c r="M61" i="1"/>
  <c r="L61" i="1"/>
  <c r="K61" i="1"/>
  <c r="J61" i="1"/>
  <c r="I61" i="1"/>
  <c r="G61" i="1"/>
  <c r="F61" i="1"/>
  <c r="E61" i="1"/>
  <c r="D61" i="1"/>
  <c r="C61" i="1"/>
  <c r="G116" i="1"/>
  <c r="G276" i="1" l="1"/>
  <c r="G278" i="1"/>
  <c r="H305" i="1"/>
  <c r="H297" i="1"/>
  <c r="H300" i="1"/>
  <c r="H304" i="1"/>
  <c r="G275" i="1"/>
  <c r="G277" i="1"/>
  <c r="G279" i="1"/>
  <c r="H303" i="1"/>
  <c r="H295" i="1"/>
  <c r="H306" i="1"/>
  <c r="E180" i="1"/>
  <c r="E238" i="1"/>
  <c r="E290" i="1" s="1"/>
  <c r="E113" i="1"/>
  <c r="C211" i="1"/>
  <c r="G148" i="1"/>
  <c r="I59" i="1"/>
</calcChain>
</file>

<file path=xl/sharedStrings.xml><?xml version="1.0" encoding="utf-8"?>
<sst xmlns="http://schemas.openxmlformats.org/spreadsheetml/2006/main" count="572" uniqueCount="112">
  <si>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</si>
  <si>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</si>
  <si>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</si>
  <si>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</si>
  <si>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</si>
  <si>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</si>
  <si>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</si>
  <si>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</si>
  <si>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</si>
  <si>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</si>
  <si>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</si>
  <si>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</si>
  <si>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</si>
  <si>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</si>
  <si>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</si>
  <si>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</si>
  <si>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</si>
  <si>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</si>
  <si>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</si>
  <si>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</si>
  <si>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</si>
  <si>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</si>
  <si>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</si>
  <si>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</si>
  <si>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</si>
  <si>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</si>
  <si>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</si>
  <si>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</si>
  <si>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</si>
  <si>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</si>
  <si>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</si>
  <si>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</si>
  <si>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</si>
  <si>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</si>
  <si>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</si>
  <si>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</si>
  <si>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</si>
  <si>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</si>
  <si>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</si>
  <si>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</si>
  <si>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</si>
  <si>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</si>
  <si>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</si>
  <si>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</si>
  <si>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</si>
  <si>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</si>
  <si>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</si>
  <si>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</si>
  <si>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</si>
  <si>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</si>
  <si>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</si>
  <si>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</si>
  <si>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</si>
  <si>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</si>
  <si>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</si>
  <si>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</si>
  <si>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</si>
  <si>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</si>
  <si>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</si>
  <si>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</si>
  <si>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</si>
  <si>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</si>
  <si>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</si>
  <si>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</si>
  <si>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</si>
  <si>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</si>
  <si>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</si>
  <si>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</si>
  <si>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</si>
  <si>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</si>
  <si>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</si>
  <si>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</si>
  <si>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</si>
  <si>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</si>
  <si>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</si>
  <si>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</si>
  <si>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</si>
  <si>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</si>
  <si>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</si>
  <si>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</si>
  <si>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</si>
  <si>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</si>
  <si>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</si>
  <si>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</si>
  <si>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</si>
  <si>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</si>
  <si>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</si>
  <si>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</si>
  <si>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</si>
  <si>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</si>
  <si>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</si>
  <si>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</si>
  <si>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</si>
  <si>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septiembre 2017</t>
  </si>
  <si>
    <t>Muestra hotelera= 94,0%;   Muestra extrahotelera= 65,2%;   Muestra total= 81,9%</t>
  </si>
  <si>
    <t>El gasto medio total por turista en el primer semestre de 2017 ha ascendido a 1.061€ .</t>
  </si>
  <si>
    <t>I semestre 2017 
Encuesta al Turismo Receptivo del Cabildo de Tenerife</t>
  </si>
  <si>
    <t>El número de plazas autorizadas por Policía Turística a fecha de septiembre 2017 asciendían a 137.532 plazas, registrando un incremento del 0,7% respecto al cierre del año 2016.</t>
  </si>
  <si>
    <t>Las plazas hoteleras autorizadas ascienden a 84.105 y representan el 61% del total. Con respecto al año 2016, las plazas hoteleras se reducen un -0,5%.</t>
  </si>
  <si>
    <t>Las plazas extrahoteleras autorizadas, el 38% del total, ascienden a  51.952 (no incluye oferta rural). Aumentan un +2,8% respecto al cierre de 2016.</t>
  </si>
  <si>
    <t>Las plazas de hoteles rurales autorizadas por Policía Turística ascienden a 557, con un incremento del 0,0% respecto a 2016.</t>
  </si>
  <si>
    <t>Las plazas de casas rurales autorizadas por Policía Turística ascienden a 918, registrando un incremento del 1,5% respecto a 2016.</t>
  </si>
  <si>
    <t>Las plazas estimadas por el STDE del Cabildo de Tenerife en el II semestre de 2017 ascienden a 160.825. Se incremantan un 1,6% respecto al mismo período del año anterior.</t>
  </si>
  <si>
    <t>La oferta extrahotelera estimada por el STDE del Cabildo de Tenerife en el II semestre de 2017, asciende a 67.397 plazas, incluyendo oferta rural. Supone el 41,9% del total de las plazas turísticas, registrando un incremento del 2,5%.</t>
  </si>
  <si>
    <t>Las plazas estimadas para la zona de La Laguna, Bajamar, La Punta ascienden a 1.418 en el II semestre de 2017, registrando un incremento respecto al mismo periodo del año anterior del 42,8%.</t>
  </si>
  <si>
    <t>Las plazas extrahoteleras se estiman en 594, registrándose un incremento del 43,1% respecto al II semestre del año anterior.</t>
  </si>
  <si>
    <t>Las plazas totales estimadas para la zona Norte se sitúan en las 28.590 plazas,  registrándose un incremento del 5,6% con respecto al incremento del 43,1% respecto al II semestre del año anterior.</t>
  </si>
  <si>
    <t>Las plazas extrahoteleras estimadas se sitúan en las 57.413 en el II semestre del  2017, con un incremento del 1,8%  respecto al II semestre del año anterior.</t>
  </si>
  <si>
    <t>Por el Puerto de Santa Cruz de Tenerife han pasado en los primeros ocho meses del año 2017, 267.828 cruceristas, un -16,8% menos en comparación al mismo período del año 2016</t>
  </si>
  <si>
    <t>El número de buques de crucero en el Puerto de Santa Cruz de Tenerife hasta agosto 2017 ascienden a un total de 137 cruceros, cifra que se reduce un -12,7% respecto al mismo período del año anterior.</t>
  </si>
  <si>
    <t>Acumulado agosto 2017
FUENTE: Autoridad Portuaria de S/C de Tenerife</t>
  </si>
  <si>
    <t>verano 17 (jul-sep)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</si>
</sst>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49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/>
      <top/>
      <bottom/>
      <diagonal/>
    </border>
    <border>
      <left/>
      <right style="thick">
        <color theme="0" tint="-4.9989318521683403E-2"/>
      </right>
      <top/>
      <bottom/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medium">
        <color theme="9"/>
      </bottom>
      <diagonal/>
    </border>
    <border>
      <left style="medium">
        <color theme="0" tint="-4.9989318521683403E-2"/>
      </left>
      <right/>
      <top/>
      <bottom style="medium">
        <color theme="9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medium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medium">
        <color theme="9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medium">
        <color theme="9"/>
      </bottom>
      <diagonal/>
    </border>
    <border>
      <left/>
      <right style="thick">
        <color theme="0" tint="-0.14990691854609822"/>
      </right>
      <top/>
      <bottom style="medium">
        <color theme="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97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3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95" xfId="0" applyFont="1" applyFill="1" applyBorder="1" applyAlignment="1" applyProtection="1">
      <alignment horizontal="left" vertical="center" wrapText="1"/>
      <protection hidden="1"/>
    </xf>
    <xf numFmtId="0" fontId="2" fillId="7" borderId="0" xfId="0" applyFont="1" applyFill="1" applyBorder="1" applyAlignment="1" applyProtection="1">
      <alignment horizontal="left" vertical="center" wrapText="1"/>
      <protection hidden="1"/>
    </xf>
    <xf numFmtId="0" fontId="2" fillId="7" borderId="96" xfId="0" applyFont="1" applyFill="1" applyBorder="1" applyAlignment="1" applyProtection="1">
      <alignment horizontal="left" vertical="center" wrapText="1"/>
      <protection hidden="1"/>
    </xf>
    <xf numFmtId="0" fontId="12" fillId="0" borderId="97" xfId="0" applyFont="1" applyFill="1" applyBorder="1" applyAlignment="1" applyProtection="1">
      <alignment horizontal="center" vertical="center" wrapText="1"/>
      <protection hidden="1"/>
    </xf>
    <xf numFmtId="0" fontId="12" fillId="7" borderId="98" xfId="0" applyFont="1" applyFill="1" applyBorder="1" applyAlignment="1" applyProtection="1">
      <alignment horizontal="center" vertical="center" wrapText="1"/>
      <protection hidden="1"/>
    </xf>
    <xf numFmtId="0" fontId="12" fillId="7" borderId="99" xfId="0" applyFont="1" applyFill="1" applyBorder="1" applyAlignment="1" applyProtection="1">
      <alignment horizontal="center" vertical="center" wrapText="1"/>
      <protection hidden="1"/>
    </xf>
    <xf numFmtId="3" fontId="10" fillId="7" borderId="9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3" fontId="10" fillId="7" borderId="10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2" xfId="0" applyFont="1" applyFill="1" applyBorder="1" applyAlignment="1" applyProtection="1">
      <alignment horizontal="center" vertical="center" wrapText="1"/>
      <protection hidden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3" fontId="10" fillId="0" borderId="10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95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96" xfId="0" applyFont="1" applyFill="1" applyBorder="1" applyAlignment="1" applyProtection="1">
      <alignment horizontal="left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0" fontId="12" fillId="0" borderId="99" xfId="0" applyFont="1" applyFill="1" applyBorder="1" applyAlignment="1" applyProtection="1">
      <alignment horizontal="center" vertical="center" wrapText="1"/>
      <protection hidden="1"/>
    </xf>
    <xf numFmtId="3" fontId="10" fillId="0" borderId="99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0" fontId="12" fillId="0" borderId="105" xfId="0" applyFont="1" applyFill="1" applyBorder="1" applyAlignment="1" applyProtection="1">
      <alignment horizontal="center" vertical="center" wrapText="1"/>
      <protection hidden="1"/>
    </xf>
    <xf numFmtId="3" fontId="10" fillId="0" borderId="105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106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5" borderId="107" xfId="0" applyFont="1" applyFill="1" applyBorder="1" applyAlignment="1" applyProtection="1">
      <alignment horizontal="center" vertical="center" wrapText="1"/>
      <protection hidden="1"/>
    </xf>
    <xf numFmtId="3" fontId="10" fillId="5" borderId="10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8" xfId="1" applyNumberFormat="1" applyFont="1" applyFill="1" applyBorder="1" applyAlignment="1" applyProtection="1">
      <alignment horizontal="center" vertical="center" wrapText="1"/>
      <protection hidden="1"/>
    </xf>
    <xf numFmtId="0" fontId="2" fillId="5" borderId="108" xfId="0" applyFont="1" applyFill="1" applyBorder="1" applyAlignment="1" applyProtection="1">
      <alignment horizontal="left" vertical="center" wrapText="1"/>
      <protection hidden="1"/>
    </xf>
    <xf numFmtId="0" fontId="2" fillId="5" borderId="109" xfId="0" applyFont="1" applyFill="1" applyBorder="1" applyAlignment="1" applyProtection="1">
      <alignment horizontal="left" vertical="center" wrapText="1"/>
      <protection hidden="1"/>
    </xf>
    <xf numFmtId="164" fontId="2" fillId="0" borderId="0" xfId="1" applyNumberFormat="1" applyFont="1"/>
    <xf numFmtId="0" fontId="12" fillId="0" borderId="110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left" vertical="center" wrapText="1"/>
      <protection hidden="1"/>
    </xf>
    <xf numFmtId="0" fontId="0" fillId="0" borderId="111" xfId="0" applyBorder="1" applyAlignment="1">
      <alignment horizontal="left" vertical="center" wrapText="1"/>
    </xf>
    <xf numFmtId="0" fontId="0" fillId="0" borderId="112" xfId="0" applyBorder="1" applyAlignment="1">
      <alignment horizontal="left" vertical="center" wrapText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0" xfId="0" applyFont="1" applyFill="1" applyBorder="1" applyAlignment="1" applyProtection="1">
      <alignment horizontal="center" vertical="center" wrapText="1"/>
      <protection hidden="1"/>
    </xf>
    <xf numFmtId="3" fontId="10" fillId="7" borderId="111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11" xfId="0" applyFont="1" applyFill="1" applyBorder="1" applyAlignment="1" applyProtection="1">
      <alignment horizontal="left" vertical="center" wrapText="1"/>
      <protection hidden="1"/>
    </xf>
    <xf numFmtId="0" fontId="12" fillId="7" borderId="113" xfId="0" applyFont="1" applyFill="1" applyBorder="1" applyAlignment="1" applyProtection="1">
      <alignment horizontal="center" vertical="center" wrapText="1"/>
      <protection hidden="1"/>
    </xf>
    <xf numFmtId="3" fontId="10" fillId="7" borderId="11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4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14" xfId="0" applyFont="1" applyFill="1" applyBorder="1" applyAlignment="1" applyProtection="1">
      <alignment horizontal="left" vertical="center" wrapText="1"/>
      <protection hidden="1"/>
    </xf>
    <xf numFmtId="0" fontId="0" fillId="0" borderId="114" xfId="0" applyBorder="1" applyAlignment="1">
      <alignment horizontal="left" vertical="center" wrapText="1"/>
    </xf>
    <xf numFmtId="0" fontId="0" fillId="0" borderId="115" xfId="0" applyBorder="1" applyAlignment="1">
      <alignment horizontal="left" vertical="center" wrapText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16" xfId="0" applyFont="1" applyFill="1" applyBorder="1" applyAlignment="1" applyProtection="1">
      <alignment horizontal="center" vertical="center" wrapText="1"/>
      <protection hidden="1"/>
    </xf>
    <xf numFmtId="0" fontId="8" fillId="5" borderId="117" xfId="0" applyFont="1" applyFill="1" applyBorder="1" applyAlignment="1" applyProtection="1">
      <alignment horizontal="center" vertical="center" wrapText="1"/>
      <protection hidden="1"/>
    </xf>
    <xf numFmtId="0" fontId="8" fillId="5" borderId="118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19" xfId="0" applyFont="1" applyFill="1" applyBorder="1" applyAlignment="1" applyProtection="1">
      <alignment horizontal="justify" vertical="center" wrapText="1"/>
      <protection hidden="1"/>
    </xf>
    <xf numFmtId="0" fontId="8" fillId="5" borderId="120" xfId="0" applyFont="1" applyFill="1" applyBorder="1" applyAlignment="1" applyProtection="1">
      <alignment horizontal="center"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0" fontId="8" fillId="5" borderId="122" xfId="0" applyFont="1" applyFill="1" applyBorder="1" applyAlignment="1" applyProtection="1">
      <alignment horizontal="center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3" xfId="0" applyFont="1" applyFill="1" applyBorder="1" applyAlignment="1" applyProtection="1">
      <alignment horizontal="justify" vertical="center" wrapText="1"/>
      <protection hidden="1"/>
    </xf>
    <xf numFmtId="0" fontId="8" fillId="5" borderId="124" xfId="0" applyFont="1" applyFill="1" applyBorder="1" applyAlignment="1" applyProtection="1">
      <alignment horizontal="center" vertical="center" wrapText="1"/>
      <protection hidden="1"/>
    </xf>
    <xf numFmtId="0" fontId="8" fillId="5" borderId="125" xfId="0" applyFont="1" applyFill="1" applyBorder="1" applyAlignment="1" applyProtection="1">
      <alignment horizontal="center" vertical="center" wrapText="1"/>
      <protection hidden="1"/>
    </xf>
    <xf numFmtId="0" fontId="8" fillId="5" borderId="126" xfId="0" applyFont="1" applyFill="1" applyBorder="1" applyAlignment="1" applyProtection="1">
      <alignment horizontal="center" vertical="center" wrapText="1"/>
      <protection hidden="1"/>
    </xf>
    <xf numFmtId="3" fontId="9" fillId="5" borderId="12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27" xfId="1" applyNumberFormat="1" applyFont="1" applyFill="1" applyBorder="1" applyAlignment="1" applyProtection="1">
      <alignment horizontal="center" vertical="center" wrapText="1"/>
      <protection hidden="1"/>
    </xf>
    <xf numFmtId="0" fontId="20" fillId="5" borderId="127" xfId="0" applyFont="1" applyFill="1" applyBorder="1" applyAlignment="1" applyProtection="1">
      <alignment horizontal="justify" vertical="center" wrapText="1"/>
      <protection hidden="1"/>
    </xf>
    <xf numFmtId="0" fontId="20" fillId="5" borderId="128" xfId="0" applyFont="1" applyFill="1" applyBorder="1" applyAlignment="1" applyProtection="1">
      <alignment horizontal="justify" vertical="center" wrapText="1"/>
      <protection hidden="1"/>
    </xf>
    <xf numFmtId="0" fontId="2" fillId="0" borderId="0" xfId="2" applyFont="1"/>
    <xf numFmtId="0" fontId="12" fillId="0" borderId="129" xfId="0" applyFont="1" applyFill="1" applyBorder="1" applyAlignment="1" applyProtection="1">
      <alignment horizontal="center" vertical="center" wrapText="1"/>
      <protection hidden="1"/>
    </xf>
    <xf numFmtId="0" fontId="12" fillId="0" borderId="130" xfId="0" applyFont="1" applyFill="1" applyBorder="1" applyAlignment="1" applyProtection="1">
      <alignment horizontal="center" vertical="center" wrapText="1"/>
      <protection hidden="1"/>
    </xf>
    <xf numFmtId="0" fontId="12" fillId="0" borderId="131" xfId="0" applyFont="1" applyFill="1" applyBorder="1" applyAlignment="1" applyProtection="1">
      <alignment horizontal="center" vertical="center" wrapText="1"/>
      <protection hidden="1"/>
    </xf>
    <xf numFmtId="3" fontId="10" fillId="0" borderId="13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2" xfId="0" applyFont="1" applyFill="1" applyBorder="1" applyAlignment="1" applyProtection="1">
      <alignment horizontal="justify" vertical="center" wrapText="1"/>
      <protection hidden="1"/>
    </xf>
    <xf numFmtId="0" fontId="2" fillId="0" borderId="133" xfId="0" applyFont="1" applyFill="1" applyBorder="1" applyAlignment="1" applyProtection="1">
      <alignment horizontal="justify" vertical="center" wrapText="1"/>
      <protection hidden="1"/>
    </xf>
    <xf numFmtId="0" fontId="12" fillId="0" borderId="134" xfId="0" applyFont="1" applyFill="1" applyBorder="1" applyAlignment="1" applyProtection="1">
      <alignment horizontal="center" vertical="center" wrapText="1"/>
      <protection hidden="1"/>
    </xf>
    <xf numFmtId="0" fontId="12" fillId="0" borderId="135" xfId="0" applyFont="1" applyFill="1" applyBorder="1" applyAlignment="1" applyProtection="1">
      <alignment horizontal="center" vertical="center" wrapText="1"/>
      <protection hidden="1"/>
    </xf>
    <xf numFmtId="0" fontId="12" fillId="0" borderId="126" xfId="0" applyFont="1" applyFill="1" applyBorder="1" applyAlignment="1" applyProtection="1">
      <alignment horizontal="center" vertical="center" wrapText="1"/>
      <protection hidden="1"/>
    </xf>
    <xf numFmtId="3" fontId="10" fillId="0" borderId="12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27" xfId="0" applyFont="1" applyFill="1" applyBorder="1" applyAlignment="1" applyProtection="1">
      <alignment horizontal="justify" vertical="center" wrapText="1"/>
      <protection hidden="1"/>
    </xf>
    <xf numFmtId="0" fontId="2" fillId="0" borderId="128" xfId="0" applyFont="1" applyFill="1" applyBorder="1" applyAlignment="1" applyProtection="1">
      <alignment horizontal="justify" vertical="center" wrapText="1"/>
      <protection hidden="1"/>
    </xf>
    <xf numFmtId="0" fontId="12" fillId="7" borderId="129" xfId="0" applyFont="1" applyFill="1" applyBorder="1" applyAlignment="1" applyProtection="1">
      <alignment horizontal="center" vertical="center" wrapText="1"/>
      <protection hidden="1"/>
    </xf>
    <xf numFmtId="0" fontId="12" fillId="7" borderId="130" xfId="0" applyFont="1" applyFill="1" applyBorder="1" applyAlignment="1" applyProtection="1">
      <alignment horizontal="center" vertical="center" wrapText="1"/>
      <protection hidden="1"/>
    </xf>
    <xf numFmtId="0" fontId="12" fillId="7" borderId="131" xfId="0" applyFont="1" applyFill="1" applyBorder="1" applyAlignment="1" applyProtection="1">
      <alignment horizontal="center" vertical="center" wrapText="1"/>
      <protection hidden="1"/>
    </xf>
    <xf numFmtId="3" fontId="10" fillId="7" borderId="132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32" xfId="0" applyFont="1" applyFill="1" applyBorder="1" applyAlignment="1" applyProtection="1">
      <alignment horizontal="justify" vertical="center" wrapText="1"/>
      <protection hidden="1"/>
    </xf>
    <xf numFmtId="0" fontId="2" fillId="7" borderId="133" xfId="0" applyFont="1" applyFill="1" applyBorder="1" applyAlignment="1" applyProtection="1">
      <alignment horizontal="justify" vertical="center" wrapText="1"/>
      <protection hidden="1"/>
    </xf>
    <xf numFmtId="0" fontId="12" fillId="7" borderId="136" xfId="0" applyFont="1" applyFill="1" applyBorder="1" applyAlignment="1" applyProtection="1">
      <alignment horizontal="center" vertical="center" wrapText="1"/>
      <protection hidden="1"/>
    </xf>
    <xf numFmtId="0" fontId="12" fillId="7" borderId="137" xfId="0" applyFont="1" applyFill="1" applyBorder="1" applyAlignment="1" applyProtection="1">
      <alignment horizontal="center" vertical="center" wrapText="1"/>
      <protection hidden="1"/>
    </xf>
    <xf numFmtId="0" fontId="12" fillId="7" borderId="122" xfId="0" applyFont="1" applyFill="1" applyBorder="1" applyAlignment="1" applyProtection="1">
      <alignment horizontal="center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3" xfId="0" applyFont="1" applyFill="1" applyBorder="1" applyAlignment="1" applyProtection="1">
      <alignment horizontal="justify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0" fontId="12" fillId="7" borderId="135" xfId="0" applyFont="1" applyFill="1" applyBorder="1" applyAlignment="1" applyProtection="1">
      <alignment horizontal="center" vertical="center" wrapText="1"/>
      <protection hidden="1"/>
    </xf>
    <xf numFmtId="0" fontId="12" fillId="7" borderId="126" xfId="0" applyFont="1" applyFill="1" applyBorder="1" applyAlignment="1" applyProtection="1">
      <alignment horizontal="center" vertical="center" wrapText="1"/>
      <protection hidden="1"/>
    </xf>
    <xf numFmtId="3" fontId="10" fillId="7" borderId="127" xfId="0" applyNumberFormat="1" applyFont="1" applyFill="1" applyBorder="1" applyAlignment="1" applyProtection="1">
      <alignment horizontal="center" vertical="center" wrapText="1"/>
      <protection hidden="1"/>
    </xf>
    <xf numFmtId="0" fontId="2" fillId="7" borderId="127" xfId="0" applyFont="1" applyFill="1" applyBorder="1" applyAlignment="1" applyProtection="1">
      <alignment horizontal="justify" vertical="center" wrapText="1"/>
      <protection hidden="1"/>
    </xf>
    <xf numFmtId="0" fontId="2" fillId="7" borderId="128" xfId="0" applyFont="1" applyFill="1" applyBorder="1" applyAlignment="1" applyProtection="1">
      <alignment horizontal="justify" vertical="center" wrapText="1"/>
      <protection hidden="1"/>
    </xf>
    <xf numFmtId="0" fontId="12" fillId="0" borderId="138" xfId="0" applyFont="1" applyFill="1" applyBorder="1" applyAlignment="1" applyProtection="1">
      <alignment horizontal="center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0" fontId="12" fillId="0" borderId="120" xfId="0" applyFont="1" applyFill="1" applyBorder="1" applyAlignment="1" applyProtection="1">
      <alignment horizontal="center" vertical="center" wrapText="1"/>
      <protection hidden="1"/>
    </xf>
    <xf numFmtId="0" fontId="12" fillId="0" borderId="121" xfId="0" applyFont="1" applyFill="1" applyBorder="1" applyAlignment="1" applyProtection="1">
      <alignment horizontal="center" vertical="center" wrapText="1"/>
      <protection hidden="1"/>
    </xf>
    <xf numFmtId="0" fontId="12" fillId="0" borderId="122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3" xfId="0" applyFont="1" applyFill="1" applyBorder="1" applyAlignment="1" applyProtection="1">
      <alignment horizontal="justify" vertical="center" wrapText="1"/>
      <protection hidden="1"/>
    </xf>
    <xf numFmtId="0" fontId="12" fillId="0" borderId="124" xfId="0" applyFont="1" applyFill="1" applyBorder="1" applyAlignment="1" applyProtection="1">
      <alignment horizontal="center" vertical="center" wrapText="1"/>
      <protection hidden="1"/>
    </xf>
    <xf numFmtId="0" fontId="12" fillId="0" borderId="125" xfId="0" applyFont="1" applyFill="1" applyBorder="1" applyAlignment="1" applyProtection="1">
      <alignment horizontal="center" vertical="center" wrapText="1"/>
      <protection hidden="1"/>
    </xf>
    <xf numFmtId="0" fontId="12" fillId="6" borderId="129" xfId="0" applyFont="1" applyFill="1" applyBorder="1" applyAlignment="1" applyProtection="1">
      <alignment horizontal="center" vertical="center" wrapText="1"/>
      <protection hidden="1"/>
    </xf>
    <xf numFmtId="0" fontId="12" fillId="6" borderId="130" xfId="0" applyFont="1" applyFill="1" applyBorder="1" applyAlignment="1" applyProtection="1">
      <alignment horizontal="center" vertical="center" wrapText="1"/>
      <protection hidden="1"/>
    </xf>
    <xf numFmtId="0" fontId="12" fillId="6" borderId="131" xfId="0" applyFont="1" applyFill="1" applyBorder="1" applyAlignment="1" applyProtection="1">
      <alignment horizontal="center" vertical="center" wrapText="1"/>
      <protection hidden="1"/>
    </xf>
    <xf numFmtId="3" fontId="10" fillId="6" borderId="13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36" xfId="0" applyFont="1" applyFill="1" applyBorder="1" applyAlignment="1" applyProtection="1">
      <alignment horizontal="center" vertical="center" wrapText="1"/>
      <protection hidden="1"/>
    </xf>
    <xf numFmtId="0" fontId="12" fillId="6" borderId="137" xfId="0" applyFont="1" applyFill="1" applyBorder="1" applyAlignment="1" applyProtection="1">
      <alignment horizontal="center" vertical="center" wrapText="1"/>
      <protection hidden="1"/>
    </xf>
    <xf numFmtId="0" fontId="12" fillId="6" borderId="122" xfId="0" applyFont="1" applyFill="1" applyBorder="1" applyAlignment="1" applyProtection="1">
      <alignment horizontal="center" vertical="center" wrapText="1"/>
      <protection hidden="1"/>
    </xf>
    <xf numFmtId="0" fontId="12" fillId="6" borderId="140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41" xfId="0" applyFont="1" applyFill="1" applyBorder="1" applyAlignment="1" applyProtection="1">
      <alignment horizontal="justify" vertical="center" wrapText="1"/>
      <protection hidden="1"/>
    </xf>
    <xf numFmtId="0" fontId="12" fillId="0" borderId="136" xfId="0" applyFont="1" applyFill="1" applyBorder="1" applyAlignment="1" applyProtection="1">
      <alignment horizontal="center" vertical="center" wrapText="1"/>
      <protection hidden="1"/>
    </xf>
    <xf numFmtId="0" fontId="12" fillId="0" borderId="95" xfId="0" applyFont="1" applyFill="1" applyBorder="1" applyAlignment="1" applyProtection="1">
      <alignment horizontal="center" vertical="center" wrapText="1"/>
      <protection hidden="1"/>
    </xf>
    <xf numFmtId="0" fontId="12" fillId="0" borderId="142" xfId="0" applyFont="1" applyFill="1" applyBorder="1" applyAlignment="1" applyProtection="1">
      <alignment horizontal="center" vertical="center" wrapText="1"/>
      <protection hidden="1"/>
    </xf>
    <xf numFmtId="3" fontId="10" fillId="0" borderId="10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08" xfId="0" applyFont="1" applyFill="1" applyBorder="1" applyAlignment="1" applyProtection="1">
      <alignment horizontal="justify" vertical="center" wrapText="1"/>
      <protection hidden="1"/>
    </xf>
    <xf numFmtId="0" fontId="2" fillId="0" borderId="109" xfId="0" applyFont="1" applyFill="1" applyBorder="1" applyAlignment="1" applyProtection="1">
      <alignment horizontal="justify" vertical="center" wrapText="1"/>
      <protection hidden="1"/>
    </xf>
    <xf numFmtId="0" fontId="12" fillId="0" borderId="143" xfId="0" applyFont="1" applyFill="1" applyBorder="1" applyAlignment="1" applyProtection="1">
      <alignment horizontal="center" vertical="center" wrapText="1"/>
      <protection hidden="1"/>
    </xf>
    <xf numFmtId="0" fontId="12" fillId="0" borderId="144" xfId="0" applyFont="1" applyFill="1" applyBorder="1" applyAlignment="1" applyProtection="1">
      <alignment horizontal="center" vertical="center" wrapText="1"/>
      <protection hidden="1"/>
    </xf>
    <xf numFmtId="0" fontId="12" fillId="7" borderId="145" xfId="0" applyFont="1" applyFill="1" applyBorder="1" applyAlignment="1" applyProtection="1">
      <alignment horizontal="center" vertical="center" wrapText="1"/>
      <protection hidden="1"/>
    </xf>
    <xf numFmtId="3" fontId="10" fillId="7" borderId="14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46" xfId="1" applyNumberFormat="1" applyFont="1" applyFill="1" applyBorder="1" applyAlignment="1" applyProtection="1">
      <alignment horizontal="center" vertical="center" wrapText="1"/>
      <protection hidden="1"/>
    </xf>
    <xf numFmtId="0" fontId="2" fillId="7" borderId="146" xfId="0" applyFont="1" applyFill="1" applyBorder="1" applyAlignment="1" applyProtection="1">
      <alignment horizontal="justify" vertical="center" wrapText="1"/>
      <protection hidden="1"/>
    </xf>
    <xf numFmtId="0" fontId="2" fillId="7" borderId="147" xfId="0" applyFont="1" applyFill="1" applyBorder="1" applyAlignment="1" applyProtection="1">
      <alignment horizontal="justify" vertical="center" wrapText="1"/>
      <protection hidden="1"/>
    </xf>
    <xf numFmtId="0" fontId="12" fillId="0" borderId="148" xfId="0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/>
  </cellXfs>
  <cellStyles count="3">
    <cellStyle name="Normal" xfId="0" builtinId="0"/>
    <cellStyle name="Normal 2" xfId="2"/>
    <cellStyle name="Porcentaje" xfId="1" builtinId="5"/>
  </cellStyles>
  <dxfs count="120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312</xdr:row>
      <xdr:rowOff>47625</xdr:rowOff>
    </xdr:from>
    <xdr:to>
      <xdr:col>9</xdr:col>
      <xdr:colOff>781050</xdr:colOff>
      <xdr:row>313</xdr:row>
      <xdr:rowOff>304800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BC84C673-0C05-4233-8D74-C36AA3F0F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81067275"/>
          <a:ext cx="50292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65E791BD-4CB0-476E-89EA-4F9B34D6A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57</xdr:row>
      <xdr:rowOff>0</xdr:rowOff>
    </xdr:from>
    <xdr:to>
      <xdr:col>2</xdr:col>
      <xdr:colOff>1190624</xdr:colOff>
      <xdr:row>58</xdr:row>
      <xdr:rowOff>16754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758E1642-1B64-49F2-B160-22BCD46D37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4970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1200149</xdr:colOff>
      <xdr:row>113</xdr:row>
      <xdr:rowOff>16754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BB78876F-2302-47C5-92B2-FEF7BCD27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88995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237</xdr:row>
      <xdr:rowOff>0</xdr:rowOff>
    </xdr:from>
    <xdr:to>
      <xdr:col>2</xdr:col>
      <xdr:colOff>1200149</xdr:colOff>
      <xdr:row>238</xdr:row>
      <xdr:rowOff>16754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39BF5163-C695-4CA6-B5B1-49B88DFDCE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55920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289</xdr:row>
      <xdr:rowOff>0</xdr:rowOff>
    </xdr:from>
    <xdr:to>
      <xdr:col>2</xdr:col>
      <xdr:colOff>1200149</xdr:colOff>
      <xdr:row>290</xdr:row>
      <xdr:rowOff>16754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E353FCAD-5219-4270-8F43-1FCACB538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151875"/>
          <a:ext cx="1200149" cy="6549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BOLETIN%20ESTAD&#205;STICO%20SPET/INDICADORES%20TURISTICOS%20DE%20TENERIFE/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TTDD DATOS (2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15">
    <tabColor theme="5" tint="0.39997558519241921"/>
  </sheetPr>
  <dimension ref="B1:T328"/>
  <sheetViews>
    <sheetView showGridLines="0" tabSelected="1" showRuler="0" zoomScaleNormal="100" workbookViewId="0">
      <selection activeCell="Q13" sqref="Q13"/>
    </sheetView>
  </sheetViews>
  <sheetFormatPr baseColWidth="10" defaultRowHeight="12.75" x14ac:dyDescent="0.2"/>
  <cols>
    <col min="1" max="1" width="2.85546875" style="4" customWidth="1"/>
    <col min="2" max="2" width="2.85546875" style="1" customWidth="1"/>
    <col min="3" max="3" width="20.7109375" style="1" customWidth="1"/>
    <col min="4" max="4" width="16.42578125" style="4" customWidth="1"/>
    <col min="5" max="5" width="16.140625" style="4" customWidth="1"/>
    <col min="6" max="6" width="16" style="4" customWidth="1"/>
    <col min="7" max="7" width="16.7109375" style="4" customWidth="1"/>
    <col min="8" max="9" width="16.140625" style="4" customWidth="1"/>
    <col min="10" max="10" width="16.7109375" style="4" customWidth="1"/>
    <col min="11" max="11" width="16.140625" style="4" customWidth="1"/>
    <col min="12" max="13" width="15.7109375" style="4" customWidth="1"/>
    <col min="14" max="14" width="12.140625" style="4" customWidth="1"/>
    <col min="15" max="17" width="8.85546875" style="4" customWidth="1"/>
    <col min="18" max="18" width="23.28515625" style="4" customWidth="1"/>
    <col min="19" max="19" width="2.7109375" style="4" customWidth="1"/>
    <col min="20" max="20" width="23.28515625" style="4" customWidth="1"/>
    <col min="21" max="21" width="2.7109375" style="4" customWidth="1"/>
    <col min="22" max="22" width="23.28515625" style="4" customWidth="1"/>
    <col min="23" max="16384" width="11.42578125" style="4"/>
  </cols>
  <sheetData>
    <row r="1" spans="2:13" ht="50.25" customHeight="1" thickBot="1" x14ac:dyDescent="0.25">
      <c r="C1" s="2"/>
      <c r="D1" s="2"/>
      <c r="E1" s="3" t="s">
        <v>92</v>
      </c>
      <c r="F1" s="3"/>
      <c r="G1" s="3"/>
      <c r="H1" s="3"/>
      <c r="I1" s="3"/>
      <c r="J1" s="3"/>
      <c r="K1" s="3"/>
      <c r="L1" s="2"/>
      <c r="M1" s="2"/>
    </row>
    <row r="2" spans="2:13" ht="15" customHeight="1" x14ac:dyDescent="0.2">
      <c r="B2" s="5"/>
      <c r="C2" s="6" t="s">
        <v>93</v>
      </c>
      <c r="D2" s="6"/>
      <c r="E2" s="6"/>
      <c r="F2" s="6"/>
      <c r="G2" s="6"/>
      <c r="H2" s="7"/>
      <c r="I2" s="8" t="s">
        <v>111</v>
      </c>
      <c r="J2" s="8"/>
      <c r="K2" s="8"/>
      <c r="L2" s="8"/>
      <c r="M2" s="8"/>
    </row>
    <row r="3" spans="2:13" ht="16.5" customHeight="1" thickBot="1" x14ac:dyDescent="0.25">
      <c r="B3" s="5"/>
      <c r="C3" s="9"/>
      <c r="D3" s="9"/>
      <c r="E3" s="9"/>
      <c r="F3" s="9"/>
      <c r="G3" s="9"/>
      <c r="H3" s="10"/>
      <c r="I3" s="11"/>
      <c r="J3" s="11"/>
      <c r="K3" s="11"/>
      <c r="L3" s="11"/>
      <c r="M3" s="11"/>
    </row>
    <row r="4" spans="2:13" ht="5.25" customHeight="1" x14ac:dyDescent="0.2">
      <c r="B4" s="5"/>
      <c r="C4" s="12"/>
      <c r="D4" s="5"/>
      <c r="E4" s="13"/>
      <c r="F4" s="13"/>
      <c r="G4" s="14"/>
      <c r="H4" s="15"/>
      <c r="I4" s="16"/>
      <c r="J4" s="13"/>
      <c r="K4" s="17"/>
      <c r="L4" s="18"/>
      <c r="M4" s="19"/>
    </row>
    <row r="5" spans="2:13" ht="81.75" customHeight="1" x14ac:dyDescent="0.2">
      <c r="C5" s="20" t="s">
        <v>0</v>
      </c>
      <c r="D5" s="21"/>
      <c r="E5" s="22" t="s">
        <v>1</v>
      </c>
      <c r="F5" s="22" t="s">
        <v>2</v>
      </c>
      <c r="G5" s="23" t="s">
        <v>3</v>
      </c>
      <c r="H5" s="24"/>
      <c r="I5" s="25" t="s">
        <v>0</v>
      </c>
      <c r="J5" s="22" t="s">
        <v>1</v>
      </c>
      <c r="K5" s="22" t="s">
        <v>4</v>
      </c>
      <c r="L5" s="22" t="s">
        <v>3</v>
      </c>
      <c r="M5" s="23" t="s">
        <v>5</v>
      </c>
    </row>
    <row r="6" spans="2:13" s="5" customFormat="1" ht="5.25" customHeight="1" thickBot="1" x14ac:dyDescent="0.25"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2:13" ht="18.75" thickBot="1" x14ac:dyDescent="0.25">
      <c r="C7" s="27" t="s">
        <v>6</v>
      </c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2:13" ht="5.25" customHeight="1" thickBot="1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1"/>
    </row>
    <row r="9" spans="2:13" ht="24.75" customHeight="1" x14ac:dyDescent="0.2">
      <c r="C9" s="32" t="s">
        <v>7</v>
      </c>
      <c r="D9" s="33"/>
      <c r="E9" s="34" t="s">
        <v>8</v>
      </c>
      <c r="F9" s="35">
        <v>484267</v>
      </c>
      <c r="G9" s="36">
        <v>4.6740143047663052E-2</v>
      </c>
      <c r="H9" s="37"/>
      <c r="I9" s="38" t="s">
        <v>7</v>
      </c>
      <c r="J9" s="39" t="s">
        <v>8</v>
      </c>
      <c r="K9" s="40">
        <v>1523562</v>
      </c>
      <c r="L9" s="41">
        <v>1.8280175723878411E-2</v>
      </c>
      <c r="M9" s="42" t="s">
        <v>9</v>
      </c>
    </row>
    <row r="10" spans="2:13" ht="24.75" customHeight="1" x14ac:dyDescent="0.2">
      <c r="C10" s="43"/>
      <c r="D10" s="44"/>
      <c r="E10" s="45" t="s">
        <v>10</v>
      </c>
      <c r="F10" s="46">
        <v>325566</v>
      </c>
      <c r="G10" s="47">
        <v>3.5762347888332213E-2</v>
      </c>
      <c r="H10" s="48"/>
      <c r="I10" s="43"/>
      <c r="J10" s="45" t="s">
        <v>10</v>
      </c>
      <c r="K10" s="46">
        <v>1017576</v>
      </c>
      <c r="L10" s="49">
        <v>1.3412899807590417E-2</v>
      </c>
      <c r="M10" s="42"/>
    </row>
    <row r="11" spans="2:13" ht="24.75" customHeight="1" thickBot="1" x14ac:dyDescent="0.25">
      <c r="C11" s="50"/>
      <c r="D11" s="51"/>
      <c r="E11" s="52" t="s">
        <v>11</v>
      </c>
      <c r="F11" s="35">
        <v>158701</v>
      </c>
      <c r="G11" s="36">
        <v>7.0004989279790708E-2</v>
      </c>
      <c r="H11" s="48"/>
      <c r="I11" s="53"/>
      <c r="J11" s="54" t="s">
        <v>11</v>
      </c>
      <c r="K11" s="55">
        <v>505986</v>
      </c>
      <c r="L11" s="56">
        <v>2.8211573593333039E-2</v>
      </c>
      <c r="M11" s="42"/>
    </row>
    <row r="12" spans="2:13" ht="24.75" customHeight="1" x14ac:dyDescent="0.2">
      <c r="C12" s="57" t="s">
        <v>12</v>
      </c>
      <c r="D12" s="58"/>
      <c r="E12" s="59" t="s">
        <v>8</v>
      </c>
      <c r="F12" s="60">
        <v>19913</v>
      </c>
      <c r="G12" s="61">
        <v>0.11682557487380829</v>
      </c>
      <c r="H12" s="62"/>
      <c r="I12" s="57" t="s">
        <v>12</v>
      </c>
      <c r="J12" s="59" t="s">
        <v>8</v>
      </c>
      <c r="K12" s="60">
        <v>56329</v>
      </c>
      <c r="L12" s="41">
        <v>5.8855596075040317E-2</v>
      </c>
      <c r="M12" s="42"/>
    </row>
    <row r="13" spans="2:13" ht="24.75" customHeight="1" thickBot="1" x14ac:dyDescent="0.25">
      <c r="C13" s="63"/>
      <c r="D13" s="64"/>
      <c r="E13" s="65" t="s">
        <v>10</v>
      </c>
      <c r="F13" s="66">
        <v>19913</v>
      </c>
      <c r="G13" s="67">
        <v>0.11682557487380829</v>
      </c>
      <c r="H13" s="62"/>
      <c r="I13" s="63"/>
      <c r="J13" s="65" t="s">
        <v>10</v>
      </c>
      <c r="K13" s="66">
        <v>56329</v>
      </c>
      <c r="L13" s="56">
        <v>6.7747132973177804E-2</v>
      </c>
      <c r="M13" s="42"/>
    </row>
    <row r="14" spans="2:13" ht="24.75" customHeight="1" x14ac:dyDescent="0.2">
      <c r="C14" s="68" t="s">
        <v>13</v>
      </c>
      <c r="D14" s="69"/>
      <c r="E14" s="70" t="s">
        <v>8</v>
      </c>
      <c r="F14" s="71">
        <v>5381</v>
      </c>
      <c r="G14" s="61">
        <v>0.60387481371087937</v>
      </c>
      <c r="H14" s="62"/>
      <c r="I14" s="68" t="s">
        <v>13</v>
      </c>
      <c r="J14" s="70" t="s">
        <v>8</v>
      </c>
      <c r="K14" s="71">
        <v>14819</v>
      </c>
      <c r="L14" s="41">
        <v>0.47467409692506712</v>
      </c>
      <c r="M14" s="42"/>
    </row>
    <row r="15" spans="2:13" ht="24.75" customHeight="1" x14ac:dyDescent="0.2">
      <c r="C15" s="72"/>
      <c r="D15" s="73"/>
      <c r="E15" s="74" t="s">
        <v>10</v>
      </c>
      <c r="F15" s="75">
        <v>4176</v>
      </c>
      <c r="G15" s="47">
        <v>0.51304347826086949</v>
      </c>
      <c r="H15" s="62"/>
      <c r="I15" s="72"/>
      <c r="J15" s="74" t="s">
        <v>10</v>
      </c>
      <c r="K15" s="75">
        <v>11552</v>
      </c>
      <c r="L15" s="49">
        <v>0.4268774703557312</v>
      </c>
      <c r="M15" s="42"/>
    </row>
    <row r="16" spans="2:13" ht="24.75" customHeight="1" thickBot="1" x14ac:dyDescent="0.25">
      <c r="C16" s="76"/>
      <c r="D16" s="77"/>
      <c r="E16" s="78" t="s">
        <v>11</v>
      </c>
      <c r="F16" s="79">
        <v>1205</v>
      </c>
      <c r="G16" s="67">
        <v>1.0252100840336134</v>
      </c>
      <c r="H16" s="62"/>
      <c r="I16" s="76"/>
      <c r="J16" s="78" t="s">
        <v>11</v>
      </c>
      <c r="K16" s="79">
        <v>3267</v>
      </c>
      <c r="L16" s="56">
        <v>0.67281105990783407</v>
      </c>
      <c r="M16" s="42"/>
    </row>
    <row r="17" spans="3:13" ht="24.75" customHeight="1" x14ac:dyDescent="0.2">
      <c r="C17" s="57" t="s">
        <v>14</v>
      </c>
      <c r="D17" s="58"/>
      <c r="E17" s="59" t="s">
        <v>8</v>
      </c>
      <c r="F17" s="60">
        <v>97114</v>
      </c>
      <c r="G17" s="61">
        <v>7.1626408306942002E-2</v>
      </c>
      <c r="H17" s="62"/>
      <c r="I17" s="57" t="s">
        <v>14</v>
      </c>
      <c r="J17" s="59" t="s">
        <v>8</v>
      </c>
      <c r="K17" s="60">
        <v>314109</v>
      </c>
      <c r="L17" s="41">
        <v>7.7180275923087294E-2</v>
      </c>
      <c r="M17" s="42"/>
    </row>
    <row r="18" spans="3:13" ht="24.75" customHeight="1" x14ac:dyDescent="0.2">
      <c r="C18" s="80"/>
      <c r="D18" s="81"/>
      <c r="E18" s="82" t="s">
        <v>10</v>
      </c>
      <c r="F18" s="83">
        <v>69651</v>
      </c>
      <c r="G18" s="47">
        <v>5.7770285662216869E-2</v>
      </c>
      <c r="H18" s="62"/>
      <c r="I18" s="80"/>
      <c r="J18" s="82" t="s">
        <v>10</v>
      </c>
      <c r="K18" s="83">
        <v>225601</v>
      </c>
      <c r="L18" s="49">
        <v>7.6540959434245881E-2</v>
      </c>
      <c r="M18" s="42"/>
    </row>
    <row r="19" spans="3:13" ht="24.75" customHeight="1" thickBot="1" x14ac:dyDescent="0.25">
      <c r="C19" s="63"/>
      <c r="D19" s="64"/>
      <c r="E19" s="65" t="s">
        <v>11</v>
      </c>
      <c r="F19" s="66">
        <v>27463</v>
      </c>
      <c r="G19" s="67">
        <v>0.10845172747820464</v>
      </c>
      <c r="H19" s="62"/>
      <c r="I19" s="63"/>
      <c r="J19" s="65" t="s">
        <v>11</v>
      </c>
      <c r="K19" s="66">
        <v>88508</v>
      </c>
      <c r="L19" s="56">
        <v>7.8813290753516396E-2</v>
      </c>
      <c r="M19" s="42"/>
    </row>
    <row r="20" spans="3:13" ht="24.75" customHeight="1" x14ac:dyDescent="0.2">
      <c r="C20" s="84" t="s">
        <v>15</v>
      </c>
      <c r="D20" s="85"/>
      <c r="E20" s="86" t="s">
        <v>8</v>
      </c>
      <c r="F20" s="87">
        <v>361859</v>
      </c>
      <c r="G20" s="61">
        <v>3.1422178516966603E-2</v>
      </c>
      <c r="H20" s="62"/>
      <c r="I20" s="84" t="s">
        <v>15</v>
      </c>
      <c r="J20" s="86" t="s">
        <v>8</v>
      </c>
      <c r="K20" s="87">
        <v>1138305</v>
      </c>
      <c r="L20" s="41">
        <v>-2.6775051889805779E-3</v>
      </c>
      <c r="M20" s="42"/>
    </row>
    <row r="21" spans="3:13" ht="24.75" customHeight="1" x14ac:dyDescent="0.2">
      <c r="C21" s="88"/>
      <c r="D21" s="89"/>
      <c r="E21" s="90" t="s">
        <v>10</v>
      </c>
      <c r="F21" s="91">
        <v>231826</v>
      </c>
      <c r="G21" s="47">
        <v>1.7280418451169011E-2</v>
      </c>
      <c r="H21" s="62"/>
      <c r="I21" s="88"/>
      <c r="J21" s="90" t="s">
        <v>10</v>
      </c>
      <c r="K21" s="91">
        <v>724094</v>
      </c>
      <c r="L21" s="49">
        <v>-1.308716416608513E-2</v>
      </c>
      <c r="M21" s="42"/>
    </row>
    <row r="22" spans="3:13" ht="24.75" customHeight="1" thickBot="1" x14ac:dyDescent="0.25">
      <c r="C22" s="92"/>
      <c r="D22" s="93"/>
      <c r="E22" s="94" t="s">
        <v>11</v>
      </c>
      <c r="F22" s="95">
        <v>130033</v>
      </c>
      <c r="G22" s="67">
        <v>5.7634590514612061E-2</v>
      </c>
      <c r="H22" s="62"/>
      <c r="I22" s="92"/>
      <c r="J22" s="94" t="s">
        <v>11</v>
      </c>
      <c r="K22" s="95">
        <v>414211</v>
      </c>
      <c r="L22" s="56">
        <v>1.6057301951357017E-2</v>
      </c>
      <c r="M22" s="42"/>
    </row>
    <row r="23" spans="3:13" ht="5.25" customHeight="1" thickBot="1" x14ac:dyDescent="0.25"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</row>
    <row r="24" spans="3:13" ht="20.100000000000001" customHeight="1" thickBot="1" x14ac:dyDescent="0.25">
      <c r="C24" s="27" t="s">
        <v>16</v>
      </c>
      <c r="D24" s="28"/>
      <c r="E24" s="28"/>
      <c r="F24" s="28"/>
      <c r="G24" s="28"/>
      <c r="H24" s="28"/>
      <c r="I24" s="28"/>
      <c r="J24" s="28"/>
      <c r="K24" s="28"/>
      <c r="L24" s="28"/>
      <c r="M24" s="29"/>
    </row>
    <row r="25" spans="3:13" ht="5.25" customHeight="1" thickBot="1" x14ac:dyDescent="0.25"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97"/>
    </row>
    <row r="26" spans="3:13" ht="24.95" customHeight="1" x14ac:dyDescent="0.2">
      <c r="C26" s="38" t="s">
        <v>7</v>
      </c>
      <c r="D26" s="98"/>
      <c r="E26" s="39" t="s">
        <v>8</v>
      </c>
      <c r="F26" s="35">
        <v>3461240</v>
      </c>
      <c r="G26" s="36">
        <v>1.4213832202470078E-2</v>
      </c>
      <c r="H26" s="37"/>
      <c r="I26" s="38" t="s">
        <v>7</v>
      </c>
      <c r="J26" s="39" t="s">
        <v>8</v>
      </c>
      <c r="K26" s="40">
        <v>11427339</v>
      </c>
      <c r="L26" s="41">
        <v>-2.2854119455905098E-3</v>
      </c>
      <c r="M26" s="42" t="s">
        <v>9</v>
      </c>
    </row>
    <row r="27" spans="3:13" ht="24.95" customHeight="1" x14ac:dyDescent="0.2">
      <c r="C27" s="43"/>
      <c r="D27" s="44"/>
      <c r="E27" s="45" t="s">
        <v>10</v>
      </c>
      <c r="F27" s="46">
        <v>2221857</v>
      </c>
      <c r="G27" s="47">
        <v>-4.0999478261805056E-3</v>
      </c>
      <c r="H27" s="48"/>
      <c r="I27" s="43"/>
      <c r="J27" s="45" t="s">
        <v>10</v>
      </c>
      <c r="K27" s="46">
        <v>7248513</v>
      </c>
      <c r="L27" s="49">
        <v>-1.8475405327562644E-2</v>
      </c>
      <c r="M27" s="42"/>
    </row>
    <row r="28" spans="3:13" ht="24.95" customHeight="1" thickBot="1" x14ac:dyDescent="0.25">
      <c r="C28" s="53"/>
      <c r="D28" s="99"/>
      <c r="E28" s="54" t="s">
        <v>11</v>
      </c>
      <c r="F28" s="35">
        <v>1239383</v>
      </c>
      <c r="G28" s="36">
        <v>4.8788722954859365E-2</v>
      </c>
      <c r="H28" s="48"/>
      <c r="I28" s="53"/>
      <c r="J28" s="54" t="s">
        <v>11</v>
      </c>
      <c r="K28" s="55">
        <v>4178826</v>
      </c>
      <c r="L28" s="56">
        <v>2.7101467299748716E-2</v>
      </c>
      <c r="M28" s="42"/>
    </row>
    <row r="29" spans="3:13" ht="24.95" customHeight="1" x14ac:dyDescent="0.2">
      <c r="C29" s="57" t="s">
        <v>12</v>
      </c>
      <c r="D29" s="58"/>
      <c r="E29" s="59" t="s">
        <v>8</v>
      </c>
      <c r="F29" s="60">
        <v>44841</v>
      </c>
      <c r="G29" s="61">
        <v>8.5265501718379433E-2</v>
      </c>
      <c r="H29" s="62"/>
      <c r="I29" s="57" t="s">
        <v>12</v>
      </c>
      <c r="J29" s="59" t="s">
        <v>8</v>
      </c>
      <c r="K29" s="60">
        <v>135071</v>
      </c>
      <c r="L29" s="41">
        <v>-2.8028438610883222E-2</v>
      </c>
      <c r="M29" s="42"/>
    </row>
    <row r="30" spans="3:13" ht="24.95" customHeight="1" thickBot="1" x14ac:dyDescent="0.25">
      <c r="C30" s="63"/>
      <c r="D30" s="64"/>
      <c r="E30" s="65" t="s">
        <v>10</v>
      </c>
      <c r="F30" s="66">
        <v>44841</v>
      </c>
      <c r="G30" s="67">
        <v>8.5265501718379433E-2</v>
      </c>
      <c r="H30" s="62"/>
      <c r="I30" s="63"/>
      <c r="J30" s="65" t="s">
        <v>10</v>
      </c>
      <c r="K30" s="66">
        <v>135071</v>
      </c>
      <c r="L30" s="56">
        <v>1.7698648302466813E-2</v>
      </c>
      <c r="M30" s="42"/>
    </row>
    <row r="31" spans="3:13" ht="24.95" customHeight="1" x14ac:dyDescent="0.2">
      <c r="C31" s="68" t="s">
        <v>13</v>
      </c>
      <c r="D31" s="69"/>
      <c r="E31" s="70" t="s">
        <v>8</v>
      </c>
      <c r="F31" s="71">
        <v>22287</v>
      </c>
      <c r="G31" s="61">
        <v>0.71821756225425948</v>
      </c>
      <c r="H31" s="62"/>
      <c r="I31" s="68" t="s">
        <v>13</v>
      </c>
      <c r="J31" s="70" t="s">
        <v>8</v>
      </c>
      <c r="K31" s="71">
        <v>54075</v>
      </c>
      <c r="L31" s="41">
        <v>0.51695794877549295</v>
      </c>
      <c r="M31" s="42"/>
    </row>
    <row r="32" spans="3:13" ht="24.95" customHeight="1" x14ac:dyDescent="0.2">
      <c r="C32" s="72"/>
      <c r="D32" s="73"/>
      <c r="E32" s="74" t="s">
        <v>10</v>
      </c>
      <c r="F32" s="75">
        <v>11617</v>
      </c>
      <c r="G32" s="47">
        <v>0.38330554894022395</v>
      </c>
      <c r="H32" s="62"/>
      <c r="I32" s="72"/>
      <c r="J32" s="74" t="s">
        <v>10</v>
      </c>
      <c r="K32" s="75">
        <v>31768</v>
      </c>
      <c r="L32" s="49">
        <v>0.41751818303511667</v>
      </c>
      <c r="M32" s="42"/>
    </row>
    <row r="33" spans="3:13" ht="24.95" customHeight="1" thickBot="1" x14ac:dyDescent="0.25">
      <c r="C33" s="76"/>
      <c r="D33" s="77"/>
      <c r="E33" s="78" t="s">
        <v>11</v>
      </c>
      <c r="F33" s="79">
        <v>10670</v>
      </c>
      <c r="G33" s="67">
        <v>1.3332604417231577</v>
      </c>
      <c r="H33" s="62"/>
      <c r="I33" s="76"/>
      <c r="J33" s="78" t="s">
        <v>11</v>
      </c>
      <c r="K33" s="79">
        <v>22307</v>
      </c>
      <c r="L33" s="56">
        <v>0.68532789362345126</v>
      </c>
      <c r="M33" s="42"/>
    </row>
    <row r="34" spans="3:13" ht="24.95" customHeight="1" x14ac:dyDescent="0.2">
      <c r="C34" s="57" t="s">
        <v>14</v>
      </c>
      <c r="D34" s="58"/>
      <c r="E34" s="59" t="s">
        <v>8</v>
      </c>
      <c r="F34" s="60">
        <v>662806</v>
      </c>
      <c r="G34" s="61">
        <v>9.2979959467102802E-2</v>
      </c>
      <c r="H34" s="62"/>
      <c r="I34" s="57" t="s">
        <v>14</v>
      </c>
      <c r="J34" s="59" t="s">
        <v>8</v>
      </c>
      <c r="K34" s="60">
        <v>2118908</v>
      </c>
      <c r="L34" s="41">
        <v>9.0624034917955232E-2</v>
      </c>
      <c r="M34" s="42"/>
    </row>
    <row r="35" spans="3:13" ht="24.95" customHeight="1" x14ac:dyDescent="0.2">
      <c r="C35" s="80"/>
      <c r="D35" s="81"/>
      <c r="E35" s="82" t="s">
        <v>10</v>
      </c>
      <c r="F35" s="83">
        <v>476800</v>
      </c>
      <c r="G35" s="47">
        <v>0.10989548173840169</v>
      </c>
      <c r="H35" s="62"/>
      <c r="I35" s="80"/>
      <c r="J35" s="82" t="s">
        <v>10</v>
      </c>
      <c r="K35" s="83">
        <v>1506487</v>
      </c>
      <c r="L35" s="49">
        <v>0.10728358538064353</v>
      </c>
      <c r="M35" s="42"/>
    </row>
    <row r="36" spans="3:13" ht="24.95" customHeight="1" thickBot="1" x14ac:dyDescent="0.25">
      <c r="C36" s="63"/>
      <c r="D36" s="64"/>
      <c r="E36" s="65" t="s">
        <v>11</v>
      </c>
      <c r="F36" s="66">
        <v>186006</v>
      </c>
      <c r="G36" s="67">
        <v>5.1885698774536193E-2</v>
      </c>
      <c r="H36" s="62"/>
      <c r="I36" s="63"/>
      <c r="J36" s="65" t="s">
        <v>11</v>
      </c>
      <c r="K36" s="66">
        <v>612421</v>
      </c>
      <c r="L36" s="56">
        <v>5.170054008569247E-2</v>
      </c>
      <c r="M36" s="42"/>
    </row>
    <row r="37" spans="3:13" ht="24.95" customHeight="1" x14ac:dyDescent="0.2">
      <c r="C37" s="84" t="s">
        <v>15</v>
      </c>
      <c r="D37" s="85"/>
      <c r="E37" s="86" t="s">
        <v>8</v>
      </c>
      <c r="F37" s="87">
        <v>2731306</v>
      </c>
      <c r="G37" s="61">
        <v>-7.5275561023857573E-3</v>
      </c>
      <c r="H37" s="62"/>
      <c r="I37" s="84" t="s">
        <v>15</v>
      </c>
      <c r="J37" s="86" t="s">
        <v>8</v>
      </c>
      <c r="K37" s="87">
        <v>9119285</v>
      </c>
      <c r="L37" s="41">
        <v>-2.3219318809150957E-2</v>
      </c>
      <c r="M37" s="42"/>
    </row>
    <row r="38" spans="3:13" ht="24.95" customHeight="1" x14ac:dyDescent="0.2">
      <c r="C38" s="88"/>
      <c r="D38" s="89"/>
      <c r="E38" s="90" t="s">
        <v>10</v>
      </c>
      <c r="F38" s="91">
        <v>1688599</v>
      </c>
      <c r="G38" s="47">
        <v>-3.6021620165119783E-2</v>
      </c>
      <c r="H38" s="62"/>
      <c r="I38" s="88"/>
      <c r="J38" s="90" t="s">
        <v>10</v>
      </c>
      <c r="K38" s="91">
        <v>5575187</v>
      </c>
      <c r="L38" s="49">
        <v>-5.0109595786205996E-2</v>
      </c>
      <c r="M38" s="42"/>
    </row>
    <row r="39" spans="3:13" ht="24.95" customHeight="1" thickBot="1" x14ac:dyDescent="0.25">
      <c r="C39" s="92"/>
      <c r="D39" s="93"/>
      <c r="E39" s="94" t="s">
        <v>11</v>
      </c>
      <c r="F39" s="95">
        <v>1042707</v>
      </c>
      <c r="G39" s="67">
        <v>4.2369272355756715E-2</v>
      </c>
      <c r="H39" s="62"/>
      <c r="I39" s="92"/>
      <c r="J39" s="94" t="s">
        <v>11</v>
      </c>
      <c r="K39" s="95">
        <v>3544098</v>
      </c>
      <c r="L39" s="56">
        <v>2.230637363284016E-2</v>
      </c>
      <c r="M39" s="42"/>
    </row>
    <row r="40" spans="3:13" ht="5.25" customHeight="1" thickBot="1" x14ac:dyDescent="0.25">
      <c r="C40" s="96"/>
      <c r="D40" s="96"/>
      <c r="F40" s="96"/>
      <c r="G40" s="96"/>
      <c r="H40" s="96"/>
      <c r="I40" s="96"/>
      <c r="J40" s="96"/>
      <c r="K40" s="96"/>
      <c r="L40" s="96"/>
      <c r="M40" s="96"/>
    </row>
    <row r="41" spans="3:13" ht="20.100000000000001" customHeight="1" thickBot="1" x14ac:dyDescent="0.25">
      <c r="C41" s="27" t="s">
        <v>17</v>
      </c>
      <c r="D41" s="28"/>
      <c r="E41" s="28"/>
      <c r="F41" s="28"/>
      <c r="G41" s="28"/>
      <c r="H41" s="28"/>
      <c r="I41" s="28"/>
      <c r="J41" s="28"/>
      <c r="K41" s="28"/>
      <c r="L41" s="28"/>
      <c r="M41" s="29"/>
    </row>
    <row r="42" spans="3:13" ht="5.25" customHeight="1" thickBot="1" x14ac:dyDescent="0.25"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97"/>
    </row>
    <row r="43" spans="3:13" ht="24.75" customHeight="1" x14ac:dyDescent="0.2">
      <c r="C43" s="38" t="s">
        <v>7</v>
      </c>
      <c r="D43" s="98"/>
      <c r="E43" s="39" t="s">
        <v>8</v>
      </c>
      <c r="F43" s="100">
        <v>7.147379441506442</v>
      </c>
      <c r="G43" s="101">
        <v>-0.22921979375703305</v>
      </c>
      <c r="H43" s="37"/>
      <c r="I43" s="38" t="s">
        <v>7</v>
      </c>
      <c r="J43" s="39" t="s">
        <v>8</v>
      </c>
      <c r="K43" s="100">
        <v>7.5004095665289627</v>
      </c>
      <c r="L43" s="102">
        <v>-0.15460366355690081</v>
      </c>
      <c r="M43" s="42" t="s">
        <v>9</v>
      </c>
    </row>
    <row r="44" spans="3:13" ht="24.75" customHeight="1" x14ac:dyDescent="0.2">
      <c r="C44" s="43"/>
      <c r="D44" s="44"/>
      <c r="E44" s="45" t="s">
        <v>10</v>
      </c>
      <c r="F44" s="103">
        <v>6.8245977774091893</v>
      </c>
      <c r="G44" s="104">
        <v>-0.27316409326606728</v>
      </c>
      <c r="H44" s="48"/>
      <c r="I44" s="43"/>
      <c r="J44" s="45" t="s">
        <v>10</v>
      </c>
      <c r="K44" s="103">
        <v>7.1233136394726291</v>
      </c>
      <c r="L44" s="105">
        <v>-0.23142608971984835</v>
      </c>
      <c r="M44" s="42"/>
    </row>
    <row r="45" spans="3:13" ht="24.75" customHeight="1" thickBot="1" x14ac:dyDescent="0.25">
      <c r="C45" s="53"/>
      <c r="D45" s="99"/>
      <c r="E45" s="54" t="s">
        <v>11</v>
      </c>
      <c r="F45" s="106">
        <v>7.8095475138782993</v>
      </c>
      <c r="G45" s="107">
        <v>-0.15798171386209603</v>
      </c>
      <c r="H45" s="48"/>
      <c r="I45" s="53"/>
      <c r="J45" s="54" t="s">
        <v>11</v>
      </c>
      <c r="K45" s="106">
        <v>8.258777910851288</v>
      </c>
      <c r="L45" s="108">
        <v>-8.9262080018794876E-3</v>
      </c>
      <c r="M45" s="42"/>
    </row>
    <row r="46" spans="3:13" ht="24.75" customHeight="1" x14ac:dyDescent="0.2">
      <c r="C46" s="57" t="s">
        <v>12</v>
      </c>
      <c r="D46" s="58"/>
      <c r="E46" s="59" t="s">
        <v>8</v>
      </c>
      <c r="F46" s="109">
        <v>2.2518455280470047</v>
      </c>
      <c r="G46" s="101">
        <v>-6.5484814073017983E-2</v>
      </c>
      <c r="H46" s="62"/>
      <c r="I46" s="57" t="s">
        <v>12</v>
      </c>
      <c r="J46" s="59" t="s">
        <v>8</v>
      </c>
      <c r="K46" s="109">
        <v>2.3978945125956432</v>
      </c>
      <c r="L46" s="102">
        <v>-0.21434654909840534</v>
      </c>
      <c r="M46" s="42"/>
    </row>
    <row r="47" spans="3:13" ht="24.75" customHeight="1" thickBot="1" x14ac:dyDescent="0.25">
      <c r="C47" s="63"/>
      <c r="D47" s="64"/>
      <c r="E47" s="65" t="s">
        <v>10</v>
      </c>
      <c r="F47" s="110">
        <v>2.2518455280470047</v>
      </c>
      <c r="G47" s="107">
        <v>-6.5484814073017983E-2</v>
      </c>
      <c r="H47" s="62"/>
      <c r="I47" s="63"/>
      <c r="J47" s="65" t="s">
        <v>10</v>
      </c>
      <c r="K47" s="110">
        <v>2.3978945125956432</v>
      </c>
      <c r="L47" s="108">
        <v>-0.11792389324266583</v>
      </c>
      <c r="M47" s="42"/>
    </row>
    <row r="48" spans="3:13" ht="24.75" customHeight="1" x14ac:dyDescent="0.2">
      <c r="C48" s="68" t="s">
        <v>13</v>
      </c>
      <c r="D48" s="69"/>
      <c r="E48" s="70" t="s">
        <v>8</v>
      </c>
      <c r="F48" s="111">
        <v>4.1417952053521647</v>
      </c>
      <c r="G48" s="101">
        <v>0.27562530967407239</v>
      </c>
      <c r="H48" s="62"/>
      <c r="I48" s="68" t="s">
        <v>13</v>
      </c>
      <c r="J48" s="70" t="s">
        <v>8</v>
      </c>
      <c r="K48" s="111">
        <v>3.6490316485592822</v>
      </c>
      <c r="L48" s="102">
        <v>0.10171350745071406</v>
      </c>
      <c r="M48" s="42"/>
    </row>
    <row r="49" spans="2:13" ht="24.75" customHeight="1" x14ac:dyDescent="0.2">
      <c r="C49" s="72"/>
      <c r="D49" s="73"/>
      <c r="E49" s="74" t="s">
        <v>10</v>
      </c>
      <c r="F49" s="112">
        <v>2.7818486590038316</v>
      </c>
      <c r="G49" s="104">
        <v>-0.26090496418457398</v>
      </c>
      <c r="H49" s="62"/>
      <c r="I49" s="72"/>
      <c r="J49" s="74" t="s">
        <v>10</v>
      </c>
      <c r="K49" s="112">
        <v>2.75</v>
      </c>
      <c r="L49" s="105">
        <v>-1.8157114624505866E-2</v>
      </c>
      <c r="M49" s="42"/>
    </row>
    <row r="50" spans="2:13" ht="24.75" customHeight="1" thickBot="1" x14ac:dyDescent="0.25">
      <c r="C50" s="76"/>
      <c r="D50" s="77"/>
      <c r="E50" s="78" t="s">
        <v>11</v>
      </c>
      <c r="F50" s="113">
        <v>8.8547717842323657</v>
      </c>
      <c r="G50" s="107">
        <v>1.1690574985180797</v>
      </c>
      <c r="H50" s="62"/>
      <c r="I50" s="76"/>
      <c r="J50" s="78" t="s">
        <v>11</v>
      </c>
      <c r="K50" s="113">
        <v>6.8279767370676465</v>
      </c>
      <c r="L50" s="108">
        <v>5.0710992059966209E-2</v>
      </c>
      <c r="M50" s="42"/>
    </row>
    <row r="51" spans="2:13" ht="24.75" customHeight="1" x14ac:dyDescent="0.2">
      <c r="C51" s="57" t="s">
        <v>14</v>
      </c>
      <c r="D51" s="58"/>
      <c r="E51" s="59" t="s">
        <v>8</v>
      </c>
      <c r="F51" s="109">
        <v>6.8250303766707168</v>
      </c>
      <c r="G51" s="101">
        <v>0.13334062903490729</v>
      </c>
      <c r="H51" s="62"/>
      <c r="I51" s="57" t="s">
        <v>14</v>
      </c>
      <c r="J51" s="59" t="s">
        <v>8</v>
      </c>
      <c r="K51" s="109">
        <v>6.7457729641621222</v>
      </c>
      <c r="L51" s="102">
        <v>8.3152895095617296E-2</v>
      </c>
      <c r="M51" s="42"/>
    </row>
    <row r="52" spans="2:13" ht="24.75" customHeight="1" x14ac:dyDescent="0.2">
      <c r="C52" s="80"/>
      <c r="D52" s="81"/>
      <c r="E52" s="82" t="s">
        <v>10</v>
      </c>
      <c r="F52" s="114">
        <v>6.8455585705876443</v>
      </c>
      <c r="G52" s="104">
        <v>0.32149521158875327</v>
      </c>
      <c r="H52" s="62"/>
      <c r="I52" s="80"/>
      <c r="J52" s="82" t="s">
        <v>10</v>
      </c>
      <c r="K52" s="114">
        <v>6.6776610032756949</v>
      </c>
      <c r="L52" s="105">
        <v>0.18539860712373901</v>
      </c>
      <c r="M52" s="42"/>
    </row>
    <row r="53" spans="2:13" ht="24.75" customHeight="1" thickBot="1" x14ac:dyDescent="0.25">
      <c r="C53" s="63"/>
      <c r="D53" s="64"/>
      <c r="E53" s="65" t="s">
        <v>11</v>
      </c>
      <c r="F53" s="110">
        <v>6.7729672650475186</v>
      </c>
      <c r="G53" s="107">
        <v>-0.36422195032219395</v>
      </c>
      <c r="H53" s="62"/>
      <c r="I53" s="63"/>
      <c r="J53" s="65" t="s">
        <v>11</v>
      </c>
      <c r="K53" s="110">
        <v>6.9193858182311203</v>
      </c>
      <c r="L53" s="108">
        <v>-0.1783811791604597</v>
      </c>
      <c r="M53" s="42"/>
    </row>
    <row r="54" spans="2:13" ht="24.75" customHeight="1" x14ac:dyDescent="0.2">
      <c r="C54" s="84" t="s">
        <v>15</v>
      </c>
      <c r="D54" s="85"/>
      <c r="E54" s="86" t="s">
        <v>8</v>
      </c>
      <c r="F54" s="115">
        <v>7.5479841595759671</v>
      </c>
      <c r="G54" s="101">
        <v>-0.2962218061914168</v>
      </c>
      <c r="H54" s="62"/>
      <c r="I54" s="84" t="s">
        <v>15</v>
      </c>
      <c r="J54" s="86" t="s">
        <v>8</v>
      </c>
      <c r="K54" s="115">
        <v>8.011284321864526</v>
      </c>
      <c r="L54" s="102">
        <v>-0.16847825982522835</v>
      </c>
      <c r="M54" s="42"/>
    </row>
    <row r="55" spans="2:13" ht="24.75" customHeight="1" x14ac:dyDescent="0.2">
      <c r="C55" s="88"/>
      <c r="D55" s="89"/>
      <c r="E55" s="90" t="s">
        <v>10</v>
      </c>
      <c r="F55" s="116">
        <v>7.2839068956890083</v>
      </c>
      <c r="G55" s="104">
        <v>-0.40275497329926679</v>
      </c>
      <c r="H55" s="62"/>
      <c r="I55" s="88"/>
      <c r="J55" s="90" t="s">
        <v>10</v>
      </c>
      <c r="K55" s="116">
        <v>7.6995348670200281</v>
      </c>
      <c r="L55" s="105">
        <v>-0.30009304426748074</v>
      </c>
      <c r="M55" s="42"/>
    </row>
    <row r="56" spans="2:13" ht="24.75" customHeight="1" thickBot="1" x14ac:dyDescent="0.25">
      <c r="C56" s="117"/>
      <c r="D56" s="118"/>
      <c r="E56" s="119" t="s">
        <v>11</v>
      </c>
      <c r="F56" s="120">
        <v>8.0187875385479064</v>
      </c>
      <c r="G56" s="121">
        <v>-0.11743376006043782</v>
      </c>
      <c r="H56" s="122"/>
      <c r="I56" s="117"/>
      <c r="J56" s="119" t="s">
        <v>11</v>
      </c>
      <c r="K56" s="120">
        <v>8.5562623880099764</v>
      </c>
      <c r="L56" s="123">
        <v>5.2302028400983858E-2</v>
      </c>
      <c r="M56" s="124"/>
    </row>
    <row r="57" spans="2:13" ht="13.5" thickBot="1" x14ac:dyDescent="0.25">
      <c r="C57" s="125" t="s">
        <v>94</v>
      </c>
      <c r="D57" s="126"/>
      <c r="E57" s="126"/>
      <c r="F57" s="126"/>
      <c r="G57" s="126"/>
      <c r="H57" s="126"/>
      <c r="I57" s="126"/>
      <c r="J57" s="126"/>
      <c r="K57" s="126"/>
      <c r="L57" s="126"/>
      <c r="M57" s="127"/>
    </row>
    <row r="58" spans="2:13" ht="50.25" customHeight="1" thickBot="1" x14ac:dyDescent="0.25">
      <c r="C58" s="128"/>
      <c r="D58" s="128"/>
      <c r="E58" s="129" t="s">
        <v>92</v>
      </c>
      <c r="F58" s="129"/>
      <c r="G58" s="129"/>
      <c r="H58" s="129"/>
      <c r="I58" s="129"/>
      <c r="J58" s="129"/>
      <c r="K58" s="129"/>
      <c r="L58" s="128"/>
      <c r="M58" s="128"/>
    </row>
    <row r="59" spans="2:13" ht="15" customHeight="1" x14ac:dyDescent="0.2">
      <c r="B59" s="5"/>
      <c r="C59" s="6" t="s">
        <v>93</v>
      </c>
      <c r="D59" s="6"/>
      <c r="E59" s="6"/>
      <c r="F59" s="6"/>
      <c r="G59" s="6"/>
      <c r="H59" s="7"/>
      <c r="I59" s="8" t="str">
        <f>I2</f>
        <v>verano 17 (jul-sep)</v>
      </c>
      <c r="J59" s="8"/>
      <c r="K59" s="8"/>
      <c r="L59" s="8"/>
      <c r="M59" s="8"/>
    </row>
    <row r="60" spans="2:13" ht="16.5" customHeight="1" thickBot="1" x14ac:dyDescent="0.25">
      <c r="B60" s="5"/>
      <c r="C60" s="9"/>
      <c r="D60" s="9"/>
      <c r="E60" s="9"/>
      <c r="F60" s="9"/>
      <c r="G60" s="9"/>
      <c r="H60" s="10"/>
      <c r="I60" s="11"/>
      <c r="J60" s="11"/>
      <c r="K60" s="11"/>
      <c r="L60" s="11"/>
      <c r="M60" s="11"/>
    </row>
    <row r="61" spans="2:13" ht="81.75" customHeight="1" x14ac:dyDescent="0.2">
      <c r="C61" s="20" t="str">
        <f t="shared" ref="C61:G61" si="0">C5</f>
        <v>Ámbito</v>
      </c>
      <c r="D61" s="21">
        <f t="shared" si="0"/>
        <v>0</v>
      </c>
      <c r="E61" s="22" t="str">
        <f t="shared" si="0"/>
        <v>Variable</v>
      </c>
      <c r="F61" s="22" t="str">
        <f t="shared" si="0"/>
        <v>Valor absoluto
mensual</v>
      </c>
      <c r="G61" s="22" t="str">
        <f t="shared" si="0"/>
        <v>Variación respecto al período anterior</v>
      </c>
      <c r="H61" s="24"/>
      <c r="I61" s="22" t="str">
        <f>I5</f>
        <v>Ámbito</v>
      </c>
      <c r="J61" s="22" t="str">
        <f t="shared" ref="J61:M61" si="1">J5</f>
        <v>Variable</v>
      </c>
      <c r="K61" s="22" t="str">
        <f t="shared" si="1"/>
        <v>Valor absoluto
acumulado</v>
      </c>
      <c r="L61" s="22" t="str">
        <f t="shared" si="1"/>
        <v>Variación respecto al período anterior</v>
      </c>
      <c r="M61" s="23" t="str">
        <f t="shared" si="1"/>
        <v>Fuente</v>
      </c>
    </row>
    <row r="62" spans="2:13" ht="5.25" customHeight="1" thickBot="1" x14ac:dyDescent="0.25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2:13" ht="20.100000000000001" customHeight="1" thickBot="1" x14ac:dyDescent="0.25">
      <c r="C63" s="27" t="s">
        <v>18</v>
      </c>
      <c r="D63" s="28"/>
      <c r="E63" s="28"/>
      <c r="F63" s="28"/>
      <c r="G63" s="28"/>
      <c r="H63" s="28"/>
      <c r="I63" s="28"/>
      <c r="J63" s="28"/>
      <c r="K63" s="28"/>
      <c r="L63" s="28"/>
      <c r="M63" s="29"/>
    </row>
    <row r="64" spans="2:13" ht="5.25" customHeight="1" thickBot="1" x14ac:dyDescent="0.25"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97"/>
    </row>
    <row r="65" spans="3:13" ht="24.75" customHeight="1" x14ac:dyDescent="0.2">
      <c r="C65" s="38" t="s">
        <v>7</v>
      </c>
      <c r="D65" s="98"/>
      <c r="E65" s="39" t="s">
        <v>8</v>
      </c>
      <c r="F65" s="130">
        <v>0.71739261101611485</v>
      </c>
      <c r="G65" s="61">
        <v>-1.7411561107414375E-3</v>
      </c>
      <c r="H65" s="37"/>
      <c r="I65" s="38" t="s">
        <v>7</v>
      </c>
      <c r="J65" s="39" t="s">
        <v>8</v>
      </c>
      <c r="K65" s="130">
        <v>0.7723314566873255</v>
      </c>
      <c r="L65" s="41">
        <v>-1.7980844296143328E-2</v>
      </c>
      <c r="M65" s="42" t="s">
        <v>9</v>
      </c>
    </row>
    <row r="66" spans="3:13" ht="24.75" customHeight="1" x14ac:dyDescent="0.2">
      <c r="C66" s="43"/>
      <c r="D66" s="44"/>
      <c r="E66" s="45" t="s">
        <v>10</v>
      </c>
      <c r="F66" s="131">
        <v>0.79271631630774497</v>
      </c>
      <c r="G66" s="47">
        <v>-1.3416390922467714E-2</v>
      </c>
      <c r="H66" s="48"/>
      <c r="I66" s="43"/>
      <c r="J66" s="45" t="s">
        <v>10</v>
      </c>
      <c r="K66" s="131">
        <v>0.84330377170236648</v>
      </c>
      <c r="L66" s="49">
        <v>-2.7657368933159621E-2</v>
      </c>
      <c r="M66" s="42"/>
    </row>
    <row r="67" spans="3:13" ht="24.75" customHeight="1" thickBot="1" x14ac:dyDescent="0.25">
      <c r="C67" s="53"/>
      <c r="D67" s="99"/>
      <c r="E67" s="54" t="s">
        <v>11</v>
      </c>
      <c r="F67" s="132">
        <v>0.61297634414983848</v>
      </c>
      <c r="G67" s="67">
        <v>2.30191171087053E-2</v>
      </c>
      <c r="H67" s="48"/>
      <c r="I67" s="53"/>
      <c r="J67" s="54" t="s">
        <v>11</v>
      </c>
      <c r="K67" s="132">
        <v>0.67394723413698587</v>
      </c>
      <c r="L67" s="56">
        <v>1.8647352516103499E-3</v>
      </c>
      <c r="M67" s="42"/>
    </row>
    <row r="68" spans="3:13" ht="24.75" customHeight="1" x14ac:dyDescent="0.2">
      <c r="C68" s="57" t="s">
        <v>12</v>
      </c>
      <c r="D68" s="58"/>
      <c r="E68" s="59" t="s">
        <v>8</v>
      </c>
      <c r="F68" s="133">
        <v>0.50788311247026841</v>
      </c>
      <c r="G68" s="61">
        <v>3.6220203815374052E-2</v>
      </c>
      <c r="H68" s="62"/>
      <c r="I68" s="57" t="s">
        <v>12</v>
      </c>
      <c r="J68" s="59" t="s">
        <v>8</v>
      </c>
      <c r="K68" s="133">
        <v>0.49886613777718686</v>
      </c>
      <c r="L68" s="41">
        <v>-7.1953758918308464E-2</v>
      </c>
      <c r="M68" s="42"/>
    </row>
    <row r="69" spans="3:13" ht="24.75" customHeight="1" thickBot="1" x14ac:dyDescent="0.25">
      <c r="C69" s="63"/>
      <c r="D69" s="64"/>
      <c r="E69" s="65" t="s">
        <v>10</v>
      </c>
      <c r="F69" s="134">
        <v>0.58916042569964522</v>
      </c>
      <c r="G69" s="67">
        <v>8.5265501718379433E-2</v>
      </c>
      <c r="H69" s="62"/>
      <c r="I69" s="63"/>
      <c r="J69" s="65" t="s">
        <v>10</v>
      </c>
      <c r="K69" s="134">
        <v>0.57870045072063891</v>
      </c>
      <c r="L69" s="56">
        <v>1.7698648302466813E-2</v>
      </c>
      <c r="M69" s="42"/>
    </row>
    <row r="70" spans="3:13" ht="24.75" customHeight="1" x14ac:dyDescent="0.2">
      <c r="C70" s="68" t="s">
        <v>13</v>
      </c>
      <c r="D70" s="69"/>
      <c r="E70" s="70" t="s">
        <v>8</v>
      </c>
      <c r="F70" s="135">
        <v>0.52390691114245413</v>
      </c>
      <c r="G70" s="61">
        <v>0.20323698118369515</v>
      </c>
      <c r="H70" s="62"/>
      <c r="I70" s="68" t="s">
        <v>13</v>
      </c>
      <c r="J70" s="70" t="s">
        <v>8</v>
      </c>
      <c r="K70" s="135">
        <v>0.41450757343472128</v>
      </c>
      <c r="L70" s="41">
        <v>6.2298478937986346E-2</v>
      </c>
      <c r="M70" s="42"/>
    </row>
    <row r="71" spans="3:13" ht="24.75" customHeight="1" x14ac:dyDescent="0.2">
      <c r="C71" s="72"/>
      <c r="D71" s="73"/>
      <c r="E71" s="74" t="s">
        <v>10</v>
      </c>
      <c r="F71" s="136">
        <v>0.46994336569579287</v>
      </c>
      <c r="G71" s="47">
        <v>-2.9671593097755578E-2</v>
      </c>
      <c r="H71" s="62"/>
      <c r="I71" s="72"/>
      <c r="J71" s="74" t="s">
        <v>10</v>
      </c>
      <c r="K71" s="136">
        <v>0.41905867454622203</v>
      </c>
      <c r="L71" s="49">
        <v>-5.6729250069206261E-3</v>
      </c>
      <c r="M71" s="42"/>
    </row>
    <row r="72" spans="3:13" ht="24.75" customHeight="1" thickBot="1" x14ac:dyDescent="0.25">
      <c r="C72" s="76"/>
      <c r="D72" s="77"/>
      <c r="E72" s="78" t="s">
        <v>11</v>
      </c>
      <c r="F72" s="137">
        <v>0.59876543209876543</v>
      </c>
      <c r="G72" s="67">
        <v>0.63013987090085921</v>
      </c>
      <c r="H72" s="62"/>
      <c r="I72" s="76"/>
      <c r="J72" s="78" t="s">
        <v>11</v>
      </c>
      <c r="K72" s="137">
        <v>0.40819426145513105</v>
      </c>
      <c r="L72" s="56">
        <v>0.17745972365948193</v>
      </c>
      <c r="M72" s="42"/>
    </row>
    <row r="73" spans="3:13" ht="24.75" customHeight="1" x14ac:dyDescent="0.2">
      <c r="C73" s="57" t="s">
        <v>14</v>
      </c>
      <c r="D73" s="58"/>
      <c r="E73" s="59" t="s">
        <v>8</v>
      </c>
      <c r="F73" s="133">
        <v>0.77277136527923518</v>
      </c>
      <c r="G73" s="61">
        <v>3.5215261364451855E-2</v>
      </c>
      <c r="H73" s="62"/>
      <c r="I73" s="57" t="s">
        <v>14</v>
      </c>
      <c r="J73" s="59" t="s">
        <v>8</v>
      </c>
      <c r="K73" s="133">
        <v>0.80558267560868047</v>
      </c>
      <c r="L73" s="41">
        <v>3.2983848952196748E-2</v>
      </c>
      <c r="M73" s="42"/>
    </row>
    <row r="74" spans="3:13" ht="24.75" customHeight="1" x14ac:dyDescent="0.2">
      <c r="C74" s="80"/>
      <c r="D74" s="81"/>
      <c r="E74" s="82" t="s">
        <v>10</v>
      </c>
      <c r="F74" s="138">
        <v>0.81063619980278145</v>
      </c>
      <c r="G74" s="47">
        <v>4.3435352412640071E-2</v>
      </c>
      <c r="H74" s="62"/>
      <c r="I74" s="80"/>
      <c r="J74" s="82" t="s">
        <v>10</v>
      </c>
      <c r="K74" s="138">
        <v>0.83519630193064232</v>
      </c>
      <c r="L74" s="49">
        <v>4.0979855438948221E-2</v>
      </c>
      <c r="M74" s="42"/>
    </row>
    <row r="75" spans="3:13" ht="24.75" customHeight="1" thickBot="1" x14ac:dyDescent="0.25">
      <c r="C75" s="63"/>
      <c r="D75" s="64"/>
      <c r="E75" s="65" t="s">
        <v>11</v>
      </c>
      <c r="F75" s="134">
        <v>0.69013802315227069</v>
      </c>
      <c r="G75" s="67">
        <v>1.242827663662216E-2</v>
      </c>
      <c r="H75" s="62"/>
      <c r="I75" s="63"/>
      <c r="J75" s="65" t="s">
        <v>11</v>
      </c>
      <c r="K75" s="134">
        <v>0.74095614425645595</v>
      </c>
      <c r="L75" s="56">
        <v>1.2250063459593008E-2</v>
      </c>
      <c r="M75" s="42"/>
    </row>
    <row r="76" spans="3:13" ht="24.75" customHeight="1" x14ac:dyDescent="0.2">
      <c r="C76" s="84" t="s">
        <v>15</v>
      </c>
      <c r="D76" s="85"/>
      <c r="E76" s="86" t="s">
        <v>8</v>
      </c>
      <c r="F76" s="139">
        <v>0.71197845796122228</v>
      </c>
      <c r="G76" s="61">
        <v>-1.1105529706377126E-2</v>
      </c>
      <c r="H76" s="62"/>
      <c r="I76" s="84" t="s">
        <v>15</v>
      </c>
      <c r="J76" s="86" t="s">
        <v>8</v>
      </c>
      <c r="K76" s="139">
        <v>0.77515885202213319</v>
      </c>
      <c r="L76" s="41">
        <v>-2.6740721862382966E-2</v>
      </c>
      <c r="M76" s="42"/>
    </row>
    <row r="77" spans="3:13" ht="24.75" customHeight="1" x14ac:dyDescent="0.2">
      <c r="C77" s="88"/>
      <c r="D77" s="89"/>
      <c r="E77" s="90" t="s">
        <v>10</v>
      </c>
      <c r="F77" s="140">
        <v>0.79883387027339003</v>
      </c>
      <c r="G77" s="47">
        <v>-2.8551783015634991E-2</v>
      </c>
      <c r="H77" s="62"/>
      <c r="I77" s="88"/>
      <c r="J77" s="90" t="s">
        <v>10</v>
      </c>
      <c r="K77" s="140">
        <v>0.86004823513223161</v>
      </c>
      <c r="L77" s="49">
        <v>-4.2748925902146406E-2</v>
      </c>
      <c r="M77" s="42"/>
    </row>
    <row r="78" spans="3:13" ht="24.75" customHeight="1" thickBot="1" x14ac:dyDescent="0.25">
      <c r="C78" s="92"/>
      <c r="D78" s="93"/>
      <c r="E78" s="94" t="s">
        <v>11</v>
      </c>
      <c r="F78" s="141">
        <v>0.60538379809450826</v>
      </c>
      <c r="G78" s="67">
        <v>2.4086551416905966E-2</v>
      </c>
      <c r="H78" s="62"/>
      <c r="I78" s="92"/>
      <c r="J78" s="94" t="s">
        <v>11</v>
      </c>
      <c r="K78" s="141">
        <v>0.67097703216738525</v>
      </c>
      <c r="L78" s="56">
        <v>4.3755475438311819E-3</v>
      </c>
      <c r="M78" s="42"/>
    </row>
    <row r="79" spans="3:13" ht="5.25" customHeight="1" thickBot="1" x14ac:dyDescent="0.25"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</row>
    <row r="80" spans="3:13" ht="20.100000000000001" customHeight="1" thickBot="1" x14ac:dyDescent="0.25">
      <c r="C80" s="27" t="s">
        <v>19</v>
      </c>
      <c r="D80" s="28"/>
      <c r="E80" s="28"/>
      <c r="F80" s="28"/>
      <c r="G80" s="28"/>
      <c r="H80" s="28"/>
      <c r="I80" s="28"/>
      <c r="J80" s="28"/>
      <c r="K80" s="28"/>
      <c r="L80" s="28"/>
      <c r="M80" s="29"/>
    </row>
    <row r="81" spans="3:13" ht="5.25" customHeight="1" thickBot="1" x14ac:dyDescent="0.25">
      <c r="C81" s="142"/>
      <c r="D81" s="30"/>
      <c r="E81" s="30"/>
      <c r="F81" s="30"/>
      <c r="G81" s="30"/>
      <c r="H81" s="30"/>
      <c r="I81" s="30"/>
      <c r="J81" s="30"/>
      <c r="K81" s="30"/>
      <c r="L81" s="30"/>
      <c r="M81" s="97"/>
    </row>
    <row r="82" spans="3:13" ht="33.75" customHeight="1" x14ac:dyDescent="0.2">
      <c r="C82" s="57" t="s">
        <v>7</v>
      </c>
      <c r="D82" s="58"/>
      <c r="E82" s="59" t="s">
        <v>20</v>
      </c>
      <c r="F82" s="60">
        <v>59836</v>
      </c>
      <c r="G82" s="61">
        <v>0.23958484390213597</v>
      </c>
      <c r="H82" s="143"/>
      <c r="I82" s="57" t="s">
        <v>7</v>
      </c>
      <c r="J82" s="59" t="s">
        <v>20</v>
      </c>
      <c r="K82" s="60">
        <v>165010</v>
      </c>
      <c r="L82" s="41">
        <v>0.11284209390469258</v>
      </c>
      <c r="M82" s="42" t="s">
        <v>9</v>
      </c>
    </row>
    <row r="83" spans="3:13" ht="33.75" customHeight="1" x14ac:dyDescent="0.2">
      <c r="C83" s="80"/>
      <c r="D83" s="81"/>
      <c r="E83" s="90" t="s">
        <v>21</v>
      </c>
      <c r="F83" s="91">
        <v>188634</v>
      </c>
      <c r="G83" s="47">
        <v>2.770937302503973E-2</v>
      </c>
      <c r="H83" s="62"/>
      <c r="I83" s="80"/>
      <c r="J83" s="90" t="s">
        <v>21</v>
      </c>
      <c r="K83" s="91">
        <v>613971</v>
      </c>
      <c r="L83" s="49">
        <v>2.0894405600219379E-2</v>
      </c>
      <c r="M83" s="42"/>
    </row>
    <row r="84" spans="3:13" ht="33.75" customHeight="1" x14ac:dyDescent="0.2">
      <c r="C84" s="80"/>
      <c r="D84" s="81"/>
      <c r="E84" s="82" t="s">
        <v>22</v>
      </c>
      <c r="F84" s="83">
        <v>56776</v>
      </c>
      <c r="G84" s="47">
        <v>-0.11916471446080334</v>
      </c>
      <c r="H84" s="62"/>
      <c r="I84" s="80"/>
      <c r="J84" s="82" t="s">
        <v>22</v>
      </c>
      <c r="K84" s="83">
        <v>182079</v>
      </c>
      <c r="L84" s="49">
        <v>-9.4872840070788E-2</v>
      </c>
      <c r="M84" s="42"/>
    </row>
    <row r="85" spans="3:13" ht="33.75" customHeight="1" x14ac:dyDescent="0.2">
      <c r="C85" s="80"/>
      <c r="D85" s="81"/>
      <c r="E85" s="90" t="s">
        <v>23</v>
      </c>
      <c r="F85" s="91">
        <v>15120</v>
      </c>
      <c r="G85" s="47">
        <v>0.13607333383424747</v>
      </c>
      <c r="H85" s="62"/>
      <c r="I85" s="80"/>
      <c r="J85" s="90" t="s">
        <v>23</v>
      </c>
      <c r="K85" s="91">
        <v>42575</v>
      </c>
      <c r="L85" s="49">
        <v>7.8940699442473283E-2</v>
      </c>
      <c r="M85" s="42"/>
    </row>
    <row r="86" spans="3:13" ht="33.75" customHeight="1" thickBot="1" x14ac:dyDescent="0.25">
      <c r="C86" s="63"/>
      <c r="D86" s="64"/>
      <c r="E86" s="65" t="s">
        <v>24</v>
      </c>
      <c r="F86" s="66">
        <v>5200</v>
      </c>
      <c r="G86" s="67">
        <v>9.704641350210963E-2</v>
      </c>
      <c r="H86" s="144"/>
      <c r="I86" s="63"/>
      <c r="J86" s="65" t="s">
        <v>24</v>
      </c>
      <c r="K86" s="66">
        <v>13941</v>
      </c>
      <c r="L86" s="56">
        <v>1.0144192449822453E-2</v>
      </c>
      <c r="M86" s="42"/>
    </row>
    <row r="87" spans="3:13" ht="5.25" customHeight="1" thickBot="1" x14ac:dyDescent="0.25"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</row>
    <row r="88" spans="3:13" ht="20.100000000000001" customHeight="1" thickBot="1" x14ac:dyDescent="0.25">
      <c r="C88" s="27" t="s">
        <v>25</v>
      </c>
      <c r="D88" s="28"/>
      <c r="E88" s="28"/>
      <c r="F88" s="28"/>
      <c r="G88" s="28"/>
      <c r="H88" s="28"/>
      <c r="I88" s="28"/>
      <c r="J88" s="28"/>
      <c r="K88" s="28"/>
      <c r="L88" s="28"/>
      <c r="M88" s="29"/>
    </row>
    <row r="89" spans="3:13" ht="5.25" customHeight="1" thickBot="1" x14ac:dyDescent="0.25">
      <c r="C89" s="142"/>
      <c r="D89" s="30"/>
      <c r="E89" s="30"/>
      <c r="F89" s="30"/>
      <c r="G89" s="30"/>
      <c r="H89" s="30"/>
      <c r="I89" s="30"/>
      <c r="J89" s="30"/>
      <c r="K89" s="30"/>
      <c r="L89" s="30"/>
      <c r="M89" s="97"/>
    </row>
    <row r="90" spans="3:13" s="145" customFormat="1" ht="33.75" customHeight="1" x14ac:dyDescent="0.2">
      <c r="C90" s="57" t="s">
        <v>7</v>
      </c>
      <c r="D90" s="58"/>
      <c r="E90" s="59" t="s">
        <v>20</v>
      </c>
      <c r="F90" s="60">
        <v>330398</v>
      </c>
      <c r="G90" s="61">
        <v>2.0408289323326834E-2</v>
      </c>
      <c r="H90" s="143"/>
      <c r="I90" s="57" t="s">
        <v>7</v>
      </c>
      <c r="J90" s="59" t="s">
        <v>20</v>
      </c>
      <c r="K90" s="60">
        <v>1093643</v>
      </c>
      <c r="L90" s="41">
        <v>5.2150396946036182E-2</v>
      </c>
      <c r="M90" s="42" t="s">
        <v>9</v>
      </c>
    </row>
    <row r="91" spans="3:13" s="145" customFormat="1" ht="33.75" customHeight="1" x14ac:dyDescent="0.2">
      <c r="C91" s="80"/>
      <c r="D91" s="81"/>
      <c r="E91" s="90" t="s">
        <v>21</v>
      </c>
      <c r="F91" s="91">
        <v>1439227</v>
      </c>
      <c r="G91" s="47">
        <v>1.3423097614078339E-2</v>
      </c>
      <c r="H91" s="62"/>
      <c r="I91" s="80"/>
      <c r="J91" s="90" t="s">
        <v>21</v>
      </c>
      <c r="K91" s="91">
        <v>4697507</v>
      </c>
      <c r="L91" s="49">
        <v>-5.2662049781719844E-3</v>
      </c>
      <c r="M91" s="42" t="s">
        <v>26</v>
      </c>
    </row>
    <row r="92" spans="3:13" s="145" customFormat="1" ht="33.75" customHeight="1" x14ac:dyDescent="0.2">
      <c r="C92" s="80"/>
      <c r="D92" s="81"/>
      <c r="E92" s="82" t="s">
        <v>22</v>
      </c>
      <c r="F92" s="83">
        <v>382703</v>
      </c>
      <c r="G92" s="47">
        <v>-8.1469445357820858E-2</v>
      </c>
      <c r="H92" s="62"/>
      <c r="I92" s="80"/>
      <c r="J92" s="82" t="s">
        <v>22</v>
      </c>
      <c r="K92" s="83">
        <v>1245483</v>
      </c>
      <c r="L92" s="49">
        <v>-0.1057434241986045</v>
      </c>
      <c r="M92" s="42" t="s">
        <v>26</v>
      </c>
    </row>
    <row r="93" spans="3:13" s="145" customFormat="1" ht="33.75" customHeight="1" x14ac:dyDescent="0.2">
      <c r="C93" s="80"/>
      <c r="D93" s="81"/>
      <c r="E93" s="90" t="s">
        <v>23</v>
      </c>
      <c r="F93" s="91">
        <v>50167</v>
      </c>
      <c r="G93" s="47">
        <v>-1.739300754088724E-2</v>
      </c>
      <c r="H93" s="62"/>
      <c r="I93" s="80"/>
      <c r="J93" s="90" t="s">
        <v>23</v>
      </c>
      <c r="K93" s="91">
        <v>154844</v>
      </c>
      <c r="L93" s="49">
        <v>-8.6633123145619439E-2</v>
      </c>
      <c r="M93" s="42" t="s">
        <v>26</v>
      </c>
    </row>
    <row r="94" spans="3:13" s="145" customFormat="1" ht="33.75" customHeight="1" thickBot="1" x14ac:dyDescent="0.25">
      <c r="C94" s="63"/>
      <c r="D94" s="64"/>
      <c r="E94" s="65" t="s">
        <v>24</v>
      </c>
      <c r="F94" s="66">
        <v>19362</v>
      </c>
      <c r="G94" s="67">
        <v>7.2358900144720018E-4</v>
      </c>
      <c r="H94" s="144"/>
      <c r="I94" s="63"/>
      <c r="J94" s="65" t="s">
        <v>24</v>
      </c>
      <c r="K94" s="66">
        <v>57036</v>
      </c>
      <c r="L94" s="56">
        <v>-6.2709524748570278E-2</v>
      </c>
      <c r="M94" s="42" t="s">
        <v>26</v>
      </c>
    </row>
    <row r="95" spans="3:13" ht="5.25" customHeight="1" thickBot="1" x14ac:dyDescent="0.25"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</row>
    <row r="96" spans="3:13" ht="20.100000000000001" customHeight="1" thickBot="1" x14ac:dyDescent="0.25">
      <c r="C96" s="27" t="s">
        <v>27</v>
      </c>
      <c r="D96" s="28"/>
      <c r="E96" s="28"/>
      <c r="F96" s="28"/>
      <c r="G96" s="28"/>
      <c r="H96" s="28"/>
      <c r="I96" s="28"/>
      <c r="J96" s="28"/>
      <c r="K96" s="28"/>
      <c r="L96" s="28"/>
      <c r="M96" s="29"/>
    </row>
    <row r="97" spans="3:15" ht="5.25" customHeight="1" thickBot="1" x14ac:dyDescent="0.25">
      <c r="C97" s="142"/>
      <c r="D97" s="30"/>
      <c r="E97" s="30"/>
      <c r="F97" s="30"/>
      <c r="G97" s="30"/>
      <c r="H97" s="30"/>
      <c r="I97" s="30"/>
      <c r="J97" s="30"/>
      <c r="K97" s="30"/>
      <c r="L97" s="30"/>
      <c r="M97" s="97"/>
    </row>
    <row r="98" spans="3:15" ht="33.75" customHeight="1" x14ac:dyDescent="0.2">
      <c r="C98" s="57" t="s">
        <v>7</v>
      </c>
      <c r="D98" s="58"/>
      <c r="E98" s="59" t="s">
        <v>20</v>
      </c>
      <c r="F98" s="146">
        <v>5.5217260512066311</v>
      </c>
      <c r="G98" s="101">
        <v>-1.1860280868887054</v>
      </c>
      <c r="H98" s="143"/>
      <c r="I98" s="57" t="s">
        <v>7</v>
      </c>
      <c r="J98" s="59" t="s">
        <v>20</v>
      </c>
      <c r="K98" s="146">
        <v>6.627737712865887</v>
      </c>
      <c r="L98" s="102">
        <v>-0.38231097945529324</v>
      </c>
      <c r="M98" s="42" t="s">
        <v>9</v>
      </c>
    </row>
    <row r="99" spans="3:15" ht="33.75" customHeight="1" x14ac:dyDescent="0.2">
      <c r="C99" s="80"/>
      <c r="D99" s="81"/>
      <c r="E99" s="74" t="s">
        <v>21</v>
      </c>
      <c r="F99" s="147">
        <v>7.629732709903835</v>
      </c>
      <c r="G99" s="104">
        <v>-0.10755671847457293</v>
      </c>
      <c r="H99" s="62"/>
      <c r="I99" s="80"/>
      <c r="J99" s="74" t="s">
        <v>21</v>
      </c>
      <c r="K99" s="147">
        <v>7.6510242340436276</v>
      </c>
      <c r="L99" s="105">
        <v>-0.20121510550293387</v>
      </c>
      <c r="M99" s="42" t="s">
        <v>26</v>
      </c>
    </row>
    <row r="100" spans="3:15" ht="33.75" customHeight="1" x14ac:dyDescent="0.2">
      <c r="C100" s="80"/>
      <c r="D100" s="81"/>
      <c r="E100" s="82" t="s">
        <v>22</v>
      </c>
      <c r="F100" s="148">
        <v>6.7405770043680429</v>
      </c>
      <c r="G100" s="104">
        <v>0.27662429170688885</v>
      </c>
      <c r="H100" s="62"/>
      <c r="I100" s="80"/>
      <c r="J100" s="82" t="s">
        <v>22</v>
      </c>
      <c r="K100" s="148">
        <v>6.8403440264939945</v>
      </c>
      <c r="L100" s="105">
        <v>-8.3151231106769252E-2</v>
      </c>
      <c r="M100" s="42" t="s">
        <v>26</v>
      </c>
      <c r="O100" s="149"/>
    </row>
    <row r="101" spans="3:15" ht="33.75" customHeight="1" x14ac:dyDescent="0.2">
      <c r="C101" s="80"/>
      <c r="D101" s="81"/>
      <c r="E101" s="74" t="s">
        <v>23</v>
      </c>
      <c r="F101" s="147">
        <v>3.3179232804232806</v>
      </c>
      <c r="G101" s="104">
        <v>-0.51820264939864424</v>
      </c>
      <c r="H101" s="62"/>
      <c r="I101" s="80"/>
      <c r="J101" s="74" t="s">
        <v>23</v>
      </c>
      <c r="K101" s="147">
        <v>3.6369700528479156</v>
      </c>
      <c r="L101" s="105">
        <v>-0.65930465571772023</v>
      </c>
      <c r="M101" s="42" t="s">
        <v>26</v>
      </c>
    </row>
    <row r="102" spans="3:15" ht="33.75" customHeight="1" thickBot="1" x14ac:dyDescent="0.25">
      <c r="C102" s="63"/>
      <c r="D102" s="64"/>
      <c r="E102" s="65" t="s">
        <v>24</v>
      </c>
      <c r="F102" s="150">
        <v>3.7234615384615384</v>
      </c>
      <c r="G102" s="107">
        <v>-0.35839500162284965</v>
      </c>
      <c r="H102" s="144"/>
      <c r="I102" s="63"/>
      <c r="J102" s="65" t="s">
        <v>24</v>
      </c>
      <c r="K102" s="150">
        <v>4.0912416612868521</v>
      </c>
      <c r="L102" s="108">
        <v>-0.31800404554598583</v>
      </c>
      <c r="M102" s="42" t="s">
        <v>26</v>
      </c>
    </row>
    <row r="103" spans="3:15" ht="5.25" customHeight="1" thickBot="1" x14ac:dyDescent="0.25"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</row>
    <row r="104" spans="3:15" ht="20.100000000000001" customHeight="1" thickBot="1" x14ac:dyDescent="0.25">
      <c r="C104" s="27" t="s">
        <v>28</v>
      </c>
      <c r="D104" s="28"/>
      <c r="E104" s="28"/>
      <c r="F104" s="28"/>
      <c r="G104" s="28"/>
      <c r="H104" s="28"/>
      <c r="I104" s="28"/>
      <c r="J104" s="28"/>
      <c r="K104" s="28"/>
      <c r="L104" s="28"/>
      <c r="M104" s="29"/>
    </row>
    <row r="105" spans="3:15" ht="5.25" customHeight="1" thickBot="1" x14ac:dyDescent="0.25"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151"/>
    </row>
    <row r="106" spans="3:15" ht="33.75" customHeight="1" x14ac:dyDescent="0.2">
      <c r="C106" s="57" t="s">
        <v>7</v>
      </c>
      <c r="D106" s="58"/>
      <c r="E106" s="59" t="s">
        <v>20</v>
      </c>
      <c r="F106" s="133">
        <v>0.7353453072488928</v>
      </c>
      <c r="G106" s="61">
        <v>-6.8026641540108956E-2</v>
      </c>
      <c r="H106" s="143"/>
      <c r="I106" s="57" t="s">
        <v>7</v>
      </c>
      <c r="J106" s="59" t="s">
        <v>20</v>
      </c>
      <c r="K106" s="133">
        <v>0.7937119525301114</v>
      </c>
      <c r="L106" s="41">
        <v>-3.9035502448766191E-2</v>
      </c>
      <c r="M106" s="42" t="s">
        <v>9</v>
      </c>
    </row>
    <row r="107" spans="3:15" ht="33.75" customHeight="1" x14ac:dyDescent="0.2">
      <c r="C107" s="80"/>
      <c r="D107" s="81"/>
      <c r="E107" s="74" t="s">
        <v>21</v>
      </c>
      <c r="F107" s="136">
        <v>0.84567387638303748</v>
      </c>
      <c r="G107" s="47">
        <v>-4.9771172767623106E-3</v>
      </c>
      <c r="H107" s="62"/>
      <c r="I107" s="80"/>
      <c r="J107" s="74" t="s">
        <v>21</v>
      </c>
      <c r="K107" s="136">
        <v>0.90006625704052912</v>
      </c>
      <c r="L107" s="49">
        <v>-2.3327087575652605E-2</v>
      </c>
      <c r="M107" s="42" t="s">
        <v>26</v>
      </c>
    </row>
    <row r="108" spans="3:15" ht="33.75" customHeight="1" x14ac:dyDescent="0.2">
      <c r="C108" s="80"/>
      <c r="D108" s="81"/>
      <c r="E108" s="82" t="s">
        <v>22</v>
      </c>
      <c r="F108" s="138">
        <v>0.73058625890078843</v>
      </c>
      <c r="G108" s="47">
        <v>-4.982220889020228E-3</v>
      </c>
      <c r="H108" s="62"/>
      <c r="I108" s="80"/>
      <c r="J108" s="82" t="s">
        <v>22</v>
      </c>
      <c r="K108" s="138">
        <v>0.77531978097773169</v>
      </c>
      <c r="L108" s="49">
        <v>-3.1277525268690543E-2</v>
      </c>
      <c r="M108" s="42" t="s">
        <v>26</v>
      </c>
    </row>
    <row r="109" spans="3:15" ht="33.75" customHeight="1" x14ac:dyDescent="0.2">
      <c r="C109" s="80"/>
      <c r="D109" s="81"/>
      <c r="E109" s="74" t="s">
        <v>23</v>
      </c>
      <c r="F109" s="136">
        <v>0.53137379514881899</v>
      </c>
      <c r="G109" s="47">
        <v>-1.739300754088724E-2</v>
      </c>
      <c r="H109" s="62"/>
      <c r="I109" s="80"/>
      <c r="J109" s="74" t="s">
        <v>23</v>
      </c>
      <c r="K109" s="136">
        <v>0.53482267445876686</v>
      </c>
      <c r="L109" s="49">
        <v>-8.6633123145619328E-2</v>
      </c>
      <c r="M109" s="42" t="s">
        <v>26</v>
      </c>
    </row>
    <row r="110" spans="3:15" ht="33.75" customHeight="1" thickBot="1" x14ac:dyDescent="0.25">
      <c r="C110" s="63"/>
      <c r="D110" s="64"/>
      <c r="E110" s="65" t="s">
        <v>24</v>
      </c>
      <c r="F110" s="134">
        <v>0.57935368043087976</v>
      </c>
      <c r="G110" s="67">
        <v>7.2358900144742222E-4</v>
      </c>
      <c r="H110" s="144"/>
      <c r="I110" s="63"/>
      <c r="J110" s="65" t="s">
        <v>24</v>
      </c>
      <c r="K110" s="134">
        <v>0.55651393333853716</v>
      </c>
      <c r="L110" s="56">
        <v>-6.2709524748570278E-2</v>
      </c>
      <c r="M110" s="42" t="s">
        <v>26</v>
      </c>
    </row>
    <row r="111" spans="3:15" ht="5.25" customHeight="1" thickBot="1" x14ac:dyDescent="0.25">
      <c r="C111" s="152"/>
      <c r="D111" s="152"/>
      <c r="E111" s="153"/>
      <c r="F111" s="96"/>
      <c r="G111" s="154"/>
      <c r="H111" s="155"/>
      <c r="I111" s="96"/>
      <c r="J111" s="154"/>
      <c r="K111" s="153"/>
      <c r="L111" s="152"/>
      <c r="M111" s="156"/>
    </row>
    <row r="112" spans="3:15" ht="17.25" customHeight="1" thickBot="1" x14ac:dyDescent="0.25">
      <c r="C112" s="157"/>
      <c r="D112" s="158"/>
      <c r="E112" s="158"/>
      <c r="F112" s="158"/>
      <c r="G112" s="158"/>
      <c r="H112" s="158"/>
      <c r="I112" s="158"/>
      <c r="J112" s="158"/>
      <c r="K112" s="158"/>
      <c r="L112" s="158"/>
      <c r="M112" s="159"/>
    </row>
    <row r="113" spans="3:19" ht="50.25" customHeight="1" thickBot="1" x14ac:dyDescent="0.25">
      <c r="C113" s="2"/>
      <c r="D113" s="2"/>
      <c r="E113" s="3" t="str">
        <f>$E$1</f>
        <v>INDICADORES TURÍSTICOS DE TENERIFE definitivo</v>
      </c>
      <c r="F113" s="3"/>
      <c r="G113" s="3"/>
      <c r="H113" s="3"/>
      <c r="I113" s="3"/>
      <c r="J113" s="3"/>
      <c r="K113" s="3"/>
      <c r="L113" s="2"/>
      <c r="M113" s="2"/>
    </row>
    <row r="114" spans="3:19" s="1" customFormat="1" ht="9" customHeight="1" thickBot="1" x14ac:dyDescent="0.25">
      <c r="C114" s="160"/>
      <c r="D114" s="161"/>
      <c r="E114" s="162"/>
      <c r="F114" s="162"/>
      <c r="G114" s="162"/>
      <c r="H114" s="162"/>
      <c r="I114" s="162"/>
      <c r="J114" s="162"/>
      <c r="K114" s="162"/>
      <c r="L114" s="161"/>
      <c r="M114" s="163"/>
      <c r="O114" s="4"/>
      <c r="P114" s="4"/>
      <c r="Q114" s="4"/>
      <c r="R114" s="4"/>
      <c r="S114" s="4"/>
    </row>
    <row r="115" spans="3:19" ht="33" customHeight="1" thickBot="1" x14ac:dyDescent="0.25">
      <c r="C115" s="164" t="s">
        <v>29</v>
      </c>
      <c r="D115" s="165"/>
      <c r="E115" s="165"/>
      <c r="F115" s="165"/>
      <c r="G115" s="165"/>
      <c r="H115" s="165"/>
      <c r="I115" s="165"/>
      <c r="J115" s="165"/>
      <c r="K115" s="165"/>
      <c r="L115" s="165"/>
      <c r="M115" s="166"/>
    </row>
    <row r="116" spans="3:19" ht="20.100000000000001" customHeight="1" x14ac:dyDescent="0.2">
      <c r="C116" s="167"/>
      <c r="D116" s="168"/>
      <c r="E116" s="168"/>
      <c r="F116" s="168"/>
      <c r="G116" s="169" t="str">
        <f>C2</f>
        <v>septiembre 2017</v>
      </c>
      <c r="H116" s="170"/>
      <c r="I116" s="170"/>
      <c r="J116" s="168"/>
      <c r="K116" s="168"/>
      <c r="L116" s="168"/>
      <c r="M116" s="171"/>
    </row>
    <row r="117" spans="3:19" ht="5.25" customHeight="1" thickBot="1" x14ac:dyDescent="0.25">
      <c r="C117" s="172"/>
      <c r="D117" s="168"/>
      <c r="E117" s="168"/>
      <c r="F117" s="168"/>
      <c r="G117" s="173"/>
      <c r="H117" s="173"/>
      <c r="I117" s="173"/>
      <c r="J117" s="168"/>
      <c r="K117" s="168"/>
      <c r="L117" s="168"/>
      <c r="M117" s="174"/>
    </row>
    <row r="118" spans="3:19" ht="33" customHeight="1" thickTop="1" thickBot="1" x14ac:dyDescent="0.25">
      <c r="C118" s="175"/>
      <c r="D118" s="176" t="s">
        <v>7</v>
      </c>
      <c r="E118" s="177"/>
      <c r="F118" s="176" t="s">
        <v>30</v>
      </c>
      <c r="G118" s="177"/>
      <c r="H118" s="176" t="s">
        <v>31</v>
      </c>
      <c r="I118" s="177"/>
      <c r="J118" s="176" t="s">
        <v>32</v>
      </c>
      <c r="K118" s="177"/>
      <c r="L118" s="176" t="s">
        <v>33</v>
      </c>
      <c r="M118" s="177"/>
    </row>
    <row r="119" spans="3:19" ht="31.5" customHeight="1" thickBot="1" x14ac:dyDescent="0.25">
      <c r="C119" s="178"/>
      <c r="D119" s="179" t="s">
        <v>34</v>
      </c>
      <c r="E119" s="180" t="s">
        <v>35</v>
      </c>
      <c r="F119" s="179" t="s">
        <v>34</v>
      </c>
      <c r="G119" s="180" t="s">
        <v>35</v>
      </c>
      <c r="H119" s="179" t="s">
        <v>34</v>
      </c>
      <c r="I119" s="180" t="s">
        <v>35</v>
      </c>
      <c r="J119" s="179" t="s">
        <v>34</v>
      </c>
      <c r="K119" s="180" t="s">
        <v>35</v>
      </c>
      <c r="L119" s="179" t="s">
        <v>34</v>
      </c>
      <c r="M119" s="180" t="s">
        <v>35</v>
      </c>
    </row>
    <row r="120" spans="3:19" ht="24" customHeight="1" thickBot="1" x14ac:dyDescent="0.25">
      <c r="C120" s="181" t="s">
        <v>36</v>
      </c>
      <c r="D120" s="182">
        <v>117275</v>
      </c>
      <c r="E120" s="183">
        <v>3.3314536451266141E-2</v>
      </c>
      <c r="F120" s="182">
        <v>14806</v>
      </c>
      <c r="G120" s="183">
        <v>0.14633013316816346</v>
      </c>
      <c r="H120" s="182">
        <v>3212</v>
      </c>
      <c r="I120" s="183">
        <v>0.64296675191815855</v>
      </c>
      <c r="J120" s="182">
        <v>45266</v>
      </c>
      <c r="K120" s="183">
        <v>2.4604450078091311E-2</v>
      </c>
      <c r="L120" s="182">
        <v>53991</v>
      </c>
      <c r="M120" s="183">
        <v>-8.3204760855191129E-3</v>
      </c>
    </row>
    <row r="121" spans="3:19" ht="27" customHeight="1" thickBot="1" x14ac:dyDescent="0.25">
      <c r="C121" s="184" t="s">
        <v>37</v>
      </c>
      <c r="D121" s="185">
        <v>33788.022037777926</v>
      </c>
      <c r="E121" s="186">
        <v>6.0380207074097525E-2</v>
      </c>
      <c r="F121" s="185" t="s">
        <v>38</v>
      </c>
      <c r="G121" s="186" t="s">
        <v>38</v>
      </c>
      <c r="H121" s="185" t="s">
        <v>38</v>
      </c>
      <c r="I121" s="186" t="s">
        <v>38</v>
      </c>
      <c r="J121" s="185" t="s">
        <v>38</v>
      </c>
      <c r="K121" s="186" t="s">
        <v>38</v>
      </c>
      <c r="L121" s="185" t="s">
        <v>38</v>
      </c>
      <c r="M121" s="186" t="s">
        <v>38</v>
      </c>
    </row>
    <row r="122" spans="3:19" ht="28.5" customHeight="1" thickBot="1" x14ac:dyDescent="0.25">
      <c r="C122" s="187" t="s">
        <v>39</v>
      </c>
      <c r="D122" s="188">
        <v>17241.590933562824</v>
      </c>
      <c r="E122" s="189">
        <v>0.24850036996473324</v>
      </c>
      <c r="F122" s="188" t="s">
        <v>38</v>
      </c>
      <c r="G122" s="189" t="s">
        <v>38</v>
      </c>
      <c r="H122" s="188" t="s">
        <v>38</v>
      </c>
      <c r="I122" s="189" t="s">
        <v>38</v>
      </c>
      <c r="J122" s="188" t="s">
        <v>38</v>
      </c>
      <c r="K122" s="189" t="s">
        <v>38</v>
      </c>
      <c r="L122" s="188" t="s">
        <v>38</v>
      </c>
      <c r="M122" s="189" t="s">
        <v>38</v>
      </c>
    </row>
    <row r="123" spans="3:19" ht="27.75" customHeight="1" thickBot="1" x14ac:dyDescent="0.25">
      <c r="C123" s="187" t="s">
        <v>40</v>
      </c>
      <c r="D123" s="188">
        <v>66245.387028659243</v>
      </c>
      <c r="E123" s="189">
        <v>-2.3218917299664965E-2</v>
      </c>
      <c r="F123" s="188" t="s">
        <v>38</v>
      </c>
      <c r="G123" s="189" t="s">
        <v>38</v>
      </c>
      <c r="H123" s="188" t="s">
        <v>38</v>
      </c>
      <c r="I123" s="189" t="s">
        <v>38</v>
      </c>
      <c r="J123" s="188" t="s">
        <v>38</v>
      </c>
      <c r="K123" s="189" t="s">
        <v>38</v>
      </c>
      <c r="L123" s="188" t="s">
        <v>38</v>
      </c>
      <c r="M123" s="189" t="s">
        <v>38</v>
      </c>
    </row>
    <row r="124" spans="3:19" ht="24" customHeight="1" thickBot="1" x14ac:dyDescent="0.25">
      <c r="C124" s="190" t="s">
        <v>41</v>
      </c>
      <c r="D124" s="191">
        <v>13444</v>
      </c>
      <c r="E124" s="189">
        <v>8.5594315245478114E-2</v>
      </c>
      <c r="F124" s="191">
        <v>113</v>
      </c>
      <c r="G124" s="189">
        <v>-0.71099744245524299</v>
      </c>
      <c r="H124" s="191">
        <v>52</v>
      </c>
      <c r="I124" s="189">
        <v>0.52941176470588225</v>
      </c>
      <c r="J124" s="191">
        <v>1236</v>
      </c>
      <c r="K124" s="189">
        <v>0.42560553633218001</v>
      </c>
      <c r="L124" s="191">
        <v>12043</v>
      </c>
      <c r="M124" s="189">
        <v>8.5737468445726606E-2</v>
      </c>
    </row>
    <row r="125" spans="3:19" ht="24" customHeight="1" thickBot="1" x14ac:dyDescent="0.25">
      <c r="C125" s="192" t="s">
        <v>42</v>
      </c>
      <c r="D125" s="188">
        <v>12097</v>
      </c>
      <c r="E125" s="189">
        <v>0.10142948192661394</v>
      </c>
      <c r="F125" s="188">
        <v>135</v>
      </c>
      <c r="G125" s="189">
        <v>0.875</v>
      </c>
      <c r="H125" s="188">
        <v>30</v>
      </c>
      <c r="I125" s="189">
        <v>0.36363636363636354</v>
      </c>
      <c r="J125" s="188">
        <v>1032</v>
      </c>
      <c r="K125" s="189">
        <v>0.20420070011668612</v>
      </c>
      <c r="L125" s="188">
        <v>10900</v>
      </c>
      <c r="M125" s="189">
        <v>8.6523125996810224E-2</v>
      </c>
    </row>
    <row r="126" spans="3:19" ht="24" customHeight="1" thickBot="1" x14ac:dyDescent="0.25">
      <c r="C126" s="190" t="s">
        <v>43</v>
      </c>
      <c r="D126" s="191">
        <v>52488</v>
      </c>
      <c r="E126" s="189">
        <v>-7.8820527360362602E-3</v>
      </c>
      <c r="F126" s="191">
        <v>981</v>
      </c>
      <c r="G126" s="189">
        <v>0.64321608040200995</v>
      </c>
      <c r="H126" s="191">
        <v>986</v>
      </c>
      <c r="I126" s="189">
        <v>0.53582554517133962</v>
      </c>
      <c r="J126" s="191">
        <v>19722</v>
      </c>
      <c r="K126" s="189">
        <v>-1.1180747054399642E-2</v>
      </c>
      <c r="L126" s="191">
        <v>30799</v>
      </c>
      <c r="M126" s="189">
        <v>-2.906591847671891E-2</v>
      </c>
    </row>
    <row r="127" spans="3:19" ht="24" customHeight="1" thickBot="1" x14ac:dyDescent="0.25">
      <c r="C127" s="192" t="s">
        <v>44</v>
      </c>
      <c r="D127" s="188">
        <v>13760</v>
      </c>
      <c r="E127" s="189">
        <v>0.24954594987286605</v>
      </c>
      <c r="F127" s="188">
        <v>453</v>
      </c>
      <c r="G127" s="189">
        <v>0.23097826086956519</v>
      </c>
      <c r="H127" s="188">
        <v>258</v>
      </c>
      <c r="I127" s="189">
        <v>0.30964467005076135</v>
      </c>
      <c r="J127" s="188">
        <v>2784</v>
      </c>
      <c r="K127" s="189">
        <v>0.39899497487437197</v>
      </c>
      <c r="L127" s="188">
        <v>10265</v>
      </c>
      <c r="M127" s="189">
        <v>0.21378739505734901</v>
      </c>
    </row>
    <row r="128" spans="3:19" ht="24" customHeight="1" thickBot="1" x14ac:dyDescent="0.25">
      <c r="C128" s="190" t="s">
        <v>45</v>
      </c>
      <c r="D128" s="191">
        <v>190728</v>
      </c>
      <c r="E128" s="189">
        <v>2.2867684915050646E-2</v>
      </c>
      <c r="F128" s="191">
        <v>663</v>
      </c>
      <c r="G128" s="189">
        <v>-0.14119170984455953</v>
      </c>
      <c r="H128" s="191">
        <v>158</v>
      </c>
      <c r="I128" s="189">
        <v>1.9354838709677358E-2</v>
      </c>
      <c r="J128" s="191">
        <v>11132</v>
      </c>
      <c r="K128" s="189">
        <v>5.4466230936819127E-2</v>
      </c>
      <c r="L128" s="191">
        <v>178775</v>
      </c>
      <c r="M128" s="189">
        <v>2.1688192936335504E-2</v>
      </c>
    </row>
    <row r="129" spans="3:13" ht="24" customHeight="1" thickBot="1" x14ac:dyDescent="0.25">
      <c r="C129" s="192" t="s">
        <v>46</v>
      </c>
      <c r="D129" s="188">
        <v>10297</v>
      </c>
      <c r="E129" s="189">
        <v>0.20489117715890481</v>
      </c>
      <c r="F129" s="188">
        <v>71</v>
      </c>
      <c r="G129" s="189">
        <v>0.54347826086956519</v>
      </c>
      <c r="H129" s="188">
        <v>15</v>
      </c>
      <c r="I129" s="189">
        <v>14</v>
      </c>
      <c r="J129" s="188">
        <v>1009</v>
      </c>
      <c r="K129" s="189">
        <v>0.36351351351351346</v>
      </c>
      <c r="L129" s="188">
        <v>9202</v>
      </c>
      <c r="M129" s="189">
        <v>0.18597757442969454</v>
      </c>
    </row>
    <row r="130" spans="3:13" ht="24" customHeight="1" thickBot="1" x14ac:dyDescent="0.25">
      <c r="C130" s="190" t="s">
        <v>47</v>
      </c>
      <c r="D130" s="191">
        <v>11679</v>
      </c>
      <c r="E130" s="189">
        <v>4.9044914816727125E-3</v>
      </c>
      <c r="F130" s="191">
        <v>520</v>
      </c>
      <c r="G130" s="189">
        <v>-0.195046439628483</v>
      </c>
      <c r="H130" s="191">
        <v>181</v>
      </c>
      <c r="I130" s="189">
        <v>0.66055045871559637</v>
      </c>
      <c r="J130" s="191">
        <v>1749</v>
      </c>
      <c r="K130" s="189">
        <v>0.16989966555183944</v>
      </c>
      <c r="L130" s="191">
        <v>9229</v>
      </c>
      <c r="M130" s="189">
        <v>-1.5258215962441368E-2</v>
      </c>
    </row>
    <row r="131" spans="3:13" ht="24" customHeight="1" thickBot="1" x14ac:dyDescent="0.25">
      <c r="C131" s="192" t="s">
        <v>48</v>
      </c>
      <c r="D131" s="188">
        <v>5487</v>
      </c>
      <c r="E131" s="189">
        <v>0.28712174524982403</v>
      </c>
      <c r="F131" s="188">
        <v>203</v>
      </c>
      <c r="G131" s="189">
        <v>3.0456852791878264E-2</v>
      </c>
      <c r="H131" s="188">
        <v>41</v>
      </c>
      <c r="I131" s="189">
        <v>2.4166666666666665</v>
      </c>
      <c r="J131" s="188">
        <v>931</v>
      </c>
      <c r="K131" s="189">
        <v>0.73048327137546476</v>
      </c>
      <c r="L131" s="188">
        <v>4312</v>
      </c>
      <c r="M131" s="189">
        <v>0.22639362912400451</v>
      </c>
    </row>
    <row r="132" spans="3:13" ht="24" customHeight="1" thickBot="1" x14ac:dyDescent="0.25">
      <c r="C132" s="193" t="s">
        <v>49</v>
      </c>
      <c r="D132" s="191">
        <v>1627</v>
      </c>
      <c r="E132" s="189">
        <v>0.31421647819063003</v>
      </c>
      <c r="F132" s="191">
        <v>69</v>
      </c>
      <c r="G132" s="189">
        <v>0.53333333333333344</v>
      </c>
      <c r="H132" s="191">
        <v>18</v>
      </c>
      <c r="I132" s="189">
        <v>1.25</v>
      </c>
      <c r="J132" s="191">
        <v>181</v>
      </c>
      <c r="K132" s="189">
        <v>1.2073170731707319</v>
      </c>
      <c r="L132" s="191">
        <v>1359</v>
      </c>
      <c r="M132" s="189">
        <v>0.23209428830462375</v>
      </c>
    </row>
    <row r="133" spans="3:13" ht="24" customHeight="1" thickBot="1" x14ac:dyDescent="0.25">
      <c r="C133" s="187" t="s">
        <v>50</v>
      </c>
      <c r="D133" s="188">
        <v>1422</v>
      </c>
      <c r="E133" s="189">
        <v>0.23223570190641252</v>
      </c>
      <c r="F133" s="188">
        <v>79</v>
      </c>
      <c r="G133" s="189">
        <v>0.43636363636363629</v>
      </c>
      <c r="H133" s="188">
        <v>14</v>
      </c>
      <c r="I133" s="189">
        <v>6</v>
      </c>
      <c r="J133" s="188">
        <v>240</v>
      </c>
      <c r="K133" s="189">
        <v>0.6901408450704225</v>
      </c>
      <c r="L133" s="188">
        <v>1089</v>
      </c>
      <c r="M133" s="189">
        <v>0.14031413612565435</v>
      </c>
    </row>
    <row r="134" spans="3:13" ht="24" customHeight="1" thickBot="1" x14ac:dyDescent="0.25">
      <c r="C134" s="193" t="s">
        <v>51</v>
      </c>
      <c r="D134" s="191">
        <v>1602</v>
      </c>
      <c r="E134" s="189">
        <v>0.28985507246376807</v>
      </c>
      <c r="F134" s="191">
        <v>30</v>
      </c>
      <c r="G134" s="189">
        <v>-0.61038961038961037</v>
      </c>
      <c r="H134" s="191">
        <v>4</v>
      </c>
      <c r="I134" s="189">
        <v>3</v>
      </c>
      <c r="J134" s="191">
        <v>290</v>
      </c>
      <c r="K134" s="189">
        <v>0.54255319148936176</v>
      </c>
      <c r="L134" s="191">
        <v>1278</v>
      </c>
      <c r="M134" s="189">
        <v>0.30942622950819665</v>
      </c>
    </row>
    <row r="135" spans="3:13" ht="24" customHeight="1" thickBot="1" x14ac:dyDescent="0.25">
      <c r="C135" s="187" t="s">
        <v>52</v>
      </c>
      <c r="D135" s="188">
        <v>836</v>
      </c>
      <c r="E135" s="189">
        <v>0.32909379968203489</v>
      </c>
      <c r="F135" s="188">
        <v>25</v>
      </c>
      <c r="G135" s="189">
        <v>0.25</v>
      </c>
      <c r="H135" s="188">
        <v>5</v>
      </c>
      <c r="I135" s="189">
        <v>4</v>
      </c>
      <c r="J135" s="188">
        <v>220</v>
      </c>
      <c r="K135" s="189">
        <v>0.74603174603174605</v>
      </c>
      <c r="L135" s="188">
        <v>586</v>
      </c>
      <c r="M135" s="189">
        <v>0.21576763485477168</v>
      </c>
    </row>
    <row r="136" spans="3:13" ht="24" customHeight="1" thickBot="1" x14ac:dyDescent="0.25">
      <c r="C136" s="190" t="s">
        <v>53</v>
      </c>
      <c r="D136" s="191">
        <v>5203</v>
      </c>
      <c r="E136" s="189">
        <v>9.5071788901823773E-3</v>
      </c>
      <c r="F136" s="191">
        <v>91</v>
      </c>
      <c r="G136" s="189">
        <v>0.10975609756097571</v>
      </c>
      <c r="H136" s="191">
        <v>85</v>
      </c>
      <c r="I136" s="189">
        <v>0.49122807017543857</v>
      </c>
      <c r="J136" s="191">
        <v>963</v>
      </c>
      <c r="K136" s="189">
        <v>0.44594594594594605</v>
      </c>
      <c r="L136" s="191">
        <v>4064</v>
      </c>
      <c r="M136" s="189">
        <v>-6.5532306277305108E-2</v>
      </c>
    </row>
    <row r="137" spans="3:13" ht="24" customHeight="1" thickBot="1" x14ac:dyDescent="0.25">
      <c r="C137" s="192" t="s">
        <v>54</v>
      </c>
      <c r="D137" s="188">
        <v>2828</v>
      </c>
      <c r="E137" s="189">
        <v>0.17686225551394097</v>
      </c>
      <c r="F137" s="188">
        <v>61</v>
      </c>
      <c r="G137" s="189">
        <v>7.0175438596491224E-2</v>
      </c>
      <c r="H137" s="188">
        <v>53</v>
      </c>
      <c r="I137" s="189">
        <v>1.9444444444444446</v>
      </c>
      <c r="J137" s="188">
        <v>648</v>
      </c>
      <c r="K137" s="189">
        <v>0.25338491295938104</v>
      </c>
      <c r="L137" s="188">
        <v>2066</v>
      </c>
      <c r="M137" s="189">
        <v>0.14080618442849246</v>
      </c>
    </row>
    <row r="138" spans="3:13" ht="24" customHeight="1" thickBot="1" x14ac:dyDescent="0.25">
      <c r="C138" s="190" t="s">
        <v>55</v>
      </c>
      <c r="D138" s="191">
        <v>8300</v>
      </c>
      <c r="E138" s="189">
        <v>-0.11767832465185502</v>
      </c>
      <c r="F138" s="191">
        <v>303</v>
      </c>
      <c r="G138" s="189">
        <v>1.5249999999999999</v>
      </c>
      <c r="H138" s="191">
        <v>20</v>
      </c>
      <c r="I138" s="189">
        <v>4</v>
      </c>
      <c r="J138" s="191">
        <v>943</v>
      </c>
      <c r="K138" s="189">
        <v>0.10292397660818708</v>
      </c>
      <c r="L138" s="191">
        <v>7034</v>
      </c>
      <c r="M138" s="189">
        <v>-0.1654010441385857</v>
      </c>
    </row>
    <row r="139" spans="3:13" ht="24" customHeight="1" thickBot="1" x14ac:dyDescent="0.25">
      <c r="C139" s="192" t="s">
        <v>56</v>
      </c>
      <c r="D139" s="188">
        <v>13265</v>
      </c>
      <c r="E139" s="189">
        <v>0.11433131720430101</v>
      </c>
      <c r="F139" s="188">
        <v>167</v>
      </c>
      <c r="G139" s="189">
        <v>-2.9069767441860517E-2</v>
      </c>
      <c r="H139" s="188">
        <v>39</v>
      </c>
      <c r="I139" s="189">
        <v>1.2941176470588234</v>
      </c>
      <c r="J139" s="188">
        <v>2679</v>
      </c>
      <c r="K139" s="189">
        <v>0.2472067039106145</v>
      </c>
      <c r="L139" s="188">
        <v>10380</v>
      </c>
      <c r="M139" s="189">
        <v>8.4979617434932653E-2</v>
      </c>
    </row>
    <row r="140" spans="3:13" ht="24" customHeight="1" thickBot="1" x14ac:dyDescent="0.25">
      <c r="C140" s="190" t="s">
        <v>57</v>
      </c>
      <c r="D140" s="191">
        <v>18979</v>
      </c>
      <c r="E140" s="189">
        <v>0.39448934606906683</v>
      </c>
      <c r="F140" s="191">
        <v>427</v>
      </c>
      <c r="G140" s="189">
        <v>-5.1111111111111107E-2</v>
      </c>
      <c r="H140" s="191">
        <v>52</v>
      </c>
      <c r="I140" s="189">
        <v>0.92592592592592582</v>
      </c>
      <c r="J140" s="191">
        <v>4814</v>
      </c>
      <c r="K140" s="189">
        <v>0.25757575757575757</v>
      </c>
      <c r="L140" s="191">
        <v>13686</v>
      </c>
      <c r="M140" s="189">
        <v>0.47082213863514233</v>
      </c>
    </row>
    <row r="141" spans="3:13" ht="24" customHeight="1" thickBot="1" x14ac:dyDescent="0.25">
      <c r="C141" s="192" t="s">
        <v>58</v>
      </c>
      <c r="D141" s="188">
        <v>1302</v>
      </c>
      <c r="E141" s="189">
        <v>-0.31903765690376573</v>
      </c>
      <c r="F141" s="188">
        <v>147</v>
      </c>
      <c r="G141" s="189">
        <v>-6.7567567567567988E-3</v>
      </c>
      <c r="H141" s="188">
        <v>41</v>
      </c>
      <c r="I141" s="189">
        <v>1.4117647058823528</v>
      </c>
      <c r="J141" s="188">
        <v>216</v>
      </c>
      <c r="K141" s="189">
        <v>2.857142857142847E-2</v>
      </c>
      <c r="L141" s="188">
        <v>898</v>
      </c>
      <c r="M141" s="189">
        <v>-0.41574495770982434</v>
      </c>
    </row>
    <row r="142" spans="3:13" ht="24" customHeight="1" thickBot="1" x14ac:dyDescent="0.25">
      <c r="C142" s="190" t="s">
        <v>59</v>
      </c>
      <c r="D142" s="191">
        <v>1864</v>
      </c>
      <c r="E142" s="189">
        <v>4.134078212290504E-2</v>
      </c>
      <c r="F142" s="191">
        <v>415</v>
      </c>
      <c r="G142" s="189">
        <v>0.28086419753086411</v>
      </c>
      <c r="H142" s="191">
        <v>102</v>
      </c>
      <c r="I142" s="189">
        <v>1.0816326530612246</v>
      </c>
      <c r="J142" s="191">
        <v>430</v>
      </c>
      <c r="K142" s="189">
        <v>-7.1274298056155483E-2</v>
      </c>
      <c r="L142" s="191">
        <v>917</v>
      </c>
      <c r="M142" s="189">
        <v>-3.8784067085953833E-2</v>
      </c>
    </row>
    <row r="143" spans="3:13" ht="24" customHeight="1" thickBot="1" x14ac:dyDescent="0.25">
      <c r="C143" s="192" t="s">
        <v>60</v>
      </c>
      <c r="D143" s="194">
        <v>5271</v>
      </c>
      <c r="E143" s="195">
        <v>0.10041753653444685</v>
      </c>
      <c r="F143" s="194">
        <v>357</v>
      </c>
      <c r="G143" s="195">
        <v>-0.24364406779661019</v>
      </c>
      <c r="H143" s="194">
        <v>56</v>
      </c>
      <c r="I143" s="195">
        <v>0.4358974358974359</v>
      </c>
      <c r="J143" s="194">
        <v>1560</v>
      </c>
      <c r="K143" s="195">
        <v>1.03125</v>
      </c>
      <c r="L143" s="194">
        <v>3298</v>
      </c>
      <c r="M143" s="195">
        <v>-6.0666476787240131E-2</v>
      </c>
    </row>
    <row r="144" spans="3:13" ht="30.75" customHeight="1" thickTop="1" thickBot="1" x14ac:dyDescent="0.25">
      <c r="C144" s="196" t="s">
        <v>61</v>
      </c>
      <c r="D144" s="197">
        <v>366992</v>
      </c>
      <c r="E144" s="198">
        <v>5.1104256349008503E-2</v>
      </c>
      <c r="F144" s="197">
        <v>5107</v>
      </c>
      <c r="G144" s="198">
        <v>3.9275539275539284E-2</v>
      </c>
      <c r="H144" s="197">
        <v>2169</v>
      </c>
      <c r="I144" s="198">
        <v>0.54928571428571438</v>
      </c>
      <c r="J144" s="197">
        <v>51848</v>
      </c>
      <c r="K144" s="198">
        <v>0.1163551804323486</v>
      </c>
      <c r="L144" s="197">
        <v>307868</v>
      </c>
      <c r="M144" s="198">
        <v>3.8722498321474008E-2</v>
      </c>
    </row>
    <row r="145" spans="3:13" ht="24" customHeight="1" thickBot="1" x14ac:dyDescent="0.25">
      <c r="C145" s="199" t="s">
        <v>8</v>
      </c>
      <c r="D145" s="200">
        <v>484267</v>
      </c>
      <c r="E145" s="201">
        <v>4.6740143047663052E-2</v>
      </c>
      <c r="F145" s="200">
        <v>19913</v>
      </c>
      <c r="G145" s="201">
        <v>0.11682557487380829</v>
      </c>
      <c r="H145" s="200">
        <v>5381</v>
      </c>
      <c r="I145" s="201">
        <v>0.60387481371087937</v>
      </c>
      <c r="J145" s="200">
        <v>97114</v>
      </c>
      <c r="K145" s="201">
        <v>7.1626408306942002E-2</v>
      </c>
      <c r="L145" s="200">
        <v>361859</v>
      </c>
      <c r="M145" s="201">
        <v>3.1422178516966603E-2</v>
      </c>
    </row>
    <row r="146" spans="3:13" ht="13.5" thickBot="1" x14ac:dyDescent="0.25">
      <c r="C146" s="18"/>
      <c r="D146" s="5"/>
      <c r="E146" s="5"/>
      <c r="F146" s="5"/>
      <c r="G146" s="5"/>
      <c r="H146" s="5"/>
      <c r="I146" s="5"/>
      <c r="J146" s="5"/>
      <c r="K146" s="5"/>
      <c r="L146" s="5"/>
      <c r="M146" s="202"/>
    </row>
    <row r="147" spans="3:13" ht="35.25" customHeight="1" thickBot="1" x14ac:dyDescent="0.25">
      <c r="C147" s="164" t="s">
        <v>29</v>
      </c>
      <c r="D147" s="165"/>
      <c r="E147" s="165"/>
      <c r="F147" s="165"/>
      <c r="G147" s="165"/>
      <c r="H147" s="165"/>
      <c r="I147" s="165"/>
      <c r="J147" s="165"/>
      <c r="K147" s="165"/>
      <c r="L147" s="165"/>
      <c r="M147" s="166"/>
    </row>
    <row r="148" spans="3:13" ht="20.100000000000001" customHeight="1" x14ac:dyDescent="0.2">
      <c r="C148" s="167"/>
      <c r="D148" s="168"/>
      <c r="E148" s="168"/>
      <c r="F148" s="168"/>
      <c r="G148" s="169" t="str">
        <f>I2</f>
        <v>verano 17 (jul-sep)</v>
      </c>
      <c r="H148" s="170"/>
      <c r="I148" s="170"/>
      <c r="J148" s="168"/>
      <c r="K148" s="168"/>
      <c r="L148" s="168"/>
      <c r="M148" s="171"/>
    </row>
    <row r="149" spans="3:13" ht="5.25" customHeight="1" thickBot="1" x14ac:dyDescent="0.25">
      <c r="C149" s="172"/>
      <c r="D149" s="168"/>
      <c r="E149" s="168"/>
      <c r="F149" s="168"/>
      <c r="G149" s="173"/>
      <c r="H149" s="173"/>
      <c r="I149" s="173"/>
      <c r="J149" s="168"/>
      <c r="K149" s="168"/>
      <c r="L149" s="168"/>
      <c r="M149" s="174"/>
    </row>
    <row r="150" spans="3:13" ht="32.25" customHeight="1" thickTop="1" thickBot="1" x14ac:dyDescent="0.25">
      <c r="C150" s="175"/>
      <c r="D150" s="176" t="s">
        <v>7</v>
      </c>
      <c r="E150" s="177"/>
      <c r="F150" s="176" t="s">
        <v>30</v>
      </c>
      <c r="G150" s="177"/>
      <c r="H150" s="176" t="s">
        <v>31</v>
      </c>
      <c r="I150" s="177"/>
      <c r="J150" s="176" t="s">
        <v>32</v>
      </c>
      <c r="K150" s="177"/>
      <c r="L150" s="176" t="s">
        <v>33</v>
      </c>
      <c r="M150" s="177"/>
    </row>
    <row r="151" spans="3:13" ht="31.5" customHeight="1" thickBot="1" x14ac:dyDescent="0.25">
      <c r="C151" s="178"/>
      <c r="D151" s="179" t="s">
        <v>62</v>
      </c>
      <c r="E151" s="180" t="s">
        <v>35</v>
      </c>
      <c r="F151" s="179" t="s">
        <v>62</v>
      </c>
      <c r="G151" s="180" t="s">
        <v>35</v>
      </c>
      <c r="H151" s="179" t="s">
        <v>62</v>
      </c>
      <c r="I151" s="180" t="s">
        <v>35</v>
      </c>
      <c r="J151" s="179" t="s">
        <v>62</v>
      </c>
      <c r="K151" s="180" t="s">
        <v>35</v>
      </c>
      <c r="L151" s="179" t="s">
        <v>62</v>
      </c>
      <c r="M151" s="180" t="s">
        <v>35</v>
      </c>
    </row>
    <row r="152" spans="3:13" ht="24" customHeight="1" thickBot="1" x14ac:dyDescent="0.25">
      <c r="C152" s="181" t="s">
        <v>36</v>
      </c>
      <c r="D152" s="182">
        <v>411373</v>
      </c>
      <c r="E152" s="183">
        <v>4.2437649825404211E-2</v>
      </c>
      <c r="F152" s="182">
        <v>41524</v>
      </c>
      <c r="G152" s="183">
        <v>0.10134472057926436</v>
      </c>
      <c r="H152" s="182">
        <v>9653</v>
      </c>
      <c r="I152" s="183">
        <v>0.59290429042904291</v>
      </c>
      <c r="J152" s="182">
        <v>163616</v>
      </c>
      <c r="K152" s="183">
        <v>5.0659166361645802E-2</v>
      </c>
      <c r="L152" s="182">
        <v>196580</v>
      </c>
      <c r="M152" s="183">
        <v>7.3999672023614682E-3</v>
      </c>
    </row>
    <row r="153" spans="3:13" ht="24" customHeight="1" thickBot="1" x14ac:dyDescent="0.25">
      <c r="C153" s="184" t="s">
        <v>37</v>
      </c>
      <c r="D153" s="185">
        <v>115441.51120306674</v>
      </c>
      <c r="E153" s="186">
        <v>2.0353824073198412E-2</v>
      </c>
      <c r="F153" s="185" t="s">
        <v>38</v>
      </c>
      <c r="G153" s="186" t="s">
        <v>38</v>
      </c>
      <c r="H153" s="185" t="s">
        <v>38</v>
      </c>
      <c r="I153" s="186" t="s">
        <v>38</v>
      </c>
      <c r="J153" s="185" t="s">
        <v>38</v>
      </c>
      <c r="K153" s="186" t="s">
        <v>38</v>
      </c>
      <c r="L153" s="185" t="s">
        <v>38</v>
      </c>
      <c r="M153" s="186" t="s">
        <v>38</v>
      </c>
    </row>
    <row r="154" spans="3:13" ht="24" customHeight="1" thickBot="1" x14ac:dyDescent="0.25">
      <c r="C154" s="187" t="s">
        <v>39</v>
      </c>
      <c r="D154" s="188">
        <v>56884.995894824984</v>
      </c>
      <c r="E154" s="189">
        <v>0.10341427610070575</v>
      </c>
      <c r="F154" s="188" t="s">
        <v>38</v>
      </c>
      <c r="G154" s="189" t="s">
        <v>38</v>
      </c>
      <c r="H154" s="188" t="s">
        <v>38</v>
      </c>
      <c r="I154" s="189" t="s">
        <v>38</v>
      </c>
      <c r="J154" s="188" t="s">
        <v>38</v>
      </c>
      <c r="K154" s="189" t="s">
        <v>38</v>
      </c>
      <c r="L154" s="188" t="s">
        <v>38</v>
      </c>
      <c r="M154" s="189" t="s">
        <v>38</v>
      </c>
    </row>
    <row r="155" spans="3:13" ht="24" customHeight="1" thickBot="1" x14ac:dyDescent="0.25">
      <c r="C155" s="187" t="s">
        <v>40</v>
      </c>
      <c r="D155" s="188">
        <v>239046.49290210829</v>
      </c>
      <c r="E155" s="189">
        <v>3.9632362161845069E-2</v>
      </c>
      <c r="F155" s="188" t="s">
        <v>38</v>
      </c>
      <c r="G155" s="189" t="s">
        <v>38</v>
      </c>
      <c r="H155" s="188" t="s">
        <v>38</v>
      </c>
      <c r="I155" s="189" t="s">
        <v>38</v>
      </c>
      <c r="J155" s="188" t="s">
        <v>38</v>
      </c>
      <c r="K155" s="189" t="s">
        <v>38</v>
      </c>
      <c r="L155" s="188" t="s">
        <v>38</v>
      </c>
      <c r="M155" s="189" t="s">
        <v>38</v>
      </c>
    </row>
    <row r="156" spans="3:13" ht="24" customHeight="1" thickBot="1" x14ac:dyDescent="0.25">
      <c r="C156" s="190" t="s">
        <v>41</v>
      </c>
      <c r="D156" s="191">
        <v>50150</v>
      </c>
      <c r="E156" s="189">
        <v>1.9101808575492818E-2</v>
      </c>
      <c r="F156" s="191">
        <v>280</v>
      </c>
      <c r="G156" s="189">
        <v>-0.59243085880640467</v>
      </c>
      <c r="H156" s="191">
        <v>155</v>
      </c>
      <c r="I156" s="189">
        <v>0.42201834862385312</v>
      </c>
      <c r="J156" s="191">
        <v>4876</v>
      </c>
      <c r="K156" s="189">
        <v>0.39433800400343144</v>
      </c>
      <c r="L156" s="191">
        <v>44839</v>
      </c>
      <c r="M156" s="189">
        <v>-1.7365362780239479E-3</v>
      </c>
    </row>
    <row r="157" spans="3:13" ht="24" customHeight="1" thickBot="1" x14ac:dyDescent="0.25">
      <c r="C157" s="192" t="s">
        <v>42</v>
      </c>
      <c r="D157" s="188">
        <v>39278</v>
      </c>
      <c r="E157" s="189">
        <v>-7.886234704520545E-4</v>
      </c>
      <c r="F157" s="188">
        <v>549</v>
      </c>
      <c r="G157" s="189">
        <v>0.5641025641025641</v>
      </c>
      <c r="H157" s="188">
        <v>148</v>
      </c>
      <c r="I157" s="189">
        <v>0.7831325301204819</v>
      </c>
      <c r="J157" s="188">
        <v>3515</v>
      </c>
      <c r="K157" s="189">
        <v>0.43998361327324864</v>
      </c>
      <c r="L157" s="188">
        <v>35066</v>
      </c>
      <c r="M157" s="189">
        <v>-3.7547345885711181E-2</v>
      </c>
    </row>
    <row r="158" spans="3:13" ht="24" customHeight="1" thickBot="1" x14ac:dyDescent="0.25">
      <c r="C158" s="190" t="s">
        <v>43</v>
      </c>
      <c r="D158" s="191">
        <v>143552</v>
      </c>
      <c r="E158" s="189">
        <v>-7.052996212243845E-2</v>
      </c>
      <c r="F158" s="191">
        <v>1918</v>
      </c>
      <c r="G158" s="189">
        <v>8.0563380281690078E-2</v>
      </c>
      <c r="H158" s="191">
        <v>1883</v>
      </c>
      <c r="I158" s="189">
        <v>0.15379901960784315</v>
      </c>
      <c r="J158" s="191">
        <v>50879</v>
      </c>
      <c r="K158" s="189">
        <v>-8.6421748186454095E-2</v>
      </c>
      <c r="L158" s="191">
        <v>88872</v>
      </c>
      <c r="M158" s="189">
        <v>-6.790006922157199E-2</v>
      </c>
    </row>
    <row r="159" spans="3:13" ht="24" customHeight="1" thickBot="1" x14ac:dyDescent="0.25">
      <c r="C159" s="192" t="s">
        <v>44</v>
      </c>
      <c r="D159" s="188">
        <v>48540</v>
      </c>
      <c r="E159" s="189">
        <v>0.1198265122502653</v>
      </c>
      <c r="F159" s="188">
        <v>1667</v>
      </c>
      <c r="G159" s="189">
        <v>0.21060275962236741</v>
      </c>
      <c r="H159" s="188">
        <v>841</v>
      </c>
      <c r="I159" s="189">
        <v>0.10078534031413611</v>
      </c>
      <c r="J159" s="188">
        <v>10904</v>
      </c>
      <c r="K159" s="189">
        <v>0.30947520115287608</v>
      </c>
      <c r="L159" s="188">
        <v>35128</v>
      </c>
      <c r="M159" s="189">
        <v>6.8434819636230992E-2</v>
      </c>
    </row>
    <row r="160" spans="3:13" ht="24" customHeight="1" thickBot="1" x14ac:dyDescent="0.25">
      <c r="C160" s="190" t="s">
        <v>45</v>
      </c>
      <c r="D160" s="191">
        <v>570582</v>
      </c>
      <c r="E160" s="189">
        <v>-7.5436713693580737E-3</v>
      </c>
      <c r="F160" s="191">
        <v>2198</v>
      </c>
      <c r="G160" s="189">
        <v>-0.14507973551147413</v>
      </c>
      <c r="H160" s="191">
        <v>391</v>
      </c>
      <c r="I160" s="189">
        <v>3.4391534391534417E-2</v>
      </c>
      <c r="J160" s="191">
        <v>32568</v>
      </c>
      <c r="K160" s="189">
        <v>0.13059779212664036</v>
      </c>
      <c r="L160" s="191">
        <v>535425</v>
      </c>
      <c r="M160" s="189">
        <v>-1.4247998762804581E-2</v>
      </c>
    </row>
    <row r="161" spans="3:13" ht="24" customHeight="1" thickBot="1" x14ac:dyDescent="0.25">
      <c r="C161" s="192" t="s">
        <v>46</v>
      </c>
      <c r="D161" s="188">
        <v>32876</v>
      </c>
      <c r="E161" s="189">
        <v>0.20752222140600907</v>
      </c>
      <c r="F161" s="188">
        <v>200</v>
      </c>
      <c r="G161" s="189">
        <v>-0.35483870967741937</v>
      </c>
      <c r="H161" s="188">
        <v>68</v>
      </c>
      <c r="I161" s="189">
        <v>1.193548387096774</v>
      </c>
      <c r="J161" s="188">
        <v>3234</v>
      </c>
      <c r="K161" s="189">
        <v>0.5466284074605452</v>
      </c>
      <c r="L161" s="188">
        <v>29374</v>
      </c>
      <c r="M161" s="189">
        <v>0.1847221101879486</v>
      </c>
    </row>
    <row r="162" spans="3:13" ht="24" customHeight="1" thickBot="1" x14ac:dyDescent="0.25">
      <c r="C162" s="190" t="s">
        <v>47</v>
      </c>
      <c r="D162" s="191">
        <v>39652</v>
      </c>
      <c r="E162" s="189">
        <v>-5.9643797282234901E-2</v>
      </c>
      <c r="F162" s="191">
        <v>2100</v>
      </c>
      <c r="G162" s="189">
        <v>-4.1970802919708006E-2</v>
      </c>
      <c r="H162" s="191">
        <v>456</v>
      </c>
      <c r="I162" s="189">
        <v>0.37764350453172213</v>
      </c>
      <c r="J162" s="191">
        <v>5744</v>
      </c>
      <c r="K162" s="189">
        <v>0.20621587568248634</v>
      </c>
      <c r="L162" s="191">
        <v>31352</v>
      </c>
      <c r="M162" s="189">
        <v>-0.10119832578407206</v>
      </c>
    </row>
    <row r="163" spans="3:13" ht="24" customHeight="1" thickBot="1" x14ac:dyDescent="0.25">
      <c r="C163" s="192" t="s">
        <v>48</v>
      </c>
      <c r="D163" s="188">
        <v>17414</v>
      </c>
      <c r="E163" s="189">
        <v>0.19290313741608434</v>
      </c>
      <c r="F163" s="188">
        <v>454</v>
      </c>
      <c r="G163" s="189">
        <v>-9.9206349206349187E-2</v>
      </c>
      <c r="H163" s="188">
        <v>96</v>
      </c>
      <c r="I163" s="189">
        <v>0.84615384615384626</v>
      </c>
      <c r="J163" s="188">
        <v>2433</v>
      </c>
      <c r="K163" s="189">
        <v>0.63288590604026851</v>
      </c>
      <c r="L163" s="188">
        <v>14431</v>
      </c>
      <c r="M163" s="189">
        <v>0.14969725940089229</v>
      </c>
    </row>
    <row r="164" spans="3:13" ht="24" customHeight="1" thickBot="1" x14ac:dyDescent="0.25">
      <c r="C164" s="193" t="s">
        <v>49</v>
      </c>
      <c r="D164" s="191">
        <v>4879</v>
      </c>
      <c r="E164" s="189">
        <v>0.31191180424845388</v>
      </c>
      <c r="F164" s="191">
        <v>151</v>
      </c>
      <c r="G164" s="189">
        <v>-9.5808383233532912E-2</v>
      </c>
      <c r="H164" s="191">
        <v>38</v>
      </c>
      <c r="I164" s="189">
        <v>0.80952380952380953</v>
      </c>
      <c r="J164" s="191">
        <v>545</v>
      </c>
      <c r="K164" s="189">
        <v>1.1713147410358564</v>
      </c>
      <c r="L164" s="191">
        <v>4145</v>
      </c>
      <c r="M164" s="189">
        <v>0.26371951219512191</v>
      </c>
    </row>
    <row r="165" spans="3:13" ht="24" customHeight="1" thickBot="1" x14ac:dyDescent="0.25">
      <c r="C165" s="187" t="s">
        <v>50</v>
      </c>
      <c r="D165" s="188">
        <v>5281</v>
      </c>
      <c r="E165" s="189">
        <v>0.17512238540275926</v>
      </c>
      <c r="F165" s="188">
        <v>173</v>
      </c>
      <c r="G165" s="189">
        <v>0.1768707482993197</v>
      </c>
      <c r="H165" s="188">
        <v>34</v>
      </c>
      <c r="I165" s="189">
        <v>1.4285714285714284</v>
      </c>
      <c r="J165" s="188">
        <v>622</v>
      </c>
      <c r="K165" s="189">
        <v>0.95597484276729561</v>
      </c>
      <c r="L165" s="188">
        <v>4452</v>
      </c>
      <c r="M165" s="189">
        <v>0.10884184308841838</v>
      </c>
    </row>
    <row r="166" spans="3:13" ht="24" customHeight="1" thickBot="1" x14ac:dyDescent="0.25">
      <c r="C166" s="193" t="s">
        <v>51</v>
      </c>
      <c r="D166" s="191">
        <v>5836</v>
      </c>
      <c r="E166" s="189">
        <v>9.0026148673888695E-2</v>
      </c>
      <c r="F166" s="191">
        <v>81</v>
      </c>
      <c r="G166" s="189">
        <v>-0.40441176470588236</v>
      </c>
      <c r="H166" s="191">
        <v>17</v>
      </c>
      <c r="I166" s="189">
        <v>0.30769230769230771</v>
      </c>
      <c r="J166" s="191">
        <v>948</v>
      </c>
      <c r="K166" s="189">
        <v>0.38192419825072887</v>
      </c>
      <c r="L166" s="191">
        <v>4790</v>
      </c>
      <c r="M166" s="189">
        <v>5.996901969462276E-2</v>
      </c>
    </row>
    <row r="167" spans="3:13" ht="24" customHeight="1" thickBot="1" x14ac:dyDescent="0.25">
      <c r="C167" s="187" t="s">
        <v>52</v>
      </c>
      <c r="D167" s="188">
        <v>1418</v>
      </c>
      <c r="E167" s="189">
        <v>0.37536372453928224</v>
      </c>
      <c r="F167" s="188">
        <v>49</v>
      </c>
      <c r="G167" s="189">
        <v>-9.259259259259256E-2</v>
      </c>
      <c r="H167" s="188">
        <v>7</v>
      </c>
      <c r="I167" s="189">
        <v>0.75</v>
      </c>
      <c r="J167" s="188">
        <v>318</v>
      </c>
      <c r="K167" s="189">
        <v>0.35319148936170208</v>
      </c>
      <c r="L167" s="188">
        <v>1044</v>
      </c>
      <c r="M167" s="189">
        <v>0.41463414634146334</v>
      </c>
    </row>
    <row r="168" spans="3:13" ht="24" customHeight="1" thickBot="1" x14ac:dyDescent="0.25">
      <c r="C168" s="190" t="s">
        <v>53</v>
      </c>
      <c r="D168" s="191">
        <v>13356</v>
      </c>
      <c r="E168" s="189">
        <v>-2.3755573422995391E-2</v>
      </c>
      <c r="F168" s="191">
        <v>212</v>
      </c>
      <c r="G168" s="189">
        <v>-0.11297071129707115</v>
      </c>
      <c r="H168" s="191">
        <v>173</v>
      </c>
      <c r="I168" s="189">
        <v>0.41803278688524581</v>
      </c>
      <c r="J168" s="191">
        <v>2401</v>
      </c>
      <c r="K168" s="189">
        <v>0.13201320132013206</v>
      </c>
      <c r="L168" s="191">
        <v>10570</v>
      </c>
      <c r="M168" s="189">
        <v>-5.6165729082953808E-2</v>
      </c>
    </row>
    <row r="169" spans="3:13" ht="24" customHeight="1" thickBot="1" x14ac:dyDescent="0.25">
      <c r="C169" s="192" t="s">
        <v>54</v>
      </c>
      <c r="D169" s="188">
        <v>8745</v>
      </c>
      <c r="E169" s="189">
        <v>4.1071428571428648E-2</v>
      </c>
      <c r="F169" s="188">
        <v>120</v>
      </c>
      <c r="G169" s="189">
        <v>-9.7744360902255689E-2</v>
      </c>
      <c r="H169" s="188">
        <v>100</v>
      </c>
      <c r="I169" s="189">
        <v>0.85185185185185186</v>
      </c>
      <c r="J169" s="188">
        <v>2015</v>
      </c>
      <c r="K169" s="189">
        <v>0.24382716049382713</v>
      </c>
      <c r="L169" s="188">
        <v>6510</v>
      </c>
      <c r="M169" s="189">
        <v>-1.2589109661762521E-2</v>
      </c>
    </row>
    <row r="170" spans="3:13" ht="24" customHeight="1" thickBot="1" x14ac:dyDescent="0.25">
      <c r="C170" s="190" t="s">
        <v>55</v>
      </c>
      <c r="D170" s="191">
        <v>24603</v>
      </c>
      <c r="E170" s="189">
        <v>-8.7493509383576917E-2</v>
      </c>
      <c r="F170" s="191">
        <v>483</v>
      </c>
      <c r="G170" s="189">
        <v>-0.21844660194174759</v>
      </c>
      <c r="H170" s="191">
        <v>40</v>
      </c>
      <c r="I170" s="189">
        <v>-0.21568627450980393</v>
      </c>
      <c r="J170" s="191">
        <v>2748</v>
      </c>
      <c r="K170" s="189">
        <v>0.20262582056892775</v>
      </c>
      <c r="L170" s="191">
        <v>21332</v>
      </c>
      <c r="M170" s="189">
        <v>-0.11146284571809395</v>
      </c>
    </row>
    <row r="171" spans="3:13" ht="24" customHeight="1" thickBot="1" x14ac:dyDescent="0.25">
      <c r="C171" s="192" t="s">
        <v>56</v>
      </c>
      <c r="D171" s="188">
        <v>42588</v>
      </c>
      <c r="E171" s="189">
        <v>0.15577507598784202</v>
      </c>
      <c r="F171" s="188">
        <v>490</v>
      </c>
      <c r="G171" s="189">
        <v>-0.10746812386156646</v>
      </c>
      <c r="H171" s="188">
        <v>120</v>
      </c>
      <c r="I171" s="189">
        <v>2.75</v>
      </c>
      <c r="J171" s="188">
        <v>7937</v>
      </c>
      <c r="K171" s="189">
        <v>0.23035188342892576</v>
      </c>
      <c r="L171" s="188">
        <v>34041</v>
      </c>
      <c r="M171" s="189">
        <v>0.14170244164207135</v>
      </c>
    </row>
    <row r="172" spans="3:13" ht="24" customHeight="1" thickBot="1" x14ac:dyDescent="0.25">
      <c r="C172" s="190" t="s">
        <v>57</v>
      </c>
      <c r="D172" s="191">
        <v>52458</v>
      </c>
      <c r="E172" s="189">
        <v>0.19734319364557651</v>
      </c>
      <c r="F172" s="191">
        <v>1315</v>
      </c>
      <c r="G172" s="189">
        <v>6.564019448946512E-2</v>
      </c>
      <c r="H172" s="191">
        <v>173</v>
      </c>
      <c r="I172" s="189">
        <v>0.76530612244897966</v>
      </c>
      <c r="J172" s="191">
        <v>14586</v>
      </c>
      <c r="K172" s="189">
        <v>0.2760038491820489</v>
      </c>
      <c r="L172" s="191">
        <v>36384</v>
      </c>
      <c r="M172" s="189">
        <v>0.17182517955489707</v>
      </c>
    </row>
    <row r="173" spans="3:13" ht="24" customHeight="1" thickBot="1" x14ac:dyDescent="0.25">
      <c r="C173" s="192" t="s">
        <v>58</v>
      </c>
      <c r="D173" s="188">
        <v>4672</v>
      </c>
      <c r="E173" s="189">
        <v>-4.0460053399055229E-2</v>
      </c>
      <c r="F173" s="188">
        <v>521</v>
      </c>
      <c r="G173" s="189">
        <v>-1.9157088122605526E-3</v>
      </c>
      <c r="H173" s="188">
        <v>125</v>
      </c>
      <c r="I173" s="189">
        <v>1.192982456140351</v>
      </c>
      <c r="J173" s="188">
        <v>720</v>
      </c>
      <c r="K173" s="189">
        <v>9.5890410958904049E-2</v>
      </c>
      <c r="L173" s="188">
        <v>3306</v>
      </c>
      <c r="M173" s="189">
        <v>-9.0008257638315436E-2</v>
      </c>
    </row>
    <row r="174" spans="3:13" ht="24" customHeight="1" thickBot="1" x14ac:dyDescent="0.25">
      <c r="C174" s="190" t="s">
        <v>59</v>
      </c>
      <c r="D174" s="191">
        <v>5251</v>
      </c>
      <c r="E174" s="189">
        <v>-4.2661804922515922E-2</v>
      </c>
      <c r="F174" s="191">
        <v>1201</v>
      </c>
      <c r="G174" s="189">
        <v>0.31113537117903922</v>
      </c>
      <c r="H174" s="191">
        <v>188</v>
      </c>
      <c r="I174" s="189">
        <v>0.93814432989690721</v>
      </c>
      <c r="J174" s="191">
        <v>1259</v>
      </c>
      <c r="K174" s="189">
        <v>-3.3768227168073706E-2</v>
      </c>
      <c r="L174" s="191">
        <v>2603</v>
      </c>
      <c r="M174" s="189">
        <v>-0.17860523824550334</v>
      </c>
    </row>
    <row r="175" spans="3:13" ht="24" customHeight="1" thickBot="1" x14ac:dyDescent="0.25">
      <c r="C175" s="192" t="s">
        <v>60</v>
      </c>
      <c r="D175" s="194">
        <v>18472</v>
      </c>
      <c r="E175" s="195">
        <v>0.13269560951680148</v>
      </c>
      <c r="F175" s="194">
        <v>1097</v>
      </c>
      <c r="G175" s="195">
        <v>-0.27686222808174032</v>
      </c>
      <c r="H175" s="194">
        <v>209</v>
      </c>
      <c r="I175" s="195">
        <v>1.1326530612244898</v>
      </c>
      <c r="J175" s="194">
        <v>4674</v>
      </c>
      <c r="K175" s="195">
        <v>0.61061337008959349</v>
      </c>
      <c r="L175" s="194">
        <v>12492</v>
      </c>
      <c r="M175" s="195">
        <v>5.9452124501738535E-2</v>
      </c>
    </row>
    <row r="176" spans="3:13" ht="30.75" customHeight="1" thickTop="1" thickBot="1" x14ac:dyDescent="0.25">
      <c r="C176" s="196" t="s">
        <v>61</v>
      </c>
      <c r="D176" s="197">
        <v>1112189</v>
      </c>
      <c r="E176" s="198">
        <v>9.6261296223170145E-3</v>
      </c>
      <c r="F176" s="197">
        <v>14805</v>
      </c>
      <c r="G176" s="198">
        <v>-4.4530493707647612E-2</v>
      </c>
      <c r="H176" s="197">
        <v>5166</v>
      </c>
      <c r="I176" s="198">
        <v>0.29506141890198045</v>
      </c>
      <c r="J176" s="197">
        <v>150493</v>
      </c>
      <c r="K176" s="198">
        <v>0.10757602519944665</v>
      </c>
      <c r="L176" s="197">
        <v>941725</v>
      </c>
      <c r="M176" s="198">
        <v>-4.7557399138682399E-3</v>
      </c>
    </row>
    <row r="177" spans="3:18" ht="24" customHeight="1" thickBot="1" x14ac:dyDescent="0.25">
      <c r="C177" s="199" t="s">
        <v>8</v>
      </c>
      <c r="D177" s="200">
        <v>1523562</v>
      </c>
      <c r="E177" s="201">
        <v>1.8280175723878411E-2</v>
      </c>
      <c r="F177" s="200">
        <v>56329</v>
      </c>
      <c r="G177" s="201">
        <v>5.8855596075040317E-2</v>
      </c>
      <c r="H177" s="200">
        <v>14819</v>
      </c>
      <c r="I177" s="201">
        <v>0.47467409692506712</v>
      </c>
      <c r="J177" s="200">
        <v>314109</v>
      </c>
      <c r="K177" s="201">
        <v>7.7180275923087294E-2</v>
      </c>
      <c r="L177" s="200">
        <v>1138305</v>
      </c>
      <c r="M177" s="201">
        <v>-2.6775051889805779E-3</v>
      </c>
    </row>
    <row r="178" spans="3:18" ht="18" customHeight="1" x14ac:dyDescent="0.2">
      <c r="C178" s="4"/>
    </row>
    <row r="179" spans="3:18" ht="17.25" hidden="1" customHeight="1" x14ac:dyDescent="0.2">
      <c r="C179" s="157"/>
      <c r="D179" s="158"/>
      <c r="E179" s="158"/>
      <c r="F179" s="158"/>
      <c r="G179" s="158"/>
      <c r="H179" s="158"/>
      <c r="I179" s="158"/>
      <c r="J179" s="158"/>
      <c r="K179" s="158"/>
      <c r="L179" s="158"/>
      <c r="M179" s="159"/>
    </row>
    <row r="180" spans="3:18" ht="21.75" hidden="1" customHeight="1" x14ac:dyDescent="0.2">
      <c r="C180" s="160"/>
      <c r="D180" s="161"/>
      <c r="E180" s="203" t="str">
        <f>$E$1</f>
        <v>INDICADORES TURÍSTICOS DE TENERIFE definitivo</v>
      </c>
      <c r="F180" s="204"/>
      <c r="G180" s="204"/>
      <c r="H180" s="204"/>
      <c r="I180" s="204"/>
      <c r="J180" s="204"/>
      <c r="K180" s="205"/>
      <c r="L180" s="161"/>
      <c r="M180" s="163"/>
    </row>
    <row r="181" spans="3:18" s="1" customFormat="1" ht="21.75" hidden="1" customHeight="1" x14ac:dyDescent="0.2">
      <c r="C181" s="160"/>
      <c r="D181" s="161"/>
      <c r="E181" s="162"/>
      <c r="F181" s="162"/>
      <c r="G181" s="162"/>
      <c r="H181" s="162"/>
      <c r="I181" s="162"/>
      <c r="J181" s="162"/>
      <c r="K181" s="162"/>
      <c r="L181" s="161"/>
      <c r="M181" s="163"/>
    </row>
    <row r="182" spans="3:18" ht="33" hidden="1" customHeight="1" x14ac:dyDescent="0.2">
      <c r="C182" s="206" t="s">
        <v>29</v>
      </c>
      <c r="D182" s="207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8"/>
    </row>
    <row r="183" spans="3:18" ht="20.100000000000001" hidden="1" customHeight="1" x14ac:dyDescent="0.2">
      <c r="C183" s="209">
        <f>E3</f>
        <v>0</v>
      </c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1"/>
    </row>
    <row r="184" spans="3:18" ht="17.25" hidden="1" customHeight="1" x14ac:dyDescent="0.2">
      <c r="C184" s="211"/>
      <c r="D184" s="212" t="s">
        <v>24</v>
      </c>
      <c r="E184" s="213"/>
      <c r="F184" s="212" t="s">
        <v>23</v>
      </c>
      <c r="G184" s="213"/>
      <c r="H184" s="212" t="s">
        <v>22</v>
      </c>
      <c r="I184" s="213"/>
      <c r="J184" s="212" t="s">
        <v>21</v>
      </c>
      <c r="K184" s="213"/>
      <c r="L184" s="212" t="s">
        <v>20</v>
      </c>
      <c r="M184" s="213"/>
      <c r="N184" s="212" t="s">
        <v>63</v>
      </c>
      <c r="O184" s="213"/>
      <c r="P184" s="212" t="s">
        <v>64</v>
      </c>
      <c r="Q184" s="213"/>
    </row>
    <row r="185" spans="3:18" ht="28.5" hidden="1" customHeight="1" x14ac:dyDescent="0.2">
      <c r="C185" s="211"/>
      <c r="D185" s="214" t="s">
        <v>35</v>
      </c>
      <c r="E185" s="214" t="s">
        <v>34</v>
      </c>
      <c r="F185" s="214" t="s">
        <v>35</v>
      </c>
      <c r="G185" s="214" t="s">
        <v>34</v>
      </c>
      <c r="H185" s="214" t="s">
        <v>35</v>
      </c>
      <c r="I185" s="214" t="s">
        <v>34</v>
      </c>
      <c r="J185" s="214" t="s">
        <v>35</v>
      </c>
      <c r="K185" s="214" t="s">
        <v>34</v>
      </c>
      <c r="L185" s="214" t="s">
        <v>35</v>
      </c>
      <c r="M185" s="214" t="s">
        <v>34</v>
      </c>
      <c r="N185" s="214" t="s">
        <v>35</v>
      </c>
      <c r="O185" s="214" t="s">
        <v>34</v>
      </c>
      <c r="P185" s="214" t="s">
        <v>35</v>
      </c>
      <c r="Q185" s="214" t="s">
        <v>34</v>
      </c>
    </row>
    <row r="186" spans="3:18" ht="24" hidden="1" customHeight="1" x14ac:dyDescent="0.2">
      <c r="C186" s="215" t="s">
        <v>36</v>
      </c>
      <c r="D186" s="216" t="e">
        <f>VLOOKUP("españa",#REF!,6,FALSE)/VLOOKUP("españa",#REF!,6,FALSE)-1</f>
        <v>#REF!</v>
      </c>
      <c r="E186" s="217" t="e">
        <f>VLOOKUP("españa",#REF!,6,FALSE)</f>
        <v>#REF!</v>
      </c>
      <c r="F186" s="216" t="e">
        <f>VLOOKUP("españa",#REF!,5,FALSE)/VLOOKUP("españa",#REF!,5,FALSE)-1</f>
        <v>#REF!</v>
      </c>
      <c r="G186" s="217" t="e">
        <f>VLOOKUP("españa",#REF!,5,FALSE)</f>
        <v>#REF!</v>
      </c>
      <c r="H186" s="216" t="e">
        <f>VLOOKUP("españa",#REF!,4,FALSE)/VLOOKUP("españa",#REF!,4,FALSE)-1</f>
        <v>#REF!</v>
      </c>
      <c r="I186" s="217" t="e">
        <f>VLOOKUP("españa",#REF!,4,FALSE)</f>
        <v>#REF!</v>
      </c>
      <c r="J186" s="216" t="e">
        <f>VLOOKUP("españa",#REF!,3,FALSE)/VLOOKUP("españa",#REF!,3,FALSE)-1</f>
        <v>#REF!</v>
      </c>
      <c r="K186" s="217" t="e">
        <f>VLOOKUP("españa",#REF!,3,FALSE)</f>
        <v>#REF!</v>
      </c>
      <c r="L186" s="216" t="e">
        <f>VLOOKUP("españa",#REF!,2,FALSE)/VLOOKUP("españa",#REF!,2,FALSE)-1</f>
        <v>#REF!</v>
      </c>
      <c r="M186" s="217" t="e">
        <f>VLOOKUP("españa",#REF!,2,FALSE)</f>
        <v>#REF!</v>
      </c>
      <c r="N186" s="216" t="e">
        <f>VLOOKUP("españa",#REF!,7,FALSE)/VLOOKUP("españa",#REF!,7,FALSE)-1</f>
        <v>#REF!</v>
      </c>
      <c r="O186" s="217" t="e">
        <f>VLOOKUP("españa",#REF!,7,FALSE)</f>
        <v>#REF!</v>
      </c>
      <c r="P186" s="216" t="e">
        <f>VLOOKUP("españa",#REF!,8,FALSE)/VLOOKUP("españa",#REF!,8,FALSE)-1</f>
        <v>#REF!</v>
      </c>
      <c r="Q186" s="217" t="e">
        <f>VLOOKUP("españa",#REF!,8,FALSE)</f>
        <v>#REF!</v>
      </c>
    </row>
    <row r="187" spans="3:18" ht="24" hidden="1" customHeight="1" x14ac:dyDescent="0.2">
      <c r="C187" s="215" t="s">
        <v>41</v>
      </c>
      <c r="D187" s="216" t="e">
        <f>VLOOKUP("holanda",#REF!,6,FALSE)/VLOOKUP("holanda",#REF!,6,FALSE)-1</f>
        <v>#REF!</v>
      </c>
      <c r="E187" s="217" t="e">
        <f>VLOOKUP("holanda",#REF!,6,FALSE)</f>
        <v>#REF!</v>
      </c>
      <c r="F187" s="216" t="e">
        <f>VLOOKUP("holanda",#REF!,5,FALSE)/VLOOKUP("holanda",#REF!,5,FALSE)-1</f>
        <v>#REF!</v>
      </c>
      <c r="G187" s="217" t="e">
        <f>VLOOKUP("holanda",#REF!,5,FALSE)</f>
        <v>#REF!</v>
      </c>
      <c r="H187" s="216" t="e">
        <f>VLOOKUP("holanda",#REF!,4,FALSE)/VLOOKUP("holanda",#REF!,4,FALSE)-1</f>
        <v>#REF!</v>
      </c>
      <c r="I187" s="217" t="e">
        <f>VLOOKUP("holanda",#REF!,4,FALSE)</f>
        <v>#REF!</v>
      </c>
      <c r="J187" s="216" t="e">
        <f>VLOOKUP("holanda",#REF!,3,FALSE)/VLOOKUP("holanda",#REF!,3,FALSE)-1</f>
        <v>#REF!</v>
      </c>
      <c r="K187" s="217" t="e">
        <f>VLOOKUP("holanda",#REF!,3,FALSE)</f>
        <v>#REF!</v>
      </c>
      <c r="L187" s="216" t="e">
        <f>VLOOKUP("holanda",#REF!,2,FALSE)/VLOOKUP("holanda",#REF!,2,FALSE)-1</f>
        <v>#REF!</v>
      </c>
      <c r="M187" s="217" t="e">
        <f>VLOOKUP("holanda",#REF!,2,FALSE)</f>
        <v>#REF!</v>
      </c>
      <c r="N187" s="216" t="e">
        <f>VLOOKUP("holanda",#REF!,7,FALSE)/VLOOKUP("holanda",#REF!,7,FALSE)-1</f>
        <v>#REF!</v>
      </c>
      <c r="O187" s="217" t="e">
        <f>VLOOKUP("holanda",#REF!,7,FALSE)</f>
        <v>#REF!</v>
      </c>
      <c r="P187" s="216" t="e">
        <f>VLOOKUP("holanda",#REF!,8,FALSE)/VLOOKUP("holanda",#REF!,8,FALSE)-1</f>
        <v>#REF!</v>
      </c>
      <c r="Q187" s="217" t="e">
        <f>VLOOKUP("holanda",#REF!,8,FALSE)</f>
        <v>#REF!</v>
      </c>
    </row>
    <row r="188" spans="3:18" ht="24" hidden="1" customHeight="1" x14ac:dyDescent="0.2">
      <c r="C188" s="215" t="s">
        <v>42</v>
      </c>
      <c r="D188" s="216" t="e">
        <f>VLOOKUP("belgica",#REF!,6,FALSE)/VLOOKUP("belgica",#REF!,6,FALSE)-1</f>
        <v>#REF!</v>
      </c>
      <c r="E188" s="217" t="e">
        <f>VLOOKUP("belgica",#REF!,6,FALSE)</f>
        <v>#REF!</v>
      </c>
      <c r="F188" s="216" t="e">
        <f>VLOOKUP("belgica",#REF!,5,FALSE)/VLOOKUP("belgica",#REF!,5,FALSE)-1</f>
        <v>#REF!</v>
      </c>
      <c r="G188" s="217" t="e">
        <f>VLOOKUP("belgica",#REF!,5,FALSE)</f>
        <v>#REF!</v>
      </c>
      <c r="H188" s="216" t="e">
        <f>VLOOKUP("belgica",#REF!,4,FALSE)/VLOOKUP("belgica",#REF!,4,FALSE)-1</f>
        <v>#REF!</v>
      </c>
      <c r="I188" s="217" t="e">
        <f>VLOOKUP("belgica",#REF!,4,FALSE)</f>
        <v>#REF!</v>
      </c>
      <c r="J188" s="216" t="e">
        <f>VLOOKUP("belgica",#REF!,3,FALSE)/VLOOKUP("belgica",#REF!,3,FALSE)-1</f>
        <v>#REF!</v>
      </c>
      <c r="K188" s="217" t="e">
        <f>VLOOKUP("belgica",#REF!,3,FALSE)</f>
        <v>#REF!</v>
      </c>
      <c r="L188" s="216" t="e">
        <f>VLOOKUP("belgica",#REF!,2,FALSE)/VLOOKUP("belgica",#REF!,2,FALSE)-1</f>
        <v>#REF!</v>
      </c>
      <c r="M188" s="217" t="e">
        <f>VLOOKUP("belgica",#REF!,2,FALSE)</f>
        <v>#REF!</v>
      </c>
      <c r="N188" s="216" t="e">
        <f>VLOOKUP("belgica",#REF!,7,FALSE)/VLOOKUP("belgica",#REF!,7,FALSE)-1</f>
        <v>#REF!</v>
      </c>
      <c r="O188" s="217" t="e">
        <f>VLOOKUP("belgica",#REF!,7,FALSE)</f>
        <v>#REF!</v>
      </c>
      <c r="P188" s="216" t="e">
        <f>VLOOKUP("belgica",#REF!,8,FALSE)/VLOOKUP("belgica",#REF!,8,FALSE)-1</f>
        <v>#REF!</v>
      </c>
      <c r="Q188" s="217" t="e">
        <f>VLOOKUP("belgica",#REF!,8,FALSE)</f>
        <v>#REF!</v>
      </c>
    </row>
    <row r="189" spans="3:18" ht="24" hidden="1" customHeight="1" x14ac:dyDescent="0.2">
      <c r="C189" s="215" t="s">
        <v>43</v>
      </c>
      <c r="D189" s="216" t="e">
        <f>VLOOKUP("alemania",#REF!,6,FALSE)/VLOOKUP("alemania",#REF!,6,FALSE)-1</f>
        <v>#REF!</v>
      </c>
      <c r="E189" s="217" t="e">
        <f>VLOOKUP("alemania",#REF!,6,FALSE)</f>
        <v>#REF!</v>
      </c>
      <c r="F189" s="216" t="e">
        <f>VLOOKUP("alemania",#REF!,5,FALSE)/VLOOKUP("alemania",#REF!,5,FALSE)-1</f>
        <v>#REF!</v>
      </c>
      <c r="G189" s="217" t="e">
        <f>VLOOKUP("alemania",#REF!,5,FALSE)</f>
        <v>#REF!</v>
      </c>
      <c r="H189" s="216" t="e">
        <f>VLOOKUP("alemania",#REF!,4,FALSE)/VLOOKUP("alemania",#REF!,4,FALSE)-1</f>
        <v>#REF!</v>
      </c>
      <c r="I189" s="217" t="e">
        <f>VLOOKUP("alemania",#REF!,4,FALSE)</f>
        <v>#REF!</v>
      </c>
      <c r="J189" s="216" t="e">
        <f>VLOOKUP("alemania",#REF!,3,FALSE)/VLOOKUP("alemania",#REF!,3,FALSE)-1</f>
        <v>#REF!</v>
      </c>
      <c r="K189" s="217" t="e">
        <f>VLOOKUP("alemania",#REF!,3,FALSE)</f>
        <v>#REF!</v>
      </c>
      <c r="L189" s="216" t="e">
        <f>VLOOKUP("alemania",#REF!,2,FALSE)/VLOOKUP("alemania",#REF!,2,FALSE)-1</f>
        <v>#REF!</v>
      </c>
      <c r="M189" s="217" t="e">
        <f>VLOOKUP("alemania",#REF!,2,FALSE)</f>
        <v>#REF!</v>
      </c>
      <c r="N189" s="216" t="e">
        <f>VLOOKUP("alemania",#REF!,7,FALSE)/VLOOKUP("alemania",#REF!,7,FALSE)-1</f>
        <v>#REF!</v>
      </c>
      <c r="O189" s="217" t="e">
        <f>VLOOKUP("alemania",#REF!,7,FALSE)</f>
        <v>#REF!</v>
      </c>
      <c r="P189" s="216" t="e">
        <f>VLOOKUP("alemania",#REF!,8,FALSE)/VLOOKUP("alemania",#REF!,8,FALSE)-1</f>
        <v>#REF!</v>
      </c>
      <c r="Q189" s="217" t="e">
        <f>VLOOKUP("alemania",#REF!,8,FALSE)</f>
        <v>#REF!</v>
      </c>
    </row>
    <row r="190" spans="3:18" ht="24" hidden="1" customHeight="1" x14ac:dyDescent="0.2">
      <c r="C190" s="215" t="s">
        <v>44</v>
      </c>
      <c r="D190" s="216" t="e">
        <f>VLOOKUP("francia",#REF!,6,FALSE)/VLOOKUP("francia",#REF!,6,FALSE)-1</f>
        <v>#REF!</v>
      </c>
      <c r="E190" s="217" t="e">
        <f>VLOOKUP("francia",#REF!,6,FALSE)</f>
        <v>#REF!</v>
      </c>
      <c r="F190" s="216" t="e">
        <f>VLOOKUP("francia",#REF!,5,FALSE)/VLOOKUP("francia",#REF!,5,FALSE)-1</f>
        <v>#REF!</v>
      </c>
      <c r="G190" s="217" t="e">
        <f>VLOOKUP("francia",#REF!,5,FALSE)</f>
        <v>#REF!</v>
      </c>
      <c r="H190" s="216" t="e">
        <f>VLOOKUP("francia",#REF!,4,FALSE)/VLOOKUP("francia",#REF!,4,FALSE)-1</f>
        <v>#REF!</v>
      </c>
      <c r="I190" s="217" t="e">
        <f>VLOOKUP("francia",#REF!,4,FALSE)</f>
        <v>#REF!</v>
      </c>
      <c r="J190" s="216" t="e">
        <f>VLOOKUP("francia",#REF!,3,FALSE)/VLOOKUP("francia",#REF!,3,FALSE)-1</f>
        <v>#REF!</v>
      </c>
      <c r="K190" s="217" t="e">
        <f>VLOOKUP("francia",#REF!,3,FALSE)</f>
        <v>#REF!</v>
      </c>
      <c r="L190" s="216" t="e">
        <f>VLOOKUP("francia",#REF!,2,FALSE)/VLOOKUP("francia",#REF!,2,FALSE)-1</f>
        <v>#REF!</v>
      </c>
      <c r="M190" s="217" t="e">
        <f>VLOOKUP("francia",#REF!,2,FALSE)</f>
        <v>#REF!</v>
      </c>
      <c r="N190" s="216" t="e">
        <f>VLOOKUP("francia",#REF!,7,FALSE)/VLOOKUP("francia",#REF!,7,FALSE)-1</f>
        <v>#REF!</v>
      </c>
      <c r="O190" s="217" t="e">
        <f>VLOOKUP("francia",#REF!,7,FALSE)</f>
        <v>#REF!</v>
      </c>
      <c r="P190" s="216" t="e">
        <f>VLOOKUP("francia",#REF!,8,FALSE)/VLOOKUP("francia",#REF!,8,FALSE)-1</f>
        <v>#REF!</v>
      </c>
      <c r="Q190" s="217" t="e">
        <f>VLOOKUP("francia",#REF!,8,FALSE)</f>
        <v>#REF!</v>
      </c>
    </row>
    <row r="191" spans="3:18" ht="24" hidden="1" customHeight="1" x14ac:dyDescent="0.2">
      <c r="C191" s="215" t="s">
        <v>45</v>
      </c>
      <c r="D191" s="216" t="e">
        <f>VLOOKUP("reino unido",#REF!,6,FALSE)/VLOOKUP("reino unido",#REF!,6,FALSE)-1</f>
        <v>#REF!</v>
      </c>
      <c r="E191" s="217" t="e">
        <f>VLOOKUP("reino unido",#REF!,6,FALSE)</f>
        <v>#REF!</v>
      </c>
      <c r="F191" s="216" t="e">
        <f>VLOOKUP("reino unido",#REF!,5,FALSE)/VLOOKUP("reino unido",#REF!,5,FALSE)-1</f>
        <v>#REF!</v>
      </c>
      <c r="G191" s="217" t="e">
        <f>VLOOKUP("reino unido",#REF!,5,FALSE)</f>
        <v>#REF!</v>
      </c>
      <c r="H191" s="216" t="e">
        <f>VLOOKUP("reino unido",#REF!,4,FALSE)/VLOOKUP("reino unido",#REF!,4,FALSE)-1</f>
        <v>#REF!</v>
      </c>
      <c r="I191" s="217" t="e">
        <f>VLOOKUP("reino unido",#REF!,4,FALSE)</f>
        <v>#REF!</v>
      </c>
      <c r="J191" s="216" t="e">
        <f>VLOOKUP("reino unido",#REF!,3,FALSE)/VLOOKUP("reino unido",#REF!,3,FALSE)-1</f>
        <v>#REF!</v>
      </c>
      <c r="K191" s="217" t="e">
        <f>VLOOKUP("reino unido",#REF!,3,FALSE)</f>
        <v>#REF!</v>
      </c>
      <c r="L191" s="216" t="e">
        <f>VLOOKUP("reino unido",#REF!,2,FALSE)/VLOOKUP("reino unido",#REF!,2,FALSE)-1</f>
        <v>#REF!</v>
      </c>
      <c r="M191" s="217" t="e">
        <f>VLOOKUP("reino unido",#REF!,2,FALSE)</f>
        <v>#REF!</v>
      </c>
      <c r="N191" s="216" t="e">
        <f>VLOOKUP("reino unido",#REF!,7,FALSE)/VLOOKUP("reino unido",#REF!,7,FALSE)-1</f>
        <v>#REF!</v>
      </c>
      <c r="O191" s="217" t="e">
        <f>VLOOKUP("reino unido",#REF!,7,FALSE)</f>
        <v>#REF!</v>
      </c>
      <c r="P191" s="216" t="e">
        <f>VLOOKUP("reino unido",#REF!,8,FALSE)/VLOOKUP("reino unido",#REF!,8,FALSE)-1</f>
        <v>#REF!</v>
      </c>
      <c r="Q191" s="217" t="e">
        <f>VLOOKUP("reino unido",#REF!,8,FALSE)</f>
        <v>#REF!</v>
      </c>
    </row>
    <row r="192" spans="3:18" ht="24" hidden="1" customHeight="1" x14ac:dyDescent="0.2">
      <c r="C192" s="215" t="s">
        <v>46</v>
      </c>
      <c r="D192" s="216" t="e">
        <f>VLOOKUP("irlanda",#REF!,6,FALSE)/VLOOKUP("irlanda",#REF!,6,FALSE)-1</f>
        <v>#REF!</v>
      </c>
      <c r="E192" s="217" t="e">
        <f>VLOOKUP("irlanda",#REF!,6,FALSE)</f>
        <v>#REF!</v>
      </c>
      <c r="F192" s="216" t="e">
        <f>VLOOKUP("irlanda",#REF!,5,FALSE)/VLOOKUP("irlanda",#REF!,5,FALSE)-1</f>
        <v>#REF!</v>
      </c>
      <c r="G192" s="217" t="e">
        <f>VLOOKUP("irlanda",#REF!,5,FALSE)</f>
        <v>#REF!</v>
      </c>
      <c r="H192" s="216" t="e">
        <f>VLOOKUP("irlanda",#REF!,4,FALSE)/VLOOKUP("irlanda",#REF!,4,FALSE)-1</f>
        <v>#REF!</v>
      </c>
      <c r="I192" s="217" t="e">
        <f>VLOOKUP("irlanda",#REF!,4,FALSE)</f>
        <v>#REF!</v>
      </c>
      <c r="J192" s="216" t="e">
        <f>VLOOKUP("irlanda",#REF!,3,FALSE)/VLOOKUP("irlanda",#REF!,3,FALSE)-1</f>
        <v>#REF!</v>
      </c>
      <c r="K192" s="217" t="e">
        <f>VLOOKUP("irlanda",#REF!,3,FALSE)</f>
        <v>#REF!</v>
      </c>
      <c r="L192" s="216" t="e">
        <f>VLOOKUP("irlanda",#REF!,2,FALSE)/VLOOKUP("irlanda",#REF!,2,FALSE)-1</f>
        <v>#REF!</v>
      </c>
      <c r="M192" s="217" t="e">
        <f>VLOOKUP("irlanda",#REF!,2,FALSE)</f>
        <v>#REF!</v>
      </c>
      <c r="N192" s="216" t="e">
        <f>VLOOKUP("irlanda",#REF!,7,FALSE)/VLOOKUP("irlanda",#REF!,7,FALSE)-1</f>
        <v>#REF!</v>
      </c>
      <c r="O192" s="217" t="e">
        <f>VLOOKUP("irlanda",#REF!,7,FALSE)</f>
        <v>#REF!</v>
      </c>
      <c r="P192" s="216" t="e">
        <f>VLOOKUP("irlanda",#REF!,8,FALSE)/VLOOKUP("irlanda",#REF!,8,FALSE)-1</f>
        <v>#REF!</v>
      </c>
      <c r="Q192" s="217" t="e">
        <f>VLOOKUP("irlanda",#REF!,8,FALSE)</f>
        <v>#REF!</v>
      </c>
    </row>
    <row r="193" spans="3:17" ht="24" hidden="1" customHeight="1" x14ac:dyDescent="0.2">
      <c r="C193" s="215" t="s">
        <v>47</v>
      </c>
      <c r="D193" s="216" t="e">
        <f>VLOOKUP("italia",#REF!,6,FALSE)/VLOOKUP("italia",#REF!,6,FALSE)-1</f>
        <v>#REF!</v>
      </c>
      <c r="E193" s="217" t="e">
        <f>VLOOKUP("italia",#REF!,6,FALSE)</f>
        <v>#REF!</v>
      </c>
      <c r="F193" s="216" t="e">
        <f>VLOOKUP("italia",#REF!,5,FALSE)/VLOOKUP("italia",#REF!,5,FALSE)-1</f>
        <v>#REF!</v>
      </c>
      <c r="G193" s="217" t="e">
        <f>VLOOKUP("italia",#REF!,5,FALSE)</f>
        <v>#REF!</v>
      </c>
      <c r="H193" s="216" t="e">
        <f>VLOOKUP("italia",#REF!,4,FALSE)/VLOOKUP("italia",#REF!,4,FALSE)-1</f>
        <v>#REF!</v>
      </c>
      <c r="I193" s="217" t="e">
        <f>VLOOKUP("italia",#REF!,4,FALSE)</f>
        <v>#REF!</v>
      </c>
      <c r="J193" s="216" t="e">
        <f>VLOOKUP("italia",#REF!,3,FALSE)/VLOOKUP("italia",#REF!,3,FALSE)-1</f>
        <v>#REF!</v>
      </c>
      <c r="K193" s="217" t="e">
        <f>VLOOKUP("italia",#REF!,3,FALSE)</f>
        <v>#REF!</v>
      </c>
      <c r="L193" s="216" t="e">
        <f>VLOOKUP("italia",#REF!,2,FALSE)/VLOOKUP("italia",#REF!,2,FALSE)-1</f>
        <v>#REF!</v>
      </c>
      <c r="M193" s="217" t="e">
        <f>VLOOKUP("italia",#REF!,2,FALSE)</f>
        <v>#REF!</v>
      </c>
      <c r="N193" s="216" t="e">
        <f>VLOOKUP("italia",#REF!,7,FALSE)/VLOOKUP("italia",#REF!,7,FALSE)-1</f>
        <v>#REF!</v>
      </c>
      <c r="O193" s="217" t="e">
        <f>VLOOKUP("italia",#REF!,7,FALSE)</f>
        <v>#REF!</v>
      </c>
      <c r="P193" s="216" t="e">
        <f>VLOOKUP("italia",#REF!,8,FALSE)/VLOOKUP("italia",#REF!,8,FALSE)-1</f>
        <v>#REF!</v>
      </c>
      <c r="Q193" s="217" t="e">
        <f>VLOOKUP("italia",#REF!,8,FALSE)</f>
        <v>#REF!</v>
      </c>
    </row>
    <row r="194" spans="3:17" ht="24" hidden="1" customHeight="1" x14ac:dyDescent="0.2">
      <c r="C194" s="215" t="s">
        <v>48</v>
      </c>
      <c r="D194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94" s="217" t="e">
        <f>(VLOOKUP("suecia",#REF!,6,FALSE)+VLOOKUP("noruega",#REF!,6,FALSE)+VLOOKUP("dinamarca",#REF!,6,FALSE)+VLOOKUP("finlandia",#REF!,6,FALSE))</f>
        <v>#REF!</v>
      </c>
      <c r="F194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94" s="217" t="e">
        <f>(VLOOKUP("suecia",#REF!,5,FALSE)+VLOOKUP("noruega",#REF!,5,FALSE)+VLOOKUP("dinamarca",#REF!,5,FALSE)+VLOOKUP("finlandia",#REF!,5,FALSE))</f>
        <v>#REF!</v>
      </c>
      <c r="H194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94" s="217" t="e">
        <f>(VLOOKUP("suecia",#REF!,4,FALSE)+VLOOKUP("noruega",#REF!,4,FALSE)+VLOOKUP("dinamarca",#REF!,4,FALSE)+VLOOKUP("finlandia",#REF!,4,FALSE))</f>
        <v>#REF!</v>
      </c>
      <c r="J194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94" s="217" t="e">
        <f>(VLOOKUP("suecia",#REF!,3,FALSE)+VLOOKUP("noruega",#REF!,3,FALSE)+VLOOKUP("dinamarca",#REF!,3,FALSE)+VLOOKUP("finlandia",#REF!,3,FALSE))</f>
        <v>#REF!</v>
      </c>
      <c r="L194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94" s="217" t="e">
        <f>(VLOOKUP("suecia",#REF!,2,FALSE)+VLOOKUP("noruega",#REF!,2,FALSE)+VLOOKUP("dinamarca",#REF!,2,FALSE)+VLOOKUP("finlandia",#REF!,2,FALSE))</f>
        <v>#REF!</v>
      </c>
      <c r="N194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194" s="217" t="e">
        <f>(VLOOKUP("suecia",#REF!,7,FALSE)+VLOOKUP("noruega",#REF!,7,FALSE)+VLOOKUP("dinamarca",#REF!,7,FALSE)+VLOOKUP("finlandia",#REF!,7,FALSE))</f>
        <v>#REF!</v>
      </c>
      <c r="P194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194" s="217" t="e">
        <f>(VLOOKUP("suecia",#REF!,8,FALSE)+VLOOKUP("noruega",#REF!,8,FALSE)+VLOOKUP("dinamarca",#REF!,8,FALSE)+VLOOKUP("finlandia",#REF!,8,FALSE))</f>
        <v>#REF!</v>
      </c>
    </row>
    <row r="195" spans="3:17" ht="24" hidden="1" customHeight="1" x14ac:dyDescent="0.2">
      <c r="C195" s="218" t="s">
        <v>49</v>
      </c>
      <c r="D195" s="216" t="e">
        <f>VLOOKUP("suecia",#REF!,6,FALSE)/VLOOKUP("suecia",#REF!,6,FALSE)-1</f>
        <v>#REF!</v>
      </c>
      <c r="E195" s="217" t="e">
        <f>VLOOKUP("suecia",#REF!,6,FALSE)</f>
        <v>#REF!</v>
      </c>
      <c r="F195" s="216" t="e">
        <f>VLOOKUP("suecia",#REF!,5,FALSE)/VLOOKUP("suecia",#REF!,5,FALSE)-1</f>
        <v>#REF!</v>
      </c>
      <c r="G195" s="217" t="e">
        <f>VLOOKUP("suecia",#REF!,5,FALSE)</f>
        <v>#REF!</v>
      </c>
      <c r="H195" s="216" t="e">
        <f>VLOOKUP("suecia",#REF!,4,FALSE)/VLOOKUP("suecia",#REF!,4,FALSE)-1</f>
        <v>#REF!</v>
      </c>
      <c r="I195" s="217" t="e">
        <f>VLOOKUP("suecia",#REF!,4,FALSE)</f>
        <v>#REF!</v>
      </c>
      <c r="J195" s="216" t="e">
        <f>VLOOKUP("suecia",#REF!,3,FALSE)/VLOOKUP("suecia",#REF!,3,FALSE)-1</f>
        <v>#REF!</v>
      </c>
      <c r="K195" s="217" t="e">
        <f>VLOOKUP("suecia",#REF!,3,FALSE)</f>
        <v>#REF!</v>
      </c>
      <c r="L195" s="216" t="e">
        <f>VLOOKUP("suecia",#REF!,2,FALSE)/VLOOKUP("suecia",#REF!,2,FALSE)-1</f>
        <v>#REF!</v>
      </c>
      <c r="M195" s="217" t="e">
        <f>VLOOKUP("suecia",#REF!,2,FALSE)</f>
        <v>#REF!</v>
      </c>
      <c r="N195" s="216" t="e">
        <f>VLOOKUP("suecia",#REF!,7,FALSE)/VLOOKUP("suecia",#REF!,7,FALSE)-1</f>
        <v>#REF!</v>
      </c>
      <c r="O195" s="217" t="e">
        <f>VLOOKUP("suecia",#REF!,7,FALSE)</f>
        <v>#REF!</v>
      </c>
      <c r="P195" s="216" t="e">
        <f>VLOOKUP("suecia",#REF!,8,FALSE)/VLOOKUP("suecia",#REF!,8,FALSE)-1</f>
        <v>#REF!</v>
      </c>
      <c r="Q195" s="217" t="e">
        <f>VLOOKUP("suecia",#REF!,8,FALSE)</f>
        <v>#REF!</v>
      </c>
    </row>
    <row r="196" spans="3:17" ht="24" hidden="1" customHeight="1" x14ac:dyDescent="0.2">
      <c r="C196" s="218" t="s">
        <v>50</v>
      </c>
      <c r="D196" s="216" t="e">
        <f>VLOOKUP("noruega",#REF!,6,FALSE)/VLOOKUP("noruega",#REF!,6,FALSE)-1</f>
        <v>#REF!</v>
      </c>
      <c r="E196" s="217" t="e">
        <f>VLOOKUP("noruega",#REF!,6,FALSE)</f>
        <v>#REF!</v>
      </c>
      <c r="F196" s="216" t="e">
        <f>VLOOKUP("noruega",#REF!,5,FALSE)/VLOOKUP("noruega",#REF!,5,FALSE)-1</f>
        <v>#REF!</v>
      </c>
      <c r="G196" s="217" t="e">
        <f>VLOOKUP("noruega",#REF!,5,FALSE)</f>
        <v>#REF!</v>
      </c>
      <c r="H196" s="216" t="e">
        <f>VLOOKUP("noruega",#REF!,4,FALSE)/VLOOKUP("noruega",#REF!,4,FALSE)-1</f>
        <v>#REF!</v>
      </c>
      <c r="I196" s="217" t="e">
        <f>VLOOKUP("noruega",#REF!,4,FALSE)</f>
        <v>#REF!</v>
      </c>
      <c r="J196" s="216" t="e">
        <f>VLOOKUP("noruega",#REF!,3,FALSE)/VLOOKUP("noruega",#REF!,3,FALSE)-1</f>
        <v>#REF!</v>
      </c>
      <c r="K196" s="217" t="e">
        <f>VLOOKUP("noruega",#REF!,3,FALSE)</f>
        <v>#REF!</v>
      </c>
      <c r="L196" s="216" t="e">
        <f>VLOOKUP("noruega",#REF!,2,FALSE)/VLOOKUP("noruega",#REF!,2,FALSE)-1</f>
        <v>#REF!</v>
      </c>
      <c r="M196" s="217" t="e">
        <f>VLOOKUP("noruega",#REF!,2,FALSE)</f>
        <v>#REF!</v>
      </c>
      <c r="N196" s="216" t="e">
        <f>VLOOKUP("noruega",#REF!,7,FALSE)/VLOOKUP("noruega",#REF!,7,FALSE)-1</f>
        <v>#REF!</v>
      </c>
      <c r="O196" s="217" t="e">
        <f>VLOOKUP("noruega",#REF!,7,FALSE)</f>
        <v>#REF!</v>
      </c>
      <c r="P196" s="216" t="e">
        <f>VLOOKUP("noruega",#REF!,8,FALSE)/VLOOKUP("noruega",#REF!,8,FALSE)-1</f>
        <v>#REF!</v>
      </c>
      <c r="Q196" s="217" t="e">
        <f>VLOOKUP("noruega",#REF!,8,FALSE)</f>
        <v>#REF!</v>
      </c>
    </row>
    <row r="197" spans="3:17" ht="24" hidden="1" customHeight="1" x14ac:dyDescent="0.2">
      <c r="C197" s="218" t="s">
        <v>51</v>
      </c>
      <c r="D197" s="216" t="e">
        <f>VLOOKUP("dinamarca",#REF!,6,FALSE)/VLOOKUP("dinamarca",#REF!,6,FALSE)-1</f>
        <v>#REF!</v>
      </c>
      <c r="E197" s="217" t="e">
        <f>VLOOKUP("dinamarca",#REF!,6,FALSE)</f>
        <v>#REF!</v>
      </c>
      <c r="F197" s="216" t="e">
        <f>VLOOKUP("dinamarca",#REF!,5,FALSE)/VLOOKUP("dinamarca",#REF!,5,FALSE)-1</f>
        <v>#REF!</v>
      </c>
      <c r="G197" s="217" t="e">
        <f>VLOOKUP("dinamarca",#REF!,5,FALSE)</f>
        <v>#REF!</v>
      </c>
      <c r="H197" s="216" t="e">
        <f>VLOOKUP("dinamarca",#REF!,4,FALSE)/VLOOKUP("dinamarca",#REF!,4,FALSE)-1</f>
        <v>#REF!</v>
      </c>
      <c r="I197" s="217" t="e">
        <f>VLOOKUP("dinamarca",#REF!,4,FALSE)</f>
        <v>#REF!</v>
      </c>
      <c r="J197" s="216" t="e">
        <f>VLOOKUP("dinamarca",#REF!,3,FALSE)/VLOOKUP("dinamarca",#REF!,3,FALSE)-1</f>
        <v>#REF!</v>
      </c>
      <c r="K197" s="217" t="e">
        <f>VLOOKUP("dinamarca",#REF!,3,FALSE)</f>
        <v>#REF!</v>
      </c>
      <c r="L197" s="216" t="e">
        <f>VLOOKUP("dinamarca",#REF!,2,FALSE)/VLOOKUP("dinamarca",#REF!,2,FALSE)-1</f>
        <v>#REF!</v>
      </c>
      <c r="M197" s="217" t="e">
        <f>VLOOKUP("dinamarca",#REF!,2,FALSE)</f>
        <v>#REF!</v>
      </c>
      <c r="N197" s="216" t="e">
        <f>VLOOKUP("dinamarca",#REF!,7,FALSE)/VLOOKUP("dinamarca",#REF!,7,FALSE)-1</f>
        <v>#REF!</v>
      </c>
      <c r="O197" s="217" t="e">
        <f>VLOOKUP("dinamarca",#REF!,7,FALSE)</f>
        <v>#REF!</v>
      </c>
      <c r="P197" s="216" t="e">
        <f>VLOOKUP("dinamarca",#REF!,8,FALSE)/VLOOKUP("dinamarca",#REF!,8,FALSE)-1</f>
        <v>#REF!</v>
      </c>
      <c r="Q197" s="217" t="e">
        <f>VLOOKUP("dinamarca",#REF!,8,FALSE)</f>
        <v>#REF!</v>
      </c>
    </row>
    <row r="198" spans="3:17" ht="24" hidden="1" customHeight="1" x14ac:dyDescent="0.2">
      <c r="C198" s="218" t="s">
        <v>52</v>
      </c>
      <c r="D198" s="216" t="s">
        <v>38</v>
      </c>
      <c r="E198" s="217" t="e">
        <f>VLOOKUP("finlandia",#REF!,6,FALSE)</f>
        <v>#REF!</v>
      </c>
      <c r="F198" s="216" t="e">
        <f>VLOOKUP("finlandia",#REF!,5,FALSE)/VLOOKUP("finlandia",#REF!,5,FALSE)-1</f>
        <v>#REF!</v>
      </c>
      <c r="G198" s="217" t="e">
        <f>VLOOKUP("finlandia",#REF!,5,FALSE)</f>
        <v>#REF!</v>
      </c>
      <c r="H198" s="216" t="e">
        <f>VLOOKUP("finlandia",#REF!,4,FALSE)/VLOOKUP("finlandia",#REF!,4,FALSE)-1</f>
        <v>#REF!</v>
      </c>
      <c r="I198" s="217" t="e">
        <f>VLOOKUP("finlandia",#REF!,4,FALSE)</f>
        <v>#REF!</v>
      </c>
      <c r="J198" s="216" t="e">
        <f>VLOOKUP("finlandia",#REF!,3,FALSE)/VLOOKUP("finlandia",#REF!,3,FALSE)-1</f>
        <v>#REF!</v>
      </c>
      <c r="K198" s="217" t="e">
        <f>VLOOKUP("finlandia",#REF!,3,FALSE)</f>
        <v>#REF!</v>
      </c>
      <c r="L198" s="216" t="s">
        <v>38</v>
      </c>
      <c r="M198" s="217" t="e">
        <f>VLOOKUP("finlandia",#REF!,2,FALSE)</f>
        <v>#REF!</v>
      </c>
      <c r="N198" s="216" t="e">
        <f>VLOOKUP("finlandia",#REF!,7,FALSE)/VLOOKUP("finlandia",#REF!,7,FALSE)-1</f>
        <v>#REF!</v>
      </c>
      <c r="O198" s="217" t="e">
        <f>VLOOKUP("finlandia",#REF!,7,FALSE)</f>
        <v>#REF!</v>
      </c>
      <c r="P198" s="216" t="e">
        <f>VLOOKUP("finlandia",#REF!,8,FALSE)/VLOOKUP("finlandia",#REF!,8,FALSE)-1</f>
        <v>#REF!</v>
      </c>
      <c r="Q198" s="217" t="e">
        <f>VLOOKUP("finlandia",#REF!,8,FALSE)</f>
        <v>#REF!</v>
      </c>
    </row>
    <row r="199" spans="3:17" ht="24" hidden="1" customHeight="1" x14ac:dyDescent="0.2">
      <c r="C199" s="215" t="s">
        <v>53</v>
      </c>
      <c r="D199" s="216" t="e">
        <f>VLOOKUP("suiza",#REF!,6,FALSE)/VLOOKUP("suiza",#REF!,6,FALSE)-1</f>
        <v>#REF!</v>
      </c>
      <c r="E199" s="217" t="e">
        <f>VLOOKUP("suiza",#REF!,6,FALSE)</f>
        <v>#REF!</v>
      </c>
      <c r="F199" s="216" t="e">
        <f>VLOOKUP("suiza",#REF!,5,FALSE)/VLOOKUP("suiza",#REF!,5,FALSE)-1</f>
        <v>#REF!</v>
      </c>
      <c r="G199" s="217" t="e">
        <f>VLOOKUP("suiza",#REF!,5,FALSE)</f>
        <v>#REF!</v>
      </c>
      <c r="H199" s="216" t="e">
        <f>VLOOKUP("suiza",#REF!,4,FALSE)/VLOOKUP("suiza",#REF!,4,FALSE)-1</f>
        <v>#REF!</v>
      </c>
      <c r="I199" s="217" t="e">
        <f>VLOOKUP("suiza",#REF!,4,FALSE)</f>
        <v>#REF!</v>
      </c>
      <c r="J199" s="216" t="e">
        <f>VLOOKUP("suiza",#REF!,3,FALSE)/VLOOKUP("suiza",#REF!,3,FALSE)-1</f>
        <v>#REF!</v>
      </c>
      <c r="K199" s="217" t="e">
        <f>VLOOKUP("suiza",#REF!,3,FALSE)</f>
        <v>#REF!</v>
      </c>
      <c r="L199" s="216" t="e">
        <f>VLOOKUP("suiza",#REF!,2,FALSE)/VLOOKUP("suiza",#REF!,2,FALSE)-1</f>
        <v>#REF!</v>
      </c>
      <c r="M199" s="217" t="e">
        <f>VLOOKUP("suiza",#REF!,2,FALSE)</f>
        <v>#REF!</v>
      </c>
      <c r="N199" s="216" t="e">
        <f>VLOOKUP("suiza",#REF!,7,FALSE)/VLOOKUP("suiza",#REF!,7,FALSE)-1</f>
        <v>#REF!</v>
      </c>
      <c r="O199" s="217" t="e">
        <f>VLOOKUP("suiza",#REF!,7,FALSE)</f>
        <v>#REF!</v>
      </c>
      <c r="P199" s="216" t="e">
        <f>VLOOKUP("suiza",#REF!,8,FALSE)/VLOOKUP("suiza",#REF!,8,FALSE)-1</f>
        <v>#REF!</v>
      </c>
      <c r="Q199" s="217" t="e">
        <f>VLOOKUP("suiza",#REF!,8,FALSE)</f>
        <v>#REF!</v>
      </c>
    </row>
    <row r="200" spans="3:17" ht="24" hidden="1" customHeight="1" x14ac:dyDescent="0.2">
      <c r="C200" s="215" t="s">
        <v>54</v>
      </c>
      <c r="D200" s="216" t="e">
        <f>VLOOKUP("austria",#REF!,6,FALSE)/VLOOKUP("austria",#REF!,6,FALSE)-1</f>
        <v>#REF!</v>
      </c>
      <c r="E200" s="217" t="e">
        <f>VLOOKUP("austria",#REF!,6,FALSE)</f>
        <v>#REF!</v>
      </c>
      <c r="F200" s="216" t="e">
        <f>VLOOKUP("austria",#REF!,5,FALSE)/VLOOKUP("austria",#REF!,5,FALSE)-1</f>
        <v>#REF!</v>
      </c>
      <c r="G200" s="217" t="e">
        <f>VLOOKUP("austria",#REF!,5,FALSE)</f>
        <v>#REF!</v>
      </c>
      <c r="H200" s="216" t="e">
        <f>VLOOKUP("austria",#REF!,4,FALSE)/VLOOKUP("austria",#REF!,4,FALSE)-1</f>
        <v>#REF!</v>
      </c>
      <c r="I200" s="217" t="e">
        <f>VLOOKUP("austria",#REF!,4,FALSE)</f>
        <v>#REF!</v>
      </c>
      <c r="J200" s="216" t="e">
        <f>VLOOKUP("austria",#REF!,3,FALSE)/VLOOKUP("austria",#REF!,3,FALSE)-1</f>
        <v>#REF!</v>
      </c>
      <c r="K200" s="217" t="e">
        <f>VLOOKUP("austria",#REF!,3,FALSE)</f>
        <v>#REF!</v>
      </c>
      <c r="L200" s="216" t="e">
        <f>VLOOKUP("austria",#REF!,2,FALSE)/VLOOKUP("austria",#REF!,2,FALSE)-1</f>
        <v>#REF!</v>
      </c>
      <c r="M200" s="217" t="e">
        <f>VLOOKUP("austria",#REF!,2,FALSE)</f>
        <v>#REF!</v>
      </c>
      <c r="N200" s="216" t="e">
        <f>VLOOKUP("austria",#REF!,7,FALSE)/VLOOKUP("austria",#REF!,7,FALSE)-1</f>
        <v>#REF!</v>
      </c>
      <c r="O200" s="217" t="e">
        <f>VLOOKUP("austria",#REF!,7,FALSE)</f>
        <v>#REF!</v>
      </c>
      <c r="P200" s="216" t="e">
        <f>VLOOKUP("austria",#REF!,8,FALSE)/VLOOKUP("austria",#REF!,8,FALSE)-1</f>
        <v>#REF!</v>
      </c>
      <c r="Q200" s="217" t="e">
        <f>VLOOKUP("austria",#REF!,8,FALSE)</f>
        <v>#REF!</v>
      </c>
    </row>
    <row r="201" spans="3:17" ht="24" hidden="1" customHeight="1" x14ac:dyDescent="0.2">
      <c r="C201" s="215" t="s">
        <v>55</v>
      </c>
      <c r="D201" s="216" t="e">
        <f>VLOOKUP("rusia",#REF!,6,FALSE)/VLOOKUP("rusia",#REF!,6,FALSE)-1</f>
        <v>#REF!</v>
      </c>
      <c r="E201" s="217" t="e">
        <f>VLOOKUP("rusia",#REF!,6,FALSE)</f>
        <v>#REF!</v>
      </c>
      <c r="F201" s="216" t="e">
        <f>VLOOKUP("rusia",#REF!,5,FALSE)/VLOOKUP("rusia",#REF!,5,FALSE)-1</f>
        <v>#REF!</v>
      </c>
      <c r="G201" s="217" t="e">
        <f>VLOOKUP("rusia",#REF!,5,FALSE)</f>
        <v>#REF!</v>
      </c>
      <c r="H201" s="216" t="e">
        <f>VLOOKUP("rusia",#REF!,4,FALSE)/VLOOKUP("rusia",#REF!,4,FALSE)-1</f>
        <v>#REF!</v>
      </c>
      <c r="I201" s="217" t="e">
        <f>VLOOKUP("rusia",#REF!,4,FALSE)</f>
        <v>#REF!</v>
      </c>
      <c r="J201" s="216" t="e">
        <f>VLOOKUP("rusia",#REF!,3,FALSE)/VLOOKUP("rusia",#REF!,3,FALSE)-1</f>
        <v>#REF!</v>
      </c>
      <c r="K201" s="217" t="e">
        <f>VLOOKUP("rusia",#REF!,3,FALSE)</f>
        <v>#REF!</v>
      </c>
      <c r="L201" s="216" t="e">
        <f>VLOOKUP("rusia",#REF!,2,FALSE)/VLOOKUP("rusia",#REF!,2,FALSE)-1</f>
        <v>#REF!</v>
      </c>
      <c r="M201" s="217" t="e">
        <f>VLOOKUP("rusia",#REF!,2,FALSE)</f>
        <v>#REF!</v>
      </c>
      <c r="N201" s="216" t="e">
        <f>VLOOKUP("rusia",#REF!,7,FALSE)/VLOOKUP("rusia",#REF!,7,FALSE)-1</f>
        <v>#REF!</v>
      </c>
      <c r="O201" s="217" t="e">
        <f>VLOOKUP("rusia",#REF!,7,FALSE)</f>
        <v>#REF!</v>
      </c>
      <c r="P201" s="216" t="e">
        <f>VLOOKUP("rusia",#REF!,8,FALSE)/VLOOKUP("rusia",#REF!,8,FALSE)-1</f>
        <v>#REF!</v>
      </c>
      <c r="Q201" s="217" t="e">
        <f>VLOOKUP("rusia",#REF!,8,FALSE)</f>
        <v>#REF!</v>
      </c>
    </row>
    <row r="202" spans="3:17" ht="24" hidden="1" customHeight="1" x14ac:dyDescent="0.2">
      <c r="C202" s="215" t="s">
        <v>56</v>
      </c>
      <c r="D202" s="216" t="e">
        <f>VLOOKUP("paises del este",#REF!,6,FALSE)/VLOOKUP("paises del este",#REF!,6,FALSE)-1</f>
        <v>#REF!</v>
      </c>
      <c r="E202" s="217" t="e">
        <f>VLOOKUP("paises del este",#REF!,6,FALSE)</f>
        <v>#REF!</v>
      </c>
      <c r="F202" s="216" t="e">
        <f>VLOOKUP("paises del este",#REF!,5,FALSE)/VLOOKUP("paises del este",#REF!,5,FALSE)-1</f>
        <v>#REF!</v>
      </c>
      <c r="G202" s="217" t="e">
        <f>VLOOKUP("paises del este",#REF!,5,FALSE)</f>
        <v>#REF!</v>
      </c>
      <c r="H202" s="216" t="e">
        <f>VLOOKUP("paises del este",#REF!,4,FALSE)/VLOOKUP("paises del este",#REF!,4,FALSE)-1</f>
        <v>#REF!</v>
      </c>
      <c r="I202" s="217" t="e">
        <f>VLOOKUP("paises del este",#REF!,4,FALSE)</f>
        <v>#REF!</v>
      </c>
      <c r="J202" s="216" t="e">
        <f>VLOOKUP("paises del este",#REF!,3,FALSE)/VLOOKUP("paises del este",#REF!,3,FALSE)-1</f>
        <v>#REF!</v>
      </c>
      <c r="K202" s="217" t="e">
        <f>VLOOKUP("paises del este",#REF!,3,FALSE)</f>
        <v>#REF!</v>
      </c>
      <c r="L202" s="216" t="e">
        <f>VLOOKUP("paises del este",#REF!,2,FALSE)/VLOOKUP("paises del este",#REF!,2,FALSE)-1</f>
        <v>#REF!</v>
      </c>
      <c r="M202" s="217" t="e">
        <f>VLOOKUP("paises del este",#REF!,2,FALSE)</f>
        <v>#REF!</v>
      </c>
      <c r="N202" s="216" t="e">
        <f>VLOOKUP("paises del este",#REF!,7,FALSE)/VLOOKUP("paises del este",#REF!,7,FALSE)-1</f>
        <v>#REF!</v>
      </c>
      <c r="O202" s="217" t="e">
        <f>VLOOKUP("paises del este",#REF!,7,FALSE)</f>
        <v>#REF!</v>
      </c>
      <c r="P202" s="216" t="e">
        <f>VLOOKUP("paises del este",#REF!,8,FALSE)/VLOOKUP("paises del este",#REF!,8,FALSE)-1</f>
        <v>#REF!</v>
      </c>
      <c r="Q202" s="217" t="e">
        <f>VLOOKUP("paises del este",#REF!,8,FALSE)</f>
        <v>#REF!</v>
      </c>
    </row>
    <row r="203" spans="3:17" ht="24" hidden="1" customHeight="1" x14ac:dyDescent="0.2">
      <c r="C203" s="215" t="s">
        <v>57</v>
      </c>
      <c r="D203" s="216" t="e">
        <f>VLOOKUP("resto de europa",#REF!,6,FALSE)/VLOOKUP("resto de europa",#REF!,6,FALSE)-1</f>
        <v>#REF!</v>
      </c>
      <c r="E203" s="217" t="e">
        <f>VLOOKUP("resto de europa",#REF!,6,FALSE)</f>
        <v>#REF!</v>
      </c>
      <c r="F203" s="216" t="e">
        <f>VLOOKUP("resto de europa",#REF!,5,FALSE)/VLOOKUP("resto de europa",#REF!,5,FALSE)-1</f>
        <v>#REF!</v>
      </c>
      <c r="G203" s="217" t="e">
        <f>VLOOKUP("resto de europa",#REF!,5,FALSE)</f>
        <v>#REF!</v>
      </c>
      <c r="H203" s="216" t="e">
        <f>VLOOKUP("resto de europa",#REF!,4,FALSE)/VLOOKUP("resto de europa",#REF!,4,FALSE)-1</f>
        <v>#REF!</v>
      </c>
      <c r="I203" s="217" t="e">
        <f>VLOOKUP("resto de europa",#REF!,4,FALSE)</f>
        <v>#REF!</v>
      </c>
      <c r="J203" s="216" t="e">
        <f>VLOOKUP("resto de europa",#REF!,3,FALSE)/VLOOKUP("resto de europa",#REF!,3,FALSE)-1</f>
        <v>#REF!</v>
      </c>
      <c r="K203" s="217" t="e">
        <f>VLOOKUP("resto de europa",#REF!,3,FALSE)</f>
        <v>#REF!</v>
      </c>
      <c r="L203" s="216" t="e">
        <f>VLOOKUP("resto de europa",#REF!,2,FALSE)/VLOOKUP("resto de europa",#REF!,2,FALSE)-1</f>
        <v>#REF!</v>
      </c>
      <c r="M203" s="217" t="e">
        <f>VLOOKUP("resto de europa",#REF!,2,FALSE)</f>
        <v>#REF!</v>
      </c>
      <c r="N203" s="216" t="e">
        <f>VLOOKUP("resto de europa",#REF!,7,FALSE)/VLOOKUP("resto de europa",#REF!,7,FALSE)-1</f>
        <v>#REF!</v>
      </c>
      <c r="O203" s="217" t="e">
        <f>VLOOKUP("resto de europa",#REF!,7,FALSE)</f>
        <v>#REF!</v>
      </c>
      <c r="P203" s="216" t="e">
        <f>VLOOKUP("resto de europa",#REF!,8,FALSE)/VLOOKUP("resto de europa",#REF!,8,FALSE)-1</f>
        <v>#REF!</v>
      </c>
      <c r="Q203" s="217" t="e">
        <f>VLOOKUP("resto de europa",#REF!,8,FALSE)</f>
        <v>#REF!</v>
      </c>
    </row>
    <row r="204" spans="3:17" ht="24" hidden="1" customHeight="1" x14ac:dyDescent="0.2">
      <c r="C204" s="215" t="s">
        <v>58</v>
      </c>
      <c r="D204" s="216" t="e">
        <f>VLOOKUP("usa",#REF!,6,FALSE)/VLOOKUP("usa",#REF!,6,FALSE)-1</f>
        <v>#REF!</v>
      </c>
      <c r="E204" s="217" t="e">
        <f>VLOOKUP("usa",#REF!,6,FALSE)</f>
        <v>#REF!</v>
      </c>
      <c r="F204" s="216" t="e">
        <f>VLOOKUP("usa",#REF!,5,FALSE)/VLOOKUP("usa",#REF!,5,FALSE)-1</f>
        <v>#REF!</v>
      </c>
      <c r="G204" s="217" t="e">
        <f>VLOOKUP("usa",#REF!,5,FALSE)</f>
        <v>#REF!</v>
      </c>
      <c r="H204" s="216" t="e">
        <f>VLOOKUP("usa",#REF!,4,FALSE)/VLOOKUP("usa",#REF!,4,FALSE)-1</f>
        <v>#REF!</v>
      </c>
      <c r="I204" s="217" t="e">
        <f>VLOOKUP("usa",#REF!,4,FALSE)</f>
        <v>#REF!</v>
      </c>
      <c r="J204" s="216" t="e">
        <f>VLOOKUP("usa",#REF!,3,FALSE)/VLOOKUP("usa",#REF!,3,FALSE)-1</f>
        <v>#REF!</v>
      </c>
      <c r="K204" s="217" t="e">
        <f>VLOOKUP("usa",#REF!,3,FALSE)</f>
        <v>#REF!</v>
      </c>
      <c r="L204" s="216" t="e">
        <f>VLOOKUP("usa",#REF!,2,FALSE)/VLOOKUP("usa",#REF!,2,FALSE)-1</f>
        <v>#REF!</v>
      </c>
      <c r="M204" s="217" t="e">
        <f>VLOOKUP("usa",#REF!,2,FALSE)</f>
        <v>#REF!</v>
      </c>
      <c r="N204" s="216" t="e">
        <f>VLOOKUP("usa",#REF!,7,FALSE)/VLOOKUP("usa",#REF!,7,FALSE)-1</f>
        <v>#REF!</v>
      </c>
      <c r="O204" s="217" t="e">
        <f>VLOOKUP("usa",#REF!,7,FALSE)</f>
        <v>#REF!</v>
      </c>
      <c r="P204" s="216" t="e">
        <f>VLOOKUP("usa",#REF!,8,FALSE)/VLOOKUP("usa",#REF!,8,FALSE)-1</f>
        <v>#REF!</v>
      </c>
      <c r="Q204" s="217" t="e">
        <f>VLOOKUP("usa",#REF!,8,FALSE)</f>
        <v>#REF!</v>
      </c>
    </row>
    <row r="205" spans="3:17" ht="24" hidden="1" customHeight="1" x14ac:dyDescent="0.2">
      <c r="C205" s="215" t="s">
        <v>59</v>
      </c>
      <c r="D205" s="216" t="e">
        <f>VLOOKUP("resto de america",#REF!,6,FALSE)/VLOOKUP("resto de america",#REF!,6,FALSE)-1</f>
        <v>#REF!</v>
      </c>
      <c r="E205" s="217" t="e">
        <f>VLOOKUP("resto de america",#REF!,6,FALSE)</f>
        <v>#REF!</v>
      </c>
      <c r="F205" s="216" t="e">
        <f>VLOOKUP("resto de america",#REF!,5,FALSE)/VLOOKUP("resto de america",#REF!,5,FALSE)-1</f>
        <v>#REF!</v>
      </c>
      <c r="G205" s="217" t="e">
        <f>VLOOKUP("resto de america",#REF!,5,FALSE)</f>
        <v>#REF!</v>
      </c>
      <c r="H205" s="216" t="e">
        <f>VLOOKUP("resto de america",#REF!,4,FALSE)/VLOOKUP("resto de america",#REF!,4,FALSE)-1</f>
        <v>#REF!</v>
      </c>
      <c r="I205" s="217" t="e">
        <f>VLOOKUP("resto de america",#REF!,4,FALSE)</f>
        <v>#REF!</v>
      </c>
      <c r="J205" s="216" t="e">
        <f>VLOOKUP("resto de america",#REF!,3,FALSE)/VLOOKUP("resto de america",#REF!,3,FALSE)-1</f>
        <v>#REF!</v>
      </c>
      <c r="K205" s="217" t="e">
        <f>VLOOKUP("resto de america",#REF!,3,FALSE)</f>
        <v>#REF!</v>
      </c>
      <c r="L205" s="216" t="e">
        <f>VLOOKUP("resto de america",#REF!,2,FALSE)/VLOOKUP("resto de america",#REF!,2,FALSE)-1</f>
        <v>#REF!</v>
      </c>
      <c r="M205" s="217" t="e">
        <f>VLOOKUP("resto de america",#REF!,2,FALSE)</f>
        <v>#REF!</v>
      </c>
      <c r="N205" s="216" t="e">
        <f>VLOOKUP("resto de america",#REF!,7,FALSE)/VLOOKUP("resto de america",#REF!,7,FALSE)-1</f>
        <v>#REF!</v>
      </c>
      <c r="O205" s="217" t="e">
        <f>VLOOKUP("resto de america",#REF!,7,FALSE)</f>
        <v>#REF!</v>
      </c>
      <c r="P205" s="216" t="e">
        <f>VLOOKUP("resto de america",#REF!,8,FALSE)/VLOOKUP("resto de america",#REF!,8,FALSE)-1</f>
        <v>#REF!</v>
      </c>
      <c r="Q205" s="217" t="e">
        <f>VLOOKUP("resto de america",#REF!,8,FALSE)</f>
        <v>#REF!</v>
      </c>
    </row>
    <row r="206" spans="3:17" ht="24" hidden="1" customHeight="1" x14ac:dyDescent="0.2">
      <c r="C206" s="215" t="s">
        <v>60</v>
      </c>
      <c r="D206" s="216" t="e">
        <f>VLOOKUP("resto del mundo",#REF!,6,FALSE)/VLOOKUP("resto del mundo",#REF!,6,FALSE)-1</f>
        <v>#REF!</v>
      </c>
      <c r="E206" s="217" t="e">
        <f>VLOOKUP("resto del mundo",#REF!,6,FALSE)</f>
        <v>#REF!</v>
      </c>
      <c r="F206" s="216" t="e">
        <f>VLOOKUP("resto del mundo",#REF!,5,FALSE)/VLOOKUP("resto del mundo",#REF!,5,FALSE)-1</f>
        <v>#REF!</v>
      </c>
      <c r="G206" s="217" t="e">
        <f>VLOOKUP("resto del mundo",#REF!,5,FALSE)</f>
        <v>#REF!</v>
      </c>
      <c r="H206" s="216" t="e">
        <f>VLOOKUP("resto del mundo",#REF!,4,FALSE)/VLOOKUP("resto del mundo",#REF!,4,FALSE)-1</f>
        <v>#REF!</v>
      </c>
      <c r="I206" s="217" t="e">
        <f>VLOOKUP("resto del mundo",#REF!,4,FALSE)</f>
        <v>#REF!</v>
      </c>
      <c r="J206" s="216" t="e">
        <f>VLOOKUP("resto del mundo",#REF!,3,FALSE)/VLOOKUP("resto del mundo",#REF!,3,FALSE)-1</f>
        <v>#REF!</v>
      </c>
      <c r="K206" s="217" t="e">
        <f>VLOOKUP("resto del mundo",#REF!,3,FALSE)</f>
        <v>#REF!</v>
      </c>
      <c r="L206" s="216" t="e">
        <f>VLOOKUP("resto del mundo",#REF!,2,FALSE)/VLOOKUP("resto del mundo",#REF!,2,FALSE)-1</f>
        <v>#REF!</v>
      </c>
      <c r="M206" s="217" t="e">
        <f>VLOOKUP("resto del mundo",#REF!,2,FALSE)</f>
        <v>#REF!</v>
      </c>
      <c r="N206" s="216" t="e">
        <f>VLOOKUP("resto del mundo",#REF!,7,FALSE)/VLOOKUP("resto del mundo",#REF!,7,FALSE)-1</f>
        <v>#REF!</v>
      </c>
      <c r="O206" s="217" t="e">
        <f>VLOOKUP("resto del mundo",#REF!,7,FALSE)</f>
        <v>#REF!</v>
      </c>
      <c r="P206" s="216" t="e">
        <f>VLOOKUP("resto del mundo",#REF!,8,FALSE)/VLOOKUP("resto del mundo",#REF!,8,FALSE)-1</f>
        <v>#REF!</v>
      </c>
      <c r="Q206" s="217" t="e">
        <f>VLOOKUP("resto del mundo",#REF!,8,FALSE)</f>
        <v>#REF!</v>
      </c>
    </row>
    <row r="207" spans="3:17" ht="24" hidden="1" customHeight="1" x14ac:dyDescent="0.2">
      <c r="C207" s="215" t="s">
        <v>61</v>
      </c>
      <c r="D207" s="216" t="e">
        <f>(VLOOKUP("total",#REF!,6,FALSE)-VLOOKUP("españa",#REF!,6,FALSE))/(VLOOKUP("total",#REF!,6,FALSE)-VLOOKUP("españa",#REF!,6,FALSE))-1</f>
        <v>#REF!</v>
      </c>
      <c r="E207" s="217" t="e">
        <f>VLOOKUP("total",#REF!,6,FALSE)-VLOOKUP("españa",#REF!,6,FALSE)</f>
        <v>#REF!</v>
      </c>
      <c r="F207" s="216" t="e">
        <f>(VLOOKUP("total",#REF!,5,FALSE)-VLOOKUP("españa",#REF!,5,FALSE))/(VLOOKUP("total",#REF!,5,FALSE)-VLOOKUP("españa",#REF!,5,FALSE))-1</f>
        <v>#REF!</v>
      </c>
      <c r="G207" s="217" t="e">
        <f>VLOOKUP("total",#REF!,5,FALSE)-VLOOKUP("españa",#REF!,5,FALSE)</f>
        <v>#REF!</v>
      </c>
      <c r="H207" s="216" t="e">
        <f>(VLOOKUP("total",#REF!,4,FALSE)-VLOOKUP("españa",#REF!,4,FALSE))/(VLOOKUP("total",#REF!,4,FALSE)-VLOOKUP("españa",#REF!,4,FALSE))-1</f>
        <v>#REF!</v>
      </c>
      <c r="I207" s="217" t="e">
        <f>VLOOKUP("total",#REF!,4,FALSE)-VLOOKUP("españa",#REF!,4,FALSE)</f>
        <v>#REF!</v>
      </c>
      <c r="J207" s="216" t="e">
        <f>(VLOOKUP("total",#REF!,3,FALSE)-VLOOKUP("españa",#REF!,3,FALSE))/(VLOOKUP("total",#REF!,3,FALSE)-VLOOKUP("españa",#REF!,3,FALSE))-1</f>
        <v>#REF!</v>
      </c>
      <c r="K207" s="217" t="e">
        <f>VLOOKUP("total",#REF!,3,FALSE)-VLOOKUP("españa",#REF!,3,FALSE)</f>
        <v>#REF!</v>
      </c>
      <c r="L207" s="216" t="e">
        <f>(VLOOKUP("total",#REF!,2,FALSE)-VLOOKUP("españa",#REF!,2,FALSE))/(VLOOKUP("total",#REF!,2,FALSE)-VLOOKUP("españa",#REF!,2,FALSE))-1</f>
        <v>#REF!</v>
      </c>
      <c r="M207" s="217" t="e">
        <f>VLOOKUP("total",#REF!,2,FALSE)-VLOOKUP("españa",#REF!,2,FALSE)</f>
        <v>#REF!</v>
      </c>
      <c r="N207" s="216" t="e">
        <f>(VLOOKUP("total",#REF!,7,FALSE)-VLOOKUP("españa",#REF!,7,FALSE))/(VLOOKUP("total",#REF!,7,FALSE)-VLOOKUP("españa",#REF!,7,FALSE))-1</f>
        <v>#REF!</v>
      </c>
      <c r="O207" s="217" t="e">
        <f>VLOOKUP("total",#REF!,7,FALSE)-VLOOKUP("españa",#REF!,7,FALSE)</f>
        <v>#REF!</v>
      </c>
      <c r="P207" s="216" t="e">
        <f>(VLOOKUP("total",#REF!,8,FALSE)-VLOOKUP("españa",#REF!,8,FALSE))/(VLOOKUP("total",#REF!,8,FALSE)-VLOOKUP("españa",#REF!,8,FALSE))-1</f>
        <v>#REF!</v>
      </c>
      <c r="Q207" s="217" t="e">
        <f>VLOOKUP("total",#REF!,8,FALSE)-VLOOKUP("españa",#REF!,8,FALSE)</f>
        <v>#REF!</v>
      </c>
    </row>
    <row r="208" spans="3:17" ht="24" hidden="1" customHeight="1" x14ac:dyDescent="0.2">
      <c r="C208" s="215" t="s">
        <v>8</v>
      </c>
      <c r="D208" s="216" t="e">
        <f>VLOOKUP("total",#REF!,6,FALSE)/VLOOKUP("total",#REF!,6,FALSE)-1</f>
        <v>#REF!</v>
      </c>
      <c r="E208" s="217" t="e">
        <f>VLOOKUP("total",#REF!,6,FALSE)</f>
        <v>#REF!</v>
      </c>
      <c r="F208" s="216" t="e">
        <f>VLOOKUP("total",#REF!,5,FALSE)/VLOOKUP("total",#REF!,5,FALSE)-1</f>
        <v>#REF!</v>
      </c>
      <c r="G208" s="217" t="e">
        <f>VLOOKUP("total",#REF!,5,FALSE)</f>
        <v>#REF!</v>
      </c>
      <c r="H208" s="216" t="e">
        <f>VLOOKUP("total",#REF!,4,FALSE)/VLOOKUP("total",#REF!,4,FALSE)-1</f>
        <v>#REF!</v>
      </c>
      <c r="I208" s="217" t="e">
        <f>VLOOKUP("total",#REF!,4,FALSE)</f>
        <v>#REF!</v>
      </c>
      <c r="J208" s="216" t="e">
        <f>VLOOKUP("total",#REF!,3,FALSE)/VLOOKUP("total",#REF!,3,FALSE)-1</f>
        <v>#REF!</v>
      </c>
      <c r="K208" s="217" t="e">
        <f>VLOOKUP("total",#REF!,3,FALSE)</f>
        <v>#REF!</v>
      </c>
      <c r="L208" s="216" t="e">
        <f>VLOOKUP("total",#REF!,2,FALSE)/VLOOKUP("total",#REF!,2,FALSE)-1</f>
        <v>#REF!</v>
      </c>
      <c r="M208" s="217" t="e">
        <f>VLOOKUP("total",#REF!,2,FALSE)</f>
        <v>#REF!</v>
      </c>
      <c r="N208" s="216" t="e">
        <f>VLOOKUP("total",#REF!,7,FALSE)/VLOOKUP("total",#REF!,7,FALSE)-1</f>
        <v>#REF!</v>
      </c>
      <c r="O208" s="217" t="e">
        <f>VLOOKUP("total",#REF!,7,FALSE)</f>
        <v>#REF!</v>
      </c>
      <c r="P208" s="216" t="e">
        <f>VLOOKUP("total",#REF!,8,FALSE)/VLOOKUP("total",#REF!,8,FALSE)-1</f>
        <v>#REF!</v>
      </c>
      <c r="Q208" s="217" t="e">
        <f>VLOOKUP("total",#REF!,8,FALSE)</f>
        <v>#REF!</v>
      </c>
    </row>
    <row r="209" spans="3:18" hidden="1" x14ac:dyDescent="0.2">
      <c r="C209" s="160"/>
      <c r="D209" s="161"/>
      <c r="E209" s="161"/>
      <c r="F209" s="161"/>
      <c r="G209" s="161"/>
      <c r="H209" s="161"/>
      <c r="I209" s="161"/>
      <c r="J209" s="161"/>
      <c r="K209" s="161"/>
      <c r="L209" s="161"/>
      <c r="M209" s="163"/>
    </row>
    <row r="210" spans="3:18" ht="35.25" hidden="1" customHeight="1" x14ac:dyDescent="0.2">
      <c r="C210" s="206" t="s">
        <v>29</v>
      </c>
      <c r="D210" s="207"/>
      <c r="E210" s="207"/>
      <c r="F210" s="207"/>
      <c r="G210" s="207"/>
      <c r="H210" s="207"/>
      <c r="I210" s="207"/>
      <c r="J210" s="207"/>
      <c r="K210" s="207"/>
      <c r="L210" s="207"/>
      <c r="M210" s="207"/>
      <c r="N210" s="207"/>
      <c r="O210" s="207"/>
      <c r="P210" s="207"/>
      <c r="Q210" s="207"/>
      <c r="R210" s="208"/>
    </row>
    <row r="211" spans="3:18" ht="20.100000000000001" hidden="1" customHeight="1" x14ac:dyDescent="0.2">
      <c r="C211" s="219" t="str">
        <f>I2</f>
        <v>verano 17 (jul-sep)</v>
      </c>
      <c r="D211" s="220"/>
      <c r="E211" s="220"/>
      <c r="F211" s="220"/>
      <c r="G211" s="220"/>
      <c r="H211" s="220"/>
      <c r="I211" s="220"/>
      <c r="J211" s="220"/>
      <c r="K211" s="220"/>
      <c r="L211" s="220"/>
      <c r="M211" s="220"/>
      <c r="N211" s="220"/>
      <c r="O211" s="220"/>
      <c r="P211" s="220"/>
      <c r="Q211" s="220"/>
      <c r="R211" s="221"/>
    </row>
    <row r="212" spans="3:18" ht="13.5" hidden="1" thickBot="1" x14ac:dyDescent="0.25">
      <c r="C212" s="211"/>
      <c r="D212" s="212" t="s">
        <v>24</v>
      </c>
      <c r="E212" s="213"/>
      <c r="F212" s="212" t="s">
        <v>23</v>
      </c>
      <c r="G212" s="213"/>
      <c r="H212" s="212" t="s">
        <v>22</v>
      </c>
      <c r="I212" s="213"/>
      <c r="J212" s="212" t="s">
        <v>21</v>
      </c>
      <c r="K212" s="213"/>
      <c r="L212" s="212" t="s">
        <v>20</v>
      </c>
      <c r="M212" s="213"/>
      <c r="N212" s="212" t="s">
        <v>63</v>
      </c>
      <c r="O212" s="213"/>
      <c r="P212" s="212" t="s">
        <v>64</v>
      </c>
      <c r="Q212" s="213"/>
    </row>
    <row r="213" spans="3:18" ht="28.5" hidden="1" customHeight="1" x14ac:dyDescent="0.2">
      <c r="C213" s="211"/>
      <c r="D213" s="214" t="s">
        <v>65</v>
      </c>
      <c r="E213" s="214" t="s">
        <v>66</v>
      </c>
      <c r="F213" s="214" t="s">
        <v>65</v>
      </c>
      <c r="G213" s="214" t="s">
        <v>66</v>
      </c>
      <c r="H213" s="214" t="s">
        <v>65</v>
      </c>
      <c r="I213" s="214" t="s">
        <v>66</v>
      </c>
      <c r="J213" s="214" t="s">
        <v>65</v>
      </c>
      <c r="K213" s="214" t="s">
        <v>66</v>
      </c>
      <c r="L213" s="214" t="s">
        <v>65</v>
      </c>
      <c r="M213" s="214" t="s">
        <v>66</v>
      </c>
      <c r="N213" s="214" t="s">
        <v>65</v>
      </c>
      <c r="O213" s="214" t="s">
        <v>66</v>
      </c>
      <c r="P213" s="214" t="s">
        <v>65</v>
      </c>
      <c r="Q213" s="214" t="s">
        <v>66</v>
      </c>
    </row>
    <row r="214" spans="3:18" ht="24" hidden="1" customHeight="1" x14ac:dyDescent="0.2">
      <c r="C214" s="215" t="s">
        <v>36</v>
      </c>
      <c r="D214" s="216" t="e">
        <f>VLOOKUP("españa",#REF!,6,FALSE)/VLOOKUP("españa",#REF!,6,FALSE)-1</f>
        <v>#REF!</v>
      </c>
      <c r="E214" s="217" t="e">
        <f>VLOOKUP("españa",#REF!,6,FALSE)</f>
        <v>#REF!</v>
      </c>
      <c r="F214" s="216" t="e">
        <f>VLOOKUP("españa",#REF!,5,FALSE)/VLOOKUP("españa",#REF!,5,FALSE)-1</f>
        <v>#REF!</v>
      </c>
      <c r="G214" s="217" t="e">
        <f>VLOOKUP("españa",#REF!,5,FALSE)</f>
        <v>#REF!</v>
      </c>
      <c r="H214" s="216" t="e">
        <f>VLOOKUP("españa",#REF!,4,FALSE)/VLOOKUP("españa",#REF!,4,FALSE)-1</f>
        <v>#REF!</v>
      </c>
      <c r="I214" s="217" t="e">
        <f>VLOOKUP("españa",#REF!,4,FALSE)</f>
        <v>#REF!</v>
      </c>
      <c r="J214" s="216" t="e">
        <f>VLOOKUP("españa",#REF!,3,FALSE)/VLOOKUP("españa",#REF!,3,FALSE)-1</f>
        <v>#REF!</v>
      </c>
      <c r="K214" s="217" t="e">
        <f>VLOOKUP("españa",#REF!,3,FALSE)</f>
        <v>#REF!</v>
      </c>
      <c r="L214" s="216" t="e">
        <f>VLOOKUP("españa",#REF!,2,FALSE)/VLOOKUP("españa",#REF!,2,FALSE)-1</f>
        <v>#REF!</v>
      </c>
      <c r="M214" s="217" t="e">
        <f>VLOOKUP("españa",#REF!,2,FALSE)</f>
        <v>#REF!</v>
      </c>
      <c r="N214" s="216" t="e">
        <f>VLOOKUP("españa",#REF!,7,FALSE)/VLOOKUP("españa",#REF!,7,FALSE)-1</f>
        <v>#REF!</v>
      </c>
      <c r="O214" s="217" t="e">
        <f>VLOOKUP("españa",#REF!,7,FALSE)</f>
        <v>#REF!</v>
      </c>
      <c r="P214" s="216" t="e">
        <f>VLOOKUP("españa",#REF!,8,FALSE)/VLOOKUP("españa",#REF!,8,FALSE)-1</f>
        <v>#REF!</v>
      </c>
      <c r="Q214" s="217" t="e">
        <f>VLOOKUP("españa",#REF!,8,FALSE)</f>
        <v>#REF!</v>
      </c>
    </row>
    <row r="215" spans="3:18" ht="24" hidden="1" customHeight="1" x14ac:dyDescent="0.2">
      <c r="C215" s="215" t="s">
        <v>41</v>
      </c>
      <c r="D215" s="216" t="e">
        <f>VLOOKUP("holanda",#REF!,6,FALSE)/VLOOKUP("holanda",#REF!,6,FALSE)-1</f>
        <v>#REF!</v>
      </c>
      <c r="E215" s="217" t="e">
        <f>VLOOKUP("holanda",#REF!,6,FALSE)</f>
        <v>#REF!</v>
      </c>
      <c r="F215" s="216" t="e">
        <f>VLOOKUP("holanda",#REF!,5,FALSE)/VLOOKUP("holanda",#REF!,5,FALSE)-1</f>
        <v>#REF!</v>
      </c>
      <c r="G215" s="217" t="e">
        <f>VLOOKUP("holanda",#REF!,5,FALSE)</f>
        <v>#REF!</v>
      </c>
      <c r="H215" s="216" t="e">
        <f>VLOOKUP("holanda",#REF!,4,FALSE)/VLOOKUP("holanda",#REF!,4,FALSE)-1</f>
        <v>#REF!</v>
      </c>
      <c r="I215" s="217" t="e">
        <f>VLOOKUP("holanda",#REF!,4,FALSE)</f>
        <v>#REF!</v>
      </c>
      <c r="J215" s="216" t="e">
        <f>VLOOKUP("holanda",#REF!,3,FALSE)/VLOOKUP("holanda",#REF!,3,FALSE)-1</f>
        <v>#REF!</v>
      </c>
      <c r="K215" s="217" t="e">
        <f>VLOOKUP("holanda",#REF!,3,FALSE)</f>
        <v>#REF!</v>
      </c>
      <c r="L215" s="216" t="e">
        <f>VLOOKUP("holanda",#REF!,2,FALSE)/VLOOKUP("holanda",#REF!,2,FALSE)-1</f>
        <v>#REF!</v>
      </c>
      <c r="M215" s="217" t="e">
        <f>VLOOKUP("holanda",#REF!,2,FALSE)</f>
        <v>#REF!</v>
      </c>
      <c r="N215" s="216" t="e">
        <f>VLOOKUP("holanda",#REF!,7,FALSE)/VLOOKUP("holanda",#REF!,7,FALSE)-1</f>
        <v>#REF!</v>
      </c>
      <c r="O215" s="217" t="e">
        <f>VLOOKUP("holanda",#REF!,7,FALSE)</f>
        <v>#REF!</v>
      </c>
      <c r="P215" s="216" t="e">
        <f>VLOOKUP("holanda",#REF!,8,FALSE)/VLOOKUP("holanda",#REF!,8,FALSE)-1</f>
        <v>#REF!</v>
      </c>
      <c r="Q215" s="217" t="e">
        <f>VLOOKUP("holanda",#REF!,8,FALSE)</f>
        <v>#REF!</v>
      </c>
    </row>
    <row r="216" spans="3:18" ht="24" hidden="1" customHeight="1" x14ac:dyDescent="0.2">
      <c r="C216" s="215" t="s">
        <v>42</v>
      </c>
      <c r="D216" s="216" t="e">
        <f>VLOOKUP("belgica",#REF!,6,FALSE)/VLOOKUP("belgica",#REF!,6,FALSE)-1</f>
        <v>#REF!</v>
      </c>
      <c r="E216" s="217" t="e">
        <f>VLOOKUP("belgica",#REF!,6,FALSE)</f>
        <v>#REF!</v>
      </c>
      <c r="F216" s="216" t="e">
        <f>VLOOKUP("belgica",#REF!,5,FALSE)/VLOOKUP("belgica",#REF!,5,FALSE)-1</f>
        <v>#REF!</v>
      </c>
      <c r="G216" s="217" t="e">
        <f>VLOOKUP("belgica",#REF!,5,FALSE)</f>
        <v>#REF!</v>
      </c>
      <c r="H216" s="216" t="e">
        <f>VLOOKUP("belgica",#REF!,4,FALSE)/VLOOKUP("belgica",#REF!,4,FALSE)-1</f>
        <v>#REF!</v>
      </c>
      <c r="I216" s="217" t="e">
        <f>VLOOKUP("belgica",#REF!,4,FALSE)</f>
        <v>#REF!</v>
      </c>
      <c r="J216" s="216" t="e">
        <f>VLOOKUP("belgica",#REF!,3,FALSE)/VLOOKUP("belgica",#REF!,3,FALSE)-1</f>
        <v>#REF!</v>
      </c>
      <c r="K216" s="217" t="e">
        <f>VLOOKUP("belgica",#REF!,3,FALSE)</f>
        <v>#REF!</v>
      </c>
      <c r="L216" s="216" t="e">
        <f>VLOOKUP("belgica",#REF!,2,FALSE)/VLOOKUP("belgica",#REF!,2,FALSE)-1</f>
        <v>#REF!</v>
      </c>
      <c r="M216" s="217" t="e">
        <f>VLOOKUP("belgica",#REF!,2,FALSE)</f>
        <v>#REF!</v>
      </c>
      <c r="N216" s="216" t="e">
        <f>VLOOKUP("belgica",#REF!,7,FALSE)/VLOOKUP("belgica",#REF!,7,FALSE)-1</f>
        <v>#REF!</v>
      </c>
      <c r="O216" s="217" t="e">
        <f>VLOOKUP("belgica",#REF!,7,FALSE)</f>
        <v>#REF!</v>
      </c>
      <c r="P216" s="216" t="e">
        <f>VLOOKUP("belgica",#REF!,8,FALSE)/VLOOKUP("belgica",#REF!,8,FALSE)-1</f>
        <v>#REF!</v>
      </c>
      <c r="Q216" s="217" t="e">
        <f>VLOOKUP("belgica",#REF!,8,FALSE)</f>
        <v>#REF!</v>
      </c>
    </row>
    <row r="217" spans="3:18" ht="24" hidden="1" customHeight="1" x14ac:dyDescent="0.2">
      <c r="C217" s="215" t="s">
        <v>43</v>
      </c>
      <c r="D217" s="216" t="e">
        <f>VLOOKUP("alemania",#REF!,6,FALSE)/VLOOKUP("alemania",#REF!,6,FALSE)-1</f>
        <v>#REF!</v>
      </c>
      <c r="E217" s="217" t="e">
        <f>VLOOKUP("alemania",#REF!,6,FALSE)</f>
        <v>#REF!</v>
      </c>
      <c r="F217" s="216" t="e">
        <f>VLOOKUP("alemania",#REF!,5,FALSE)/VLOOKUP("alemania",#REF!,5,FALSE)-1</f>
        <v>#REF!</v>
      </c>
      <c r="G217" s="217" t="e">
        <f>VLOOKUP("alemania",#REF!,5,FALSE)</f>
        <v>#REF!</v>
      </c>
      <c r="H217" s="216" t="e">
        <f>VLOOKUP("alemania",#REF!,4,FALSE)/VLOOKUP("alemania",#REF!,4,FALSE)-1</f>
        <v>#REF!</v>
      </c>
      <c r="I217" s="217" t="e">
        <f>VLOOKUP("alemania",#REF!,4,FALSE)</f>
        <v>#REF!</v>
      </c>
      <c r="J217" s="216" t="e">
        <f>VLOOKUP("alemania",#REF!,3,FALSE)/VLOOKUP("alemania",#REF!,3,FALSE)-1</f>
        <v>#REF!</v>
      </c>
      <c r="K217" s="217" t="e">
        <f>VLOOKUP("alemania",#REF!,3,FALSE)</f>
        <v>#REF!</v>
      </c>
      <c r="L217" s="216" t="e">
        <f>VLOOKUP("alemania",#REF!,2,FALSE)/VLOOKUP("alemania",#REF!,2,FALSE)-1</f>
        <v>#REF!</v>
      </c>
      <c r="M217" s="217" t="e">
        <f>VLOOKUP("alemania",#REF!,2,FALSE)</f>
        <v>#REF!</v>
      </c>
      <c r="N217" s="216" t="e">
        <f>VLOOKUP("alemania",#REF!,7,FALSE)/VLOOKUP("alemania",#REF!,7,FALSE)-1</f>
        <v>#REF!</v>
      </c>
      <c r="O217" s="217" t="e">
        <f>VLOOKUP("alemania",#REF!,7,FALSE)</f>
        <v>#REF!</v>
      </c>
      <c r="P217" s="216" t="e">
        <f>VLOOKUP("alemania",#REF!,8,FALSE)/VLOOKUP("alemania",#REF!,8,FALSE)-1</f>
        <v>#REF!</v>
      </c>
      <c r="Q217" s="217" t="e">
        <f>VLOOKUP("alemania",#REF!,8,FALSE)</f>
        <v>#REF!</v>
      </c>
    </row>
    <row r="218" spans="3:18" ht="24" hidden="1" customHeight="1" x14ac:dyDescent="0.2">
      <c r="C218" s="215" t="s">
        <v>44</v>
      </c>
      <c r="D218" s="216" t="e">
        <f>VLOOKUP("francia",#REF!,6,FALSE)/VLOOKUP("francia",#REF!,6,FALSE)-1</f>
        <v>#REF!</v>
      </c>
      <c r="E218" s="217" t="e">
        <f>VLOOKUP("francia",#REF!,6,FALSE)</f>
        <v>#REF!</v>
      </c>
      <c r="F218" s="216" t="e">
        <f>VLOOKUP("francia",#REF!,5,FALSE)/VLOOKUP("francia",#REF!,5,FALSE)-1</f>
        <v>#REF!</v>
      </c>
      <c r="G218" s="217" t="e">
        <f>VLOOKUP("francia",#REF!,5,FALSE)</f>
        <v>#REF!</v>
      </c>
      <c r="H218" s="216" t="e">
        <f>VLOOKUP("francia",#REF!,4,FALSE)/VLOOKUP("francia",#REF!,4,FALSE)-1</f>
        <v>#REF!</v>
      </c>
      <c r="I218" s="217" t="e">
        <f>VLOOKUP("francia",#REF!,4,FALSE)</f>
        <v>#REF!</v>
      </c>
      <c r="J218" s="216" t="e">
        <f>VLOOKUP("francia",#REF!,3,FALSE)/VLOOKUP("francia",#REF!,3,FALSE)-1</f>
        <v>#REF!</v>
      </c>
      <c r="K218" s="217" t="e">
        <f>VLOOKUP("francia",#REF!,3,FALSE)</f>
        <v>#REF!</v>
      </c>
      <c r="L218" s="216" t="e">
        <f>VLOOKUP("francia",#REF!,2,FALSE)/VLOOKUP("francia",#REF!,2,FALSE)-1</f>
        <v>#REF!</v>
      </c>
      <c r="M218" s="217" t="e">
        <f>VLOOKUP("francia",#REF!,2,FALSE)</f>
        <v>#REF!</v>
      </c>
      <c r="N218" s="216" t="e">
        <f>VLOOKUP("francia",#REF!,7,FALSE)/VLOOKUP("francia",#REF!,7,FALSE)-1</f>
        <v>#REF!</v>
      </c>
      <c r="O218" s="217" t="e">
        <f>VLOOKUP("francia",#REF!,7,FALSE)</f>
        <v>#REF!</v>
      </c>
      <c r="P218" s="216" t="e">
        <f>VLOOKUP("francia",#REF!,8,FALSE)/VLOOKUP("francia",#REF!,8,FALSE)-1</f>
        <v>#REF!</v>
      </c>
      <c r="Q218" s="217" t="e">
        <f>VLOOKUP("francia",#REF!,8,FALSE)</f>
        <v>#REF!</v>
      </c>
    </row>
    <row r="219" spans="3:18" ht="24" hidden="1" customHeight="1" x14ac:dyDescent="0.2">
      <c r="C219" s="215" t="s">
        <v>45</v>
      </c>
      <c r="D219" s="216" t="e">
        <f>VLOOKUP("reino unido",#REF!,6,FALSE)/VLOOKUP("reino unido",#REF!,6,FALSE)-1</f>
        <v>#REF!</v>
      </c>
      <c r="E219" s="217" t="e">
        <f>VLOOKUP("reino unido",#REF!,6,FALSE)</f>
        <v>#REF!</v>
      </c>
      <c r="F219" s="216" t="e">
        <f>VLOOKUP("reino unido",#REF!,5,FALSE)/VLOOKUP("reino unido",#REF!,5,FALSE)-1</f>
        <v>#REF!</v>
      </c>
      <c r="G219" s="217" t="e">
        <f>VLOOKUP("reino unido",#REF!,5,FALSE)</f>
        <v>#REF!</v>
      </c>
      <c r="H219" s="216" t="e">
        <f>VLOOKUP("reino unido",#REF!,4,FALSE)/VLOOKUP("reino unido",#REF!,4,FALSE)-1</f>
        <v>#REF!</v>
      </c>
      <c r="I219" s="217" t="e">
        <f>VLOOKUP("reino unido",#REF!,4,FALSE)</f>
        <v>#REF!</v>
      </c>
      <c r="J219" s="216" t="e">
        <f>VLOOKUP("reino unido",#REF!,3,FALSE)/VLOOKUP("reino unido",#REF!,3,FALSE)-1</f>
        <v>#REF!</v>
      </c>
      <c r="K219" s="217" t="e">
        <f>VLOOKUP("reino unido",#REF!,3,FALSE)</f>
        <v>#REF!</v>
      </c>
      <c r="L219" s="216" t="e">
        <f>VLOOKUP("reino unido",#REF!,2,FALSE)/VLOOKUP("reino unido",#REF!,2,FALSE)-1</f>
        <v>#REF!</v>
      </c>
      <c r="M219" s="217" t="e">
        <f>VLOOKUP("reino unido",#REF!,2,FALSE)</f>
        <v>#REF!</v>
      </c>
      <c r="N219" s="216" t="e">
        <f>VLOOKUP("reino unido",#REF!,7,FALSE)/VLOOKUP("reino unido",#REF!,7,FALSE)-1</f>
        <v>#REF!</v>
      </c>
      <c r="O219" s="217" t="e">
        <f>VLOOKUP("reino unido",#REF!,7,FALSE)</f>
        <v>#REF!</v>
      </c>
      <c r="P219" s="216" t="e">
        <f>VLOOKUP("reino unido",#REF!,8,FALSE)/VLOOKUP("reino unido",#REF!,8,FALSE)-1</f>
        <v>#REF!</v>
      </c>
      <c r="Q219" s="217" t="e">
        <f>VLOOKUP("reino unido",#REF!,8,FALSE)</f>
        <v>#REF!</v>
      </c>
    </row>
    <row r="220" spans="3:18" ht="24" hidden="1" customHeight="1" x14ac:dyDescent="0.2">
      <c r="C220" s="215" t="s">
        <v>46</v>
      </c>
      <c r="D220" s="216" t="e">
        <f>VLOOKUP("irlanda",#REF!,6,FALSE)/VLOOKUP("irlanda",#REF!,6,FALSE)-1</f>
        <v>#REF!</v>
      </c>
      <c r="E220" s="217" t="e">
        <f>VLOOKUP("irlanda",#REF!,6,FALSE)</f>
        <v>#REF!</v>
      </c>
      <c r="F220" s="216" t="e">
        <f>VLOOKUP("irlanda",#REF!,5,FALSE)/VLOOKUP("irlanda",#REF!,5,FALSE)-1</f>
        <v>#REF!</v>
      </c>
      <c r="G220" s="217" t="e">
        <f>VLOOKUP("irlanda",#REF!,5,FALSE)</f>
        <v>#REF!</v>
      </c>
      <c r="H220" s="216" t="e">
        <f>VLOOKUP("irlanda",#REF!,4,FALSE)/VLOOKUP("irlanda",#REF!,4,FALSE)-1</f>
        <v>#REF!</v>
      </c>
      <c r="I220" s="217" t="e">
        <f>VLOOKUP("irlanda",#REF!,4,FALSE)</f>
        <v>#REF!</v>
      </c>
      <c r="J220" s="216" t="e">
        <f>VLOOKUP("irlanda",#REF!,3,FALSE)/VLOOKUP("irlanda",#REF!,3,FALSE)-1</f>
        <v>#REF!</v>
      </c>
      <c r="K220" s="217" t="e">
        <f>VLOOKUP("irlanda",#REF!,3,FALSE)</f>
        <v>#REF!</v>
      </c>
      <c r="L220" s="216" t="e">
        <f>VLOOKUP("irlanda",#REF!,2,FALSE)/VLOOKUP("irlanda",#REF!,2,FALSE)-1</f>
        <v>#REF!</v>
      </c>
      <c r="M220" s="217" t="e">
        <f>VLOOKUP("irlanda",#REF!,2,FALSE)</f>
        <v>#REF!</v>
      </c>
      <c r="N220" s="216" t="e">
        <f>VLOOKUP("irlanda",#REF!,7,FALSE)/VLOOKUP("irlanda",#REF!,7,FALSE)-1</f>
        <v>#REF!</v>
      </c>
      <c r="O220" s="217" t="e">
        <f>VLOOKUP("irlanda",#REF!,7,FALSE)</f>
        <v>#REF!</v>
      </c>
      <c r="P220" s="216" t="e">
        <f>VLOOKUP("irlanda",#REF!,8,FALSE)/VLOOKUP("irlanda",#REF!,8,FALSE)-1</f>
        <v>#REF!</v>
      </c>
      <c r="Q220" s="217" t="e">
        <f>VLOOKUP("irlanda",#REF!,8,FALSE)</f>
        <v>#REF!</v>
      </c>
    </row>
    <row r="221" spans="3:18" ht="24" hidden="1" customHeight="1" x14ac:dyDescent="0.2">
      <c r="C221" s="215" t="s">
        <v>47</v>
      </c>
      <c r="D221" s="216" t="e">
        <f>VLOOKUP("italia",#REF!,6,FALSE)/VLOOKUP("italia",#REF!,6,FALSE)-1</f>
        <v>#REF!</v>
      </c>
      <c r="E221" s="217" t="e">
        <f>VLOOKUP("italia",#REF!,6,FALSE)</f>
        <v>#REF!</v>
      </c>
      <c r="F221" s="216" t="e">
        <f>VLOOKUP("italia",#REF!,5,FALSE)/VLOOKUP("italia",#REF!,5,FALSE)-1</f>
        <v>#REF!</v>
      </c>
      <c r="G221" s="217" t="e">
        <f>VLOOKUP("italia",#REF!,5,FALSE)</f>
        <v>#REF!</v>
      </c>
      <c r="H221" s="216" t="e">
        <f>VLOOKUP("italia",#REF!,4,FALSE)/VLOOKUP("italia",#REF!,4,FALSE)-1</f>
        <v>#REF!</v>
      </c>
      <c r="I221" s="217" t="e">
        <f>VLOOKUP("italia",#REF!,4,FALSE)</f>
        <v>#REF!</v>
      </c>
      <c r="J221" s="216" t="e">
        <f>VLOOKUP("italia",#REF!,3,FALSE)/VLOOKUP("italia",#REF!,3,FALSE)-1</f>
        <v>#REF!</v>
      </c>
      <c r="K221" s="217" t="e">
        <f>VLOOKUP("italia",#REF!,3,FALSE)</f>
        <v>#REF!</v>
      </c>
      <c r="L221" s="216" t="e">
        <f>VLOOKUP("italia",#REF!,2,FALSE)/VLOOKUP("italia",#REF!,2,FALSE)-1</f>
        <v>#REF!</v>
      </c>
      <c r="M221" s="217" t="e">
        <f>VLOOKUP("italia",#REF!,2,FALSE)</f>
        <v>#REF!</v>
      </c>
      <c r="N221" s="216" t="e">
        <f>VLOOKUP("italia",#REF!,7,FALSE)/VLOOKUP("italia",#REF!,7,FALSE)-1</f>
        <v>#REF!</v>
      </c>
      <c r="O221" s="217" t="e">
        <f>VLOOKUP("italia",#REF!,7,FALSE)</f>
        <v>#REF!</v>
      </c>
      <c r="P221" s="216" t="e">
        <f>VLOOKUP("italia",#REF!,8,FALSE)/VLOOKUP("italia",#REF!,8,FALSE)-1</f>
        <v>#REF!</v>
      </c>
      <c r="Q221" s="217" t="e">
        <f>VLOOKUP("italia",#REF!,8,FALSE)</f>
        <v>#REF!</v>
      </c>
    </row>
    <row r="222" spans="3:18" ht="24" hidden="1" customHeight="1" x14ac:dyDescent="0.2">
      <c r="C222" s="215" t="s">
        <v>48</v>
      </c>
      <c r="D222" s="216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22" s="217" t="e">
        <f>(VLOOKUP("suecia",#REF!,6,FALSE)+VLOOKUP("noruega",#REF!,6,FALSE)+VLOOKUP("dinamarca",#REF!,6,FALSE)+VLOOKUP("finlandia",#REF!,6,FALSE))</f>
        <v>#REF!</v>
      </c>
      <c r="F222" s="216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22" s="217" t="e">
        <f>(VLOOKUP("suecia",#REF!,5,FALSE)+VLOOKUP("noruega",#REF!,5,FALSE)+VLOOKUP("dinamarca",#REF!,5,FALSE)+VLOOKUP("finlandia",#REF!,5,FALSE))</f>
        <v>#REF!</v>
      </c>
      <c r="H222" s="216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22" s="217" t="e">
        <f>(VLOOKUP("suecia",#REF!,4,FALSE)+VLOOKUP("noruega",#REF!,4,FALSE)+VLOOKUP("dinamarca",#REF!,4,FALSE)+VLOOKUP("finlandia",#REF!,4,FALSE))</f>
        <v>#REF!</v>
      </c>
      <c r="J222" s="216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22" s="217" t="e">
        <f>(VLOOKUP("suecia",#REF!,3,FALSE)+VLOOKUP("noruega",#REF!,3,FALSE)+VLOOKUP("dinamarca",#REF!,3,FALSE)+VLOOKUP("finlandia",#REF!,3,FALSE))</f>
        <v>#REF!</v>
      </c>
      <c r="L222" s="216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22" s="217" t="e">
        <f>(VLOOKUP("suecia",#REF!,2,FALSE)+VLOOKUP("noruega",#REF!,2,FALSE)+VLOOKUP("dinamarca",#REF!,2,FALSE)+VLOOKUP("finlandia",#REF!,2,FALSE))</f>
        <v>#REF!</v>
      </c>
      <c r="N222" s="216" t="e">
        <f>(VLOOKUP("suecia",#REF!,7,FALSE)+VLOOKUP("noruega",#REF!,7,FALSE)+VLOOKUP("dinamarca",#REF!,7,FALSE)+VLOOKUP("finlandia",#REF!,7,FALSE))/(VLOOKUP("suecia",#REF!,7,FALSE)+VLOOKUP("noruega",#REF!,7,FALSE)+VLOOKUP("dinamarca",#REF!,7,FALSE)+VLOOKUP("finlandia",#REF!,7,FALSE))-1</f>
        <v>#REF!</v>
      </c>
      <c r="O222" s="217" t="e">
        <f>(VLOOKUP("suecia",#REF!,7,FALSE)+VLOOKUP("noruega",#REF!,7,FALSE)+VLOOKUP("dinamarca",#REF!,7,FALSE)+VLOOKUP("finlandia",#REF!,7,FALSE))</f>
        <v>#REF!</v>
      </c>
      <c r="P222" s="216" t="e">
        <f>(VLOOKUP("suecia",#REF!,8,FALSE)+VLOOKUP("noruega",#REF!,8,FALSE)+VLOOKUP("dinamarca",#REF!,8,FALSE)+VLOOKUP("finlandia",#REF!,8,FALSE))/(VLOOKUP("suecia",#REF!,8,FALSE)+VLOOKUP("noruega",#REF!,8,FALSE)+VLOOKUP("dinamarca",#REF!,8,FALSE)+VLOOKUP("finlandia",#REF!,8,FALSE))-1</f>
        <v>#REF!</v>
      </c>
      <c r="Q222" s="217" t="e">
        <f>(VLOOKUP("suecia",#REF!,8,FALSE)+VLOOKUP("noruega",#REF!,8,FALSE)+VLOOKUP("dinamarca",#REF!,8,FALSE)+VLOOKUP("finlandia",#REF!,8,FALSE))</f>
        <v>#REF!</v>
      </c>
    </row>
    <row r="223" spans="3:18" ht="24" hidden="1" customHeight="1" x14ac:dyDescent="0.2">
      <c r="C223" s="218" t="s">
        <v>49</v>
      </c>
      <c r="D223" s="216" t="e">
        <f>VLOOKUP("suecia",#REF!,6,FALSE)/VLOOKUP("suecia",#REF!,6,FALSE)-1</f>
        <v>#REF!</v>
      </c>
      <c r="E223" s="217" t="e">
        <f>VLOOKUP("suecia",#REF!,6,FALSE)</f>
        <v>#REF!</v>
      </c>
      <c r="F223" s="216" t="e">
        <f>VLOOKUP("suecia",#REF!,5,FALSE)/VLOOKUP("suecia",#REF!,5,FALSE)-1</f>
        <v>#REF!</v>
      </c>
      <c r="G223" s="217" t="e">
        <f>VLOOKUP("suecia",#REF!,5,FALSE)</f>
        <v>#REF!</v>
      </c>
      <c r="H223" s="216" t="e">
        <f>VLOOKUP("suecia",#REF!,4,FALSE)/VLOOKUP("suecia",#REF!,4,FALSE)-1</f>
        <v>#REF!</v>
      </c>
      <c r="I223" s="217" t="e">
        <f>VLOOKUP("suecia",#REF!,4,FALSE)</f>
        <v>#REF!</v>
      </c>
      <c r="J223" s="216" t="e">
        <f>VLOOKUP("suecia",#REF!,3,FALSE)/VLOOKUP("suecia",#REF!,3,FALSE)-1</f>
        <v>#REF!</v>
      </c>
      <c r="K223" s="217" t="e">
        <f>VLOOKUP("suecia",#REF!,3,FALSE)</f>
        <v>#REF!</v>
      </c>
      <c r="L223" s="216" t="e">
        <f>VLOOKUP("suecia",#REF!,2,FALSE)/VLOOKUP("suecia",#REF!,2,FALSE)-1</f>
        <v>#REF!</v>
      </c>
      <c r="M223" s="217" t="e">
        <f>VLOOKUP("suecia",#REF!,2,FALSE)</f>
        <v>#REF!</v>
      </c>
      <c r="N223" s="216" t="e">
        <f>VLOOKUP("suecia",#REF!,7,FALSE)/VLOOKUP("suecia",#REF!,7,FALSE)-1</f>
        <v>#REF!</v>
      </c>
      <c r="O223" s="217" t="e">
        <f>VLOOKUP("suecia",#REF!,7,FALSE)</f>
        <v>#REF!</v>
      </c>
      <c r="P223" s="216" t="e">
        <f>VLOOKUP("suecia",#REF!,8,FALSE)/VLOOKUP("suecia",#REF!,8,FALSE)-1</f>
        <v>#REF!</v>
      </c>
      <c r="Q223" s="217" t="e">
        <f>VLOOKUP("suecia",#REF!,8,FALSE)</f>
        <v>#REF!</v>
      </c>
    </row>
    <row r="224" spans="3:18" ht="24" hidden="1" customHeight="1" x14ac:dyDescent="0.2">
      <c r="C224" s="218" t="s">
        <v>50</v>
      </c>
      <c r="D224" s="216" t="e">
        <f>VLOOKUP("noruega",#REF!,6,FALSE)/VLOOKUP("noruega",#REF!,6,FALSE)-1</f>
        <v>#REF!</v>
      </c>
      <c r="E224" s="217" t="e">
        <f>VLOOKUP("noruega",#REF!,6,FALSE)</f>
        <v>#REF!</v>
      </c>
      <c r="F224" s="216" t="e">
        <f>VLOOKUP("noruega",#REF!,5,FALSE)/VLOOKUP("noruega",#REF!,5,FALSE)-1</f>
        <v>#REF!</v>
      </c>
      <c r="G224" s="217" t="e">
        <f>VLOOKUP("noruega",#REF!,5,FALSE)</f>
        <v>#REF!</v>
      </c>
      <c r="H224" s="216" t="e">
        <f>VLOOKUP("noruega",#REF!,4,FALSE)/VLOOKUP("noruega",#REF!,4,FALSE)-1</f>
        <v>#REF!</v>
      </c>
      <c r="I224" s="217" t="e">
        <f>VLOOKUP("noruega",#REF!,4,FALSE)</f>
        <v>#REF!</v>
      </c>
      <c r="J224" s="216" t="e">
        <f>VLOOKUP("noruega",#REF!,3,FALSE)/VLOOKUP("noruega",#REF!,3,FALSE)-1</f>
        <v>#REF!</v>
      </c>
      <c r="K224" s="217" t="e">
        <f>VLOOKUP("noruega",#REF!,3,FALSE)</f>
        <v>#REF!</v>
      </c>
      <c r="L224" s="216" t="e">
        <f>VLOOKUP("noruega",#REF!,2,FALSE)/VLOOKUP("noruega",#REF!,2,FALSE)-1</f>
        <v>#REF!</v>
      </c>
      <c r="M224" s="217" t="e">
        <f>VLOOKUP("noruega",#REF!,2,FALSE)</f>
        <v>#REF!</v>
      </c>
      <c r="N224" s="216" t="e">
        <f>VLOOKUP("noruega",#REF!,7,FALSE)/VLOOKUP("noruega",#REF!,7,FALSE)-1</f>
        <v>#REF!</v>
      </c>
      <c r="O224" s="217" t="e">
        <f>VLOOKUP("noruega",#REF!,7,FALSE)</f>
        <v>#REF!</v>
      </c>
      <c r="P224" s="216" t="e">
        <f>VLOOKUP("noruega",#REF!,8,FALSE)/VLOOKUP("noruega",#REF!,8,FALSE)-1</f>
        <v>#REF!</v>
      </c>
      <c r="Q224" s="217" t="e">
        <f>VLOOKUP("noruega",#REF!,8,FALSE)</f>
        <v>#REF!</v>
      </c>
    </row>
    <row r="225" spans="3:17" ht="24" hidden="1" customHeight="1" x14ac:dyDescent="0.2">
      <c r="C225" s="218" t="s">
        <v>51</v>
      </c>
      <c r="D225" s="216" t="e">
        <f>VLOOKUP("dinamarca",#REF!,6,FALSE)/VLOOKUP("dinamarca",#REF!,6,FALSE)-1</f>
        <v>#REF!</v>
      </c>
      <c r="E225" s="217" t="e">
        <f>VLOOKUP("dinamarca",#REF!,6,FALSE)</f>
        <v>#REF!</v>
      </c>
      <c r="F225" s="216" t="e">
        <f>VLOOKUP("dinamarca",#REF!,5,FALSE)/VLOOKUP("dinamarca",#REF!,5,FALSE)-1</f>
        <v>#REF!</v>
      </c>
      <c r="G225" s="217" t="e">
        <f>VLOOKUP("dinamarca",#REF!,5,FALSE)</f>
        <v>#REF!</v>
      </c>
      <c r="H225" s="216" t="e">
        <f>VLOOKUP("dinamarca",#REF!,4,FALSE)/VLOOKUP("dinamarca",#REF!,4,FALSE)-1</f>
        <v>#REF!</v>
      </c>
      <c r="I225" s="217" t="e">
        <f>VLOOKUP("dinamarca",#REF!,4,FALSE)</f>
        <v>#REF!</v>
      </c>
      <c r="J225" s="216" t="e">
        <f>VLOOKUP("dinamarca",#REF!,3,FALSE)/VLOOKUP("dinamarca",#REF!,3,FALSE)-1</f>
        <v>#REF!</v>
      </c>
      <c r="K225" s="217" t="e">
        <f>VLOOKUP("dinamarca",#REF!,3,FALSE)</f>
        <v>#REF!</v>
      </c>
      <c r="L225" s="216" t="e">
        <f>VLOOKUP("dinamarca",#REF!,2,FALSE)/VLOOKUP("dinamarca",#REF!,2,FALSE)-1</f>
        <v>#REF!</v>
      </c>
      <c r="M225" s="217" t="e">
        <f>VLOOKUP("dinamarca",#REF!,2,FALSE)</f>
        <v>#REF!</v>
      </c>
      <c r="N225" s="216" t="e">
        <f>VLOOKUP("dinamarca",#REF!,7,FALSE)/VLOOKUP("dinamarca",#REF!,7,FALSE)-1</f>
        <v>#REF!</v>
      </c>
      <c r="O225" s="217" t="e">
        <f>VLOOKUP("dinamarca",#REF!,7,FALSE)</f>
        <v>#REF!</v>
      </c>
      <c r="P225" s="216" t="e">
        <f>VLOOKUP("dinamarca",#REF!,8,FALSE)/VLOOKUP("dinamarca",#REF!,8,FALSE)-1</f>
        <v>#REF!</v>
      </c>
      <c r="Q225" s="217" t="e">
        <f>VLOOKUP("dinamarca",#REF!,8,FALSE)</f>
        <v>#REF!</v>
      </c>
    </row>
    <row r="226" spans="3:17" ht="24" hidden="1" customHeight="1" x14ac:dyDescent="0.2">
      <c r="C226" s="218" t="s">
        <v>52</v>
      </c>
      <c r="D226" s="216" t="s">
        <v>38</v>
      </c>
      <c r="E226" s="217" t="e">
        <f>VLOOKUP("finlandia",#REF!,6,FALSE)</f>
        <v>#REF!</v>
      </c>
      <c r="F226" s="216" t="e">
        <f>VLOOKUP("finlandia",#REF!,5,FALSE)/VLOOKUP("finlandia",#REF!,5,FALSE)-1</f>
        <v>#REF!</v>
      </c>
      <c r="G226" s="217" t="e">
        <f>VLOOKUP("finlandia",#REF!,5,FALSE)</f>
        <v>#REF!</v>
      </c>
      <c r="H226" s="216" t="e">
        <f>VLOOKUP("finlandia",#REF!,4,FALSE)/VLOOKUP("finlandia",#REF!,4,FALSE)-1</f>
        <v>#REF!</v>
      </c>
      <c r="I226" s="217" t="e">
        <f>VLOOKUP("finlandia",#REF!,4,FALSE)</f>
        <v>#REF!</v>
      </c>
      <c r="J226" s="216" t="e">
        <f>VLOOKUP("finlandia",#REF!,3,FALSE)/VLOOKUP("finlandia",#REF!,3,FALSE)-1</f>
        <v>#REF!</v>
      </c>
      <c r="K226" s="217" t="e">
        <f>VLOOKUP("finlandia",#REF!,3,FALSE)</f>
        <v>#REF!</v>
      </c>
      <c r="L226" s="216" t="s">
        <v>38</v>
      </c>
      <c r="M226" s="217" t="e">
        <f>VLOOKUP("finlandia",#REF!,2,FALSE)</f>
        <v>#REF!</v>
      </c>
      <c r="N226" s="216" t="e">
        <f>VLOOKUP("finlandia",#REF!,7,FALSE)/VLOOKUP("finlandia",#REF!,7,FALSE)-1</f>
        <v>#REF!</v>
      </c>
      <c r="O226" s="217" t="e">
        <f>VLOOKUP("finlandia",#REF!,7,FALSE)</f>
        <v>#REF!</v>
      </c>
      <c r="P226" s="216" t="e">
        <f>VLOOKUP("finlandia",#REF!,8,FALSE)/VLOOKUP("finlandia",#REF!,8,FALSE)-1</f>
        <v>#REF!</v>
      </c>
      <c r="Q226" s="217" t="e">
        <f>VLOOKUP("finlandia",#REF!,8,FALSE)</f>
        <v>#REF!</v>
      </c>
    </row>
    <row r="227" spans="3:17" ht="24" hidden="1" customHeight="1" x14ac:dyDescent="0.2">
      <c r="C227" s="215" t="s">
        <v>53</v>
      </c>
      <c r="D227" s="216" t="e">
        <f>VLOOKUP("suiza",#REF!,6,FALSE)/VLOOKUP("suiza",#REF!,6,FALSE)-1</f>
        <v>#REF!</v>
      </c>
      <c r="E227" s="217" t="e">
        <f>VLOOKUP("suiza",#REF!,6,FALSE)</f>
        <v>#REF!</v>
      </c>
      <c r="F227" s="216" t="e">
        <f>VLOOKUP("suiza",#REF!,5,FALSE)/VLOOKUP("suiza",#REF!,5,FALSE)-1</f>
        <v>#REF!</v>
      </c>
      <c r="G227" s="217" t="e">
        <f>VLOOKUP("suiza",#REF!,5,FALSE)</f>
        <v>#REF!</v>
      </c>
      <c r="H227" s="216" t="e">
        <f>VLOOKUP("suiza",#REF!,4,FALSE)/VLOOKUP("suiza",#REF!,4,FALSE)-1</f>
        <v>#REF!</v>
      </c>
      <c r="I227" s="217" t="e">
        <f>VLOOKUP("suiza",#REF!,4,FALSE)</f>
        <v>#REF!</v>
      </c>
      <c r="J227" s="216" t="e">
        <f>VLOOKUP("suiza",#REF!,3,FALSE)/VLOOKUP("suiza",#REF!,3,FALSE)-1</f>
        <v>#REF!</v>
      </c>
      <c r="K227" s="217" t="e">
        <f>VLOOKUP("suiza",#REF!,3,FALSE)</f>
        <v>#REF!</v>
      </c>
      <c r="L227" s="216" t="e">
        <f>VLOOKUP("suiza",#REF!,2,FALSE)/VLOOKUP("suiza",#REF!,2,FALSE)-1</f>
        <v>#REF!</v>
      </c>
      <c r="M227" s="217" t="e">
        <f>VLOOKUP("suiza",#REF!,2,FALSE)</f>
        <v>#REF!</v>
      </c>
      <c r="N227" s="216" t="e">
        <f>VLOOKUP("suiza",#REF!,7,FALSE)/VLOOKUP("suiza",#REF!,7,FALSE)-1</f>
        <v>#REF!</v>
      </c>
      <c r="O227" s="217" t="e">
        <f>VLOOKUP("suiza",#REF!,7,FALSE)</f>
        <v>#REF!</v>
      </c>
      <c r="P227" s="216" t="e">
        <f>VLOOKUP("suiza",#REF!,8,FALSE)/VLOOKUP("suiza",#REF!,8,FALSE)-1</f>
        <v>#REF!</v>
      </c>
      <c r="Q227" s="217" t="e">
        <f>VLOOKUP("suiza",#REF!,8,FALSE)</f>
        <v>#REF!</v>
      </c>
    </row>
    <row r="228" spans="3:17" ht="24" hidden="1" customHeight="1" x14ac:dyDescent="0.2">
      <c r="C228" s="215" t="s">
        <v>54</v>
      </c>
      <c r="D228" s="216" t="e">
        <f>VLOOKUP("austria",#REF!,6,FALSE)/VLOOKUP("austria",#REF!,6,FALSE)-1</f>
        <v>#REF!</v>
      </c>
      <c r="E228" s="217" t="e">
        <f>VLOOKUP("austria",#REF!,6,FALSE)</f>
        <v>#REF!</v>
      </c>
      <c r="F228" s="216" t="e">
        <f>VLOOKUP("austria",#REF!,5,FALSE)/VLOOKUP("austria",#REF!,5,FALSE)-1</f>
        <v>#REF!</v>
      </c>
      <c r="G228" s="217" t="e">
        <f>VLOOKUP("austria",#REF!,5,FALSE)</f>
        <v>#REF!</v>
      </c>
      <c r="H228" s="216" t="e">
        <f>VLOOKUP("austria",#REF!,4,FALSE)/VLOOKUP("austria",#REF!,4,FALSE)-1</f>
        <v>#REF!</v>
      </c>
      <c r="I228" s="217" t="e">
        <f>VLOOKUP("austria",#REF!,4,FALSE)</f>
        <v>#REF!</v>
      </c>
      <c r="J228" s="216" t="e">
        <f>VLOOKUP("austria",#REF!,3,FALSE)/VLOOKUP("austria",#REF!,3,FALSE)-1</f>
        <v>#REF!</v>
      </c>
      <c r="K228" s="217" t="e">
        <f>VLOOKUP("austria",#REF!,3,FALSE)</f>
        <v>#REF!</v>
      </c>
      <c r="L228" s="216" t="e">
        <f>VLOOKUP("austria",#REF!,2,FALSE)/VLOOKUP("austria",#REF!,2,FALSE)-1</f>
        <v>#REF!</v>
      </c>
      <c r="M228" s="217" t="e">
        <f>VLOOKUP("austria",#REF!,2,FALSE)</f>
        <v>#REF!</v>
      </c>
      <c r="N228" s="216" t="e">
        <f>VLOOKUP("austria",#REF!,7,FALSE)/VLOOKUP("austria",#REF!,7,FALSE)-1</f>
        <v>#REF!</v>
      </c>
      <c r="O228" s="217" t="e">
        <f>VLOOKUP("austria",#REF!,7,FALSE)</f>
        <v>#REF!</v>
      </c>
      <c r="P228" s="216" t="e">
        <f>VLOOKUP("austria",#REF!,8,FALSE)/VLOOKUP("austria",#REF!,8,FALSE)-1</f>
        <v>#REF!</v>
      </c>
      <c r="Q228" s="217" t="e">
        <f>VLOOKUP("austria",#REF!,8,FALSE)</f>
        <v>#REF!</v>
      </c>
    </row>
    <row r="229" spans="3:17" ht="24" hidden="1" customHeight="1" x14ac:dyDescent="0.2">
      <c r="C229" s="215" t="s">
        <v>55</v>
      </c>
      <c r="D229" s="216" t="e">
        <f>VLOOKUP("rusia",#REF!,6,FALSE)/VLOOKUP("rusia",#REF!,6,FALSE)-1</f>
        <v>#REF!</v>
      </c>
      <c r="E229" s="217" t="e">
        <f>VLOOKUP("rusia",#REF!,6,FALSE)</f>
        <v>#REF!</v>
      </c>
      <c r="F229" s="216" t="e">
        <f>VLOOKUP("rusia",#REF!,5,FALSE)/VLOOKUP("rusia",#REF!,5,FALSE)-1</f>
        <v>#REF!</v>
      </c>
      <c r="G229" s="217" t="e">
        <f>VLOOKUP("rusia",#REF!,5,FALSE)</f>
        <v>#REF!</v>
      </c>
      <c r="H229" s="216" t="e">
        <f>VLOOKUP("rusia",#REF!,4,FALSE)/VLOOKUP("rusia",#REF!,4,FALSE)-1</f>
        <v>#REF!</v>
      </c>
      <c r="I229" s="217" t="e">
        <f>VLOOKUP("rusia",#REF!,4,FALSE)</f>
        <v>#REF!</v>
      </c>
      <c r="J229" s="216" t="e">
        <f>VLOOKUP("rusia",#REF!,3,FALSE)/VLOOKUP("rusia",#REF!,3,FALSE)-1</f>
        <v>#REF!</v>
      </c>
      <c r="K229" s="217" t="e">
        <f>VLOOKUP("rusia",#REF!,3,FALSE)</f>
        <v>#REF!</v>
      </c>
      <c r="L229" s="216" t="e">
        <f>VLOOKUP("rusia",#REF!,2,FALSE)/VLOOKUP("rusia",#REF!,2,FALSE)-1</f>
        <v>#REF!</v>
      </c>
      <c r="M229" s="217" t="e">
        <f>VLOOKUP("rusia",#REF!,2,FALSE)</f>
        <v>#REF!</v>
      </c>
      <c r="N229" s="216" t="e">
        <f>VLOOKUP("rusia",#REF!,7,FALSE)/VLOOKUP("rusia",#REF!,7,FALSE)-1</f>
        <v>#REF!</v>
      </c>
      <c r="O229" s="217" t="e">
        <f>VLOOKUP("rusia",#REF!,7,FALSE)</f>
        <v>#REF!</v>
      </c>
      <c r="P229" s="216" t="e">
        <f>VLOOKUP("rusia",#REF!,8,FALSE)/VLOOKUP("rusia",#REF!,8,FALSE)-1</f>
        <v>#REF!</v>
      </c>
      <c r="Q229" s="217" t="e">
        <f>VLOOKUP("rusia",#REF!,8,FALSE)</f>
        <v>#REF!</v>
      </c>
    </row>
    <row r="230" spans="3:17" ht="24" hidden="1" customHeight="1" x14ac:dyDescent="0.2">
      <c r="C230" s="215" t="s">
        <v>56</v>
      </c>
      <c r="D230" s="216" t="e">
        <f>VLOOKUP("paises del este",#REF!,6,FALSE)/VLOOKUP("paises del este",#REF!,6,FALSE)-1</f>
        <v>#REF!</v>
      </c>
      <c r="E230" s="217" t="e">
        <f>VLOOKUP("paises del este",#REF!,6,FALSE)</f>
        <v>#REF!</v>
      </c>
      <c r="F230" s="216" t="e">
        <f>VLOOKUP("paises del este",#REF!,5,FALSE)/VLOOKUP("paises del este",#REF!,5,FALSE)-1</f>
        <v>#REF!</v>
      </c>
      <c r="G230" s="217" t="e">
        <f>VLOOKUP("paises del este",#REF!,5,FALSE)</f>
        <v>#REF!</v>
      </c>
      <c r="H230" s="216" t="e">
        <f>VLOOKUP("paises del este",#REF!,4,FALSE)/VLOOKUP("paises del este",#REF!,4,FALSE)-1</f>
        <v>#REF!</v>
      </c>
      <c r="I230" s="217" t="e">
        <f>VLOOKUP("paises del este",#REF!,4,FALSE)</f>
        <v>#REF!</v>
      </c>
      <c r="J230" s="216" t="e">
        <f>VLOOKUP("paises del este",#REF!,3,FALSE)/VLOOKUP("paises del este",#REF!,3,FALSE)-1</f>
        <v>#REF!</v>
      </c>
      <c r="K230" s="217" t="e">
        <f>VLOOKUP("paises del este",#REF!,3,FALSE)</f>
        <v>#REF!</v>
      </c>
      <c r="L230" s="216" t="e">
        <f>VLOOKUP("paises del este",#REF!,2,FALSE)/VLOOKUP("paises del este",#REF!,2,FALSE)-1</f>
        <v>#REF!</v>
      </c>
      <c r="M230" s="217" t="e">
        <f>VLOOKUP("paises del este",#REF!,2,FALSE)</f>
        <v>#REF!</v>
      </c>
      <c r="N230" s="216" t="e">
        <f>VLOOKUP("paises del este",#REF!,7,FALSE)/VLOOKUP("paises del este",#REF!,7,FALSE)-1</f>
        <v>#REF!</v>
      </c>
      <c r="O230" s="217" t="e">
        <f>VLOOKUP("paises del este",#REF!,7,FALSE)</f>
        <v>#REF!</v>
      </c>
      <c r="P230" s="216" t="e">
        <f>VLOOKUP("paises del este",#REF!,8,FALSE)/VLOOKUP("paises del este",#REF!,8,FALSE)-1</f>
        <v>#REF!</v>
      </c>
      <c r="Q230" s="217" t="e">
        <f>VLOOKUP("paises del este",#REF!,8,FALSE)</f>
        <v>#REF!</v>
      </c>
    </row>
    <row r="231" spans="3:17" ht="24" hidden="1" customHeight="1" x14ac:dyDescent="0.2">
      <c r="C231" s="215" t="s">
        <v>57</v>
      </c>
      <c r="D231" s="216" t="e">
        <f>VLOOKUP("resto de europa",#REF!,6,FALSE)/VLOOKUP("resto de europa",#REF!,6,FALSE)-1</f>
        <v>#REF!</v>
      </c>
      <c r="E231" s="217" t="e">
        <f>VLOOKUP("resto de europa",#REF!,6,FALSE)</f>
        <v>#REF!</v>
      </c>
      <c r="F231" s="216" t="e">
        <f>VLOOKUP("resto de europa",#REF!,5,FALSE)/VLOOKUP("resto de europa",#REF!,5,FALSE)-1</f>
        <v>#REF!</v>
      </c>
      <c r="G231" s="217" t="e">
        <f>VLOOKUP("resto de europa",#REF!,5,FALSE)</f>
        <v>#REF!</v>
      </c>
      <c r="H231" s="216" t="e">
        <f>VLOOKUP("resto de europa",#REF!,4,FALSE)/VLOOKUP("resto de europa",#REF!,4,FALSE)-1</f>
        <v>#REF!</v>
      </c>
      <c r="I231" s="217" t="e">
        <f>VLOOKUP("resto de europa",#REF!,4,FALSE)</f>
        <v>#REF!</v>
      </c>
      <c r="J231" s="216" t="e">
        <f>VLOOKUP("resto de europa",#REF!,3,FALSE)/VLOOKUP("resto de europa",#REF!,3,FALSE)-1</f>
        <v>#REF!</v>
      </c>
      <c r="K231" s="217" t="e">
        <f>VLOOKUP("resto de europa",#REF!,3,FALSE)</f>
        <v>#REF!</v>
      </c>
      <c r="L231" s="216" t="e">
        <f>VLOOKUP("resto de europa",#REF!,2,FALSE)/VLOOKUP("resto de europa",#REF!,2,FALSE)-1</f>
        <v>#REF!</v>
      </c>
      <c r="M231" s="217" t="e">
        <f>VLOOKUP("resto de europa",#REF!,2,FALSE)</f>
        <v>#REF!</v>
      </c>
      <c r="N231" s="216" t="e">
        <f>VLOOKUP("resto de europa",#REF!,7,FALSE)/VLOOKUP("resto de europa",#REF!,7,FALSE)-1</f>
        <v>#REF!</v>
      </c>
      <c r="O231" s="217" t="e">
        <f>VLOOKUP("resto de europa",#REF!,7,FALSE)</f>
        <v>#REF!</v>
      </c>
      <c r="P231" s="216" t="e">
        <f>VLOOKUP("resto de europa",#REF!,8,FALSE)/VLOOKUP("resto de europa",#REF!,8,FALSE)-1</f>
        <v>#REF!</v>
      </c>
      <c r="Q231" s="217" t="e">
        <f>VLOOKUP("resto de europa",#REF!,8,FALSE)</f>
        <v>#REF!</v>
      </c>
    </row>
    <row r="232" spans="3:17" ht="24" hidden="1" customHeight="1" x14ac:dyDescent="0.2">
      <c r="C232" s="215" t="s">
        <v>58</v>
      </c>
      <c r="D232" s="216" t="e">
        <f>VLOOKUP("usa",#REF!,6,FALSE)/VLOOKUP("usa",#REF!,6,FALSE)-1</f>
        <v>#REF!</v>
      </c>
      <c r="E232" s="217" t="e">
        <f>VLOOKUP("usa",#REF!,6,FALSE)</f>
        <v>#REF!</v>
      </c>
      <c r="F232" s="216" t="e">
        <f>VLOOKUP("usa",#REF!,5,FALSE)/VLOOKUP("usa",#REF!,5,FALSE)-1</f>
        <v>#REF!</v>
      </c>
      <c r="G232" s="217" t="e">
        <f>VLOOKUP("usa",#REF!,5,FALSE)</f>
        <v>#REF!</v>
      </c>
      <c r="H232" s="216" t="e">
        <f>VLOOKUP("usa",#REF!,4,FALSE)/VLOOKUP("usa",#REF!,4,FALSE)-1</f>
        <v>#REF!</v>
      </c>
      <c r="I232" s="217" t="e">
        <f>VLOOKUP("usa",#REF!,4,FALSE)</f>
        <v>#REF!</v>
      </c>
      <c r="J232" s="216" t="e">
        <f>VLOOKUP("usa",#REF!,3,FALSE)/VLOOKUP("usa",#REF!,3,FALSE)-1</f>
        <v>#REF!</v>
      </c>
      <c r="K232" s="217" t="e">
        <f>VLOOKUP("usa",#REF!,3,FALSE)</f>
        <v>#REF!</v>
      </c>
      <c r="L232" s="216" t="e">
        <f>VLOOKUP("usa",#REF!,2,FALSE)/VLOOKUP("usa",#REF!,2,FALSE)-1</f>
        <v>#REF!</v>
      </c>
      <c r="M232" s="217" t="e">
        <f>VLOOKUP("usa",#REF!,2,FALSE)</f>
        <v>#REF!</v>
      </c>
      <c r="N232" s="216" t="e">
        <f>VLOOKUP("usa",#REF!,7,FALSE)/VLOOKUP("usa",#REF!,7,FALSE)-1</f>
        <v>#REF!</v>
      </c>
      <c r="O232" s="217" t="e">
        <f>VLOOKUP("usa",#REF!,7,FALSE)</f>
        <v>#REF!</v>
      </c>
      <c r="P232" s="216" t="e">
        <f>VLOOKUP("usa",#REF!,8,FALSE)/VLOOKUP("usa",#REF!,8,FALSE)-1</f>
        <v>#REF!</v>
      </c>
      <c r="Q232" s="217" t="e">
        <f>VLOOKUP("usa",#REF!,8,FALSE)</f>
        <v>#REF!</v>
      </c>
    </row>
    <row r="233" spans="3:17" ht="24" hidden="1" customHeight="1" x14ac:dyDescent="0.2">
      <c r="C233" s="215" t="s">
        <v>59</v>
      </c>
      <c r="D233" s="216" t="e">
        <f>VLOOKUP("resto de america",#REF!,6,FALSE)/VLOOKUP("resto de america",#REF!,6,FALSE)-1</f>
        <v>#REF!</v>
      </c>
      <c r="E233" s="217" t="e">
        <f>VLOOKUP("resto de america",#REF!,6,FALSE)</f>
        <v>#REF!</v>
      </c>
      <c r="F233" s="216" t="e">
        <f>VLOOKUP("resto de america",#REF!,5,FALSE)/VLOOKUP("resto de america",#REF!,5,FALSE)-1</f>
        <v>#REF!</v>
      </c>
      <c r="G233" s="217" t="e">
        <f>VLOOKUP("resto de america",#REF!,5,FALSE)</f>
        <v>#REF!</v>
      </c>
      <c r="H233" s="216" t="e">
        <f>VLOOKUP("resto de america",#REF!,4,FALSE)/VLOOKUP("resto de america",#REF!,4,FALSE)-1</f>
        <v>#REF!</v>
      </c>
      <c r="I233" s="217" t="e">
        <f>VLOOKUP("resto de america",#REF!,4,FALSE)</f>
        <v>#REF!</v>
      </c>
      <c r="J233" s="216" t="e">
        <f>VLOOKUP("resto de america",#REF!,3,FALSE)/VLOOKUP("resto de america",#REF!,3,FALSE)-1</f>
        <v>#REF!</v>
      </c>
      <c r="K233" s="217" t="e">
        <f>VLOOKUP("resto de america",#REF!,3,FALSE)</f>
        <v>#REF!</v>
      </c>
      <c r="L233" s="216" t="e">
        <f>VLOOKUP("resto de america",#REF!,2,FALSE)/VLOOKUP("resto de america",#REF!,2,FALSE)-1</f>
        <v>#REF!</v>
      </c>
      <c r="M233" s="217" t="e">
        <f>VLOOKUP("resto de america",#REF!,2,FALSE)</f>
        <v>#REF!</v>
      </c>
      <c r="N233" s="216" t="e">
        <f>VLOOKUP("resto de america",#REF!,7,FALSE)/VLOOKUP("resto de america",#REF!,7,FALSE)-1</f>
        <v>#REF!</v>
      </c>
      <c r="O233" s="217" t="e">
        <f>VLOOKUP("resto de america",#REF!,7,FALSE)</f>
        <v>#REF!</v>
      </c>
      <c r="P233" s="216" t="e">
        <f>VLOOKUP("resto de america",#REF!,8,FALSE)/VLOOKUP("resto de america",#REF!,8,FALSE)-1</f>
        <v>#REF!</v>
      </c>
      <c r="Q233" s="217" t="e">
        <f>VLOOKUP("resto de america",#REF!,8,FALSE)</f>
        <v>#REF!</v>
      </c>
    </row>
    <row r="234" spans="3:17" ht="24" hidden="1" customHeight="1" x14ac:dyDescent="0.2">
      <c r="C234" s="215" t="s">
        <v>60</v>
      </c>
      <c r="D234" s="216" t="e">
        <f>VLOOKUP("resto del mundo",#REF!,6,FALSE)/VLOOKUP("resto del mundo",#REF!,6,FALSE)-1</f>
        <v>#REF!</v>
      </c>
      <c r="E234" s="217" t="e">
        <f>VLOOKUP("resto del mundo",#REF!,6,FALSE)</f>
        <v>#REF!</v>
      </c>
      <c r="F234" s="216" t="e">
        <f>VLOOKUP("resto del mundo",#REF!,5,FALSE)/VLOOKUP("resto del mundo",#REF!,5,FALSE)-1</f>
        <v>#REF!</v>
      </c>
      <c r="G234" s="217" t="e">
        <f>VLOOKUP("resto del mundo",#REF!,5,FALSE)</f>
        <v>#REF!</v>
      </c>
      <c r="H234" s="216" t="e">
        <f>VLOOKUP("resto del mundo",#REF!,4,FALSE)/VLOOKUP("resto del mundo",#REF!,4,FALSE)-1</f>
        <v>#REF!</v>
      </c>
      <c r="I234" s="217" t="e">
        <f>VLOOKUP("resto del mundo",#REF!,4,FALSE)</f>
        <v>#REF!</v>
      </c>
      <c r="J234" s="216" t="e">
        <f>VLOOKUP("resto del mundo",#REF!,3,FALSE)/VLOOKUP("resto del mundo",#REF!,3,FALSE)-1</f>
        <v>#REF!</v>
      </c>
      <c r="K234" s="217" t="e">
        <f>VLOOKUP("resto del mundo",#REF!,3,FALSE)</f>
        <v>#REF!</v>
      </c>
      <c r="L234" s="216" t="e">
        <f>VLOOKUP("resto del mundo",#REF!,2,FALSE)/VLOOKUP("resto del mundo",#REF!,2,FALSE)-1</f>
        <v>#REF!</v>
      </c>
      <c r="M234" s="217" t="e">
        <f>VLOOKUP("resto del mundo",#REF!,2,FALSE)</f>
        <v>#REF!</v>
      </c>
      <c r="N234" s="216" t="e">
        <f>VLOOKUP("resto del mundo",#REF!,7,FALSE)/VLOOKUP("resto del mundo",#REF!,7,FALSE)-1</f>
        <v>#REF!</v>
      </c>
      <c r="O234" s="217" t="e">
        <f>VLOOKUP("resto del mundo",#REF!,7,FALSE)</f>
        <v>#REF!</v>
      </c>
      <c r="P234" s="216" t="e">
        <f>VLOOKUP("resto del mundo",#REF!,8,FALSE)/VLOOKUP("resto del mundo",#REF!,8,FALSE)-1</f>
        <v>#REF!</v>
      </c>
      <c r="Q234" s="217" t="e">
        <f>VLOOKUP("resto del mundo",#REF!,8,FALSE)</f>
        <v>#REF!</v>
      </c>
    </row>
    <row r="235" spans="3:17" ht="24" hidden="1" customHeight="1" x14ac:dyDescent="0.2">
      <c r="C235" s="215" t="s">
        <v>61</v>
      </c>
      <c r="D235" s="216" t="e">
        <f>(VLOOKUP("total",#REF!,6,FALSE)-VLOOKUP("españa",#REF!,6,FALSE))/(VLOOKUP("total",#REF!,6,FALSE)-VLOOKUP("españa",#REF!,6,FALSE))-1</f>
        <v>#REF!</v>
      </c>
      <c r="E235" s="217" t="e">
        <f>VLOOKUP("total",#REF!,6,FALSE)-VLOOKUP("españa",#REF!,6,FALSE)</f>
        <v>#REF!</v>
      </c>
      <c r="F235" s="216" t="e">
        <f>(VLOOKUP("total",#REF!,5,FALSE)-VLOOKUP("españa",#REF!,5,FALSE))/(VLOOKUP("total",#REF!,5,FALSE)-VLOOKUP("españa",#REF!,5,FALSE))-1</f>
        <v>#REF!</v>
      </c>
      <c r="G235" s="217" t="e">
        <f>VLOOKUP("total",#REF!,5,FALSE)-VLOOKUP("españa",#REF!,5,FALSE)</f>
        <v>#REF!</v>
      </c>
      <c r="H235" s="216" t="e">
        <f>(VLOOKUP("total",#REF!,4,FALSE)-VLOOKUP("españa",#REF!,4,FALSE))/(VLOOKUP("total",#REF!,4,FALSE)-VLOOKUP("españa",#REF!,4,FALSE))-1</f>
        <v>#REF!</v>
      </c>
      <c r="I235" s="217" t="e">
        <f>VLOOKUP("total",#REF!,4,FALSE)-VLOOKUP("españa",#REF!,4,FALSE)</f>
        <v>#REF!</v>
      </c>
      <c r="J235" s="216" t="e">
        <f>(VLOOKUP("total",#REF!,3,FALSE)-VLOOKUP("españa",#REF!,3,FALSE))/(VLOOKUP("total",#REF!,3,FALSE)-VLOOKUP("españa",#REF!,3,FALSE))-1</f>
        <v>#REF!</v>
      </c>
      <c r="K235" s="217" t="e">
        <f>VLOOKUP("total",#REF!,3,FALSE)-VLOOKUP("españa",#REF!,3,FALSE)</f>
        <v>#REF!</v>
      </c>
      <c r="L235" s="216" t="e">
        <f>(VLOOKUP("total",#REF!,2,FALSE)-VLOOKUP("españa",#REF!,2,FALSE))/(VLOOKUP("total",#REF!,2,FALSE)-VLOOKUP("españa",#REF!,2,FALSE))-1</f>
        <v>#REF!</v>
      </c>
      <c r="M235" s="217" t="e">
        <f>VLOOKUP("total",#REF!,2,FALSE)-VLOOKUP("españa",#REF!,2,FALSE)</f>
        <v>#REF!</v>
      </c>
      <c r="N235" s="216" t="e">
        <f>(VLOOKUP("total",#REF!,7,FALSE)-VLOOKUP("españa",#REF!,7,FALSE))/(VLOOKUP("total",#REF!,7,FALSE)-VLOOKUP("españa",#REF!,7,FALSE))-1</f>
        <v>#REF!</v>
      </c>
      <c r="O235" s="217" t="e">
        <f>VLOOKUP("total",#REF!,7,FALSE)-VLOOKUP("españa",#REF!,7,FALSE)</f>
        <v>#REF!</v>
      </c>
      <c r="P235" s="216" t="e">
        <f>(VLOOKUP("total",#REF!,8,FALSE)-VLOOKUP("españa",#REF!,8,FALSE))/(VLOOKUP("total",#REF!,8,FALSE)-VLOOKUP("españa",#REF!,8,FALSE))-1</f>
        <v>#REF!</v>
      </c>
      <c r="Q235" s="217" t="e">
        <f>VLOOKUP("total",#REF!,8,FALSE)-VLOOKUP("españa",#REF!,8,FALSE)</f>
        <v>#REF!</v>
      </c>
    </row>
    <row r="236" spans="3:17" ht="24" hidden="1" customHeight="1" x14ac:dyDescent="0.2">
      <c r="C236" s="215" t="s">
        <v>8</v>
      </c>
      <c r="D236" s="216" t="e">
        <f>VLOOKUP("total",#REF!,6,FALSE)/VLOOKUP("total",#REF!,6,FALSE)-1</f>
        <v>#REF!</v>
      </c>
      <c r="E236" s="217" t="e">
        <f>VLOOKUP("total",#REF!,6,FALSE)</f>
        <v>#REF!</v>
      </c>
      <c r="F236" s="216" t="e">
        <f>VLOOKUP("total",#REF!,5,FALSE)/VLOOKUP("total",#REF!,5,FALSE)-1</f>
        <v>#REF!</v>
      </c>
      <c r="G236" s="217" t="e">
        <f>VLOOKUP("total",#REF!,5,FALSE)</f>
        <v>#REF!</v>
      </c>
      <c r="H236" s="216" t="e">
        <f>VLOOKUP("total",#REF!,4,FALSE)/VLOOKUP("total",#REF!,4,FALSE)-1</f>
        <v>#REF!</v>
      </c>
      <c r="I236" s="217" t="e">
        <f>VLOOKUP("total",#REF!,4,FALSE)</f>
        <v>#REF!</v>
      </c>
      <c r="J236" s="216" t="e">
        <f>VLOOKUP("total",#REF!,3,FALSE)/VLOOKUP("total",#REF!,3,FALSE)-1</f>
        <v>#REF!</v>
      </c>
      <c r="K236" s="217" t="e">
        <f>VLOOKUP("total",#REF!,3,FALSE)</f>
        <v>#REF!</v>
      </c>
      <c r="L236" s="216" t="e">
        <f>VLOOKUP("total",#REF!,2,FALSE)/VLOOKUP("total",#REF!,2,FALSE)-1</f>
        <v>#REF!</v>
      </c>
      <c r="M236" s="217" t="e">
        <f>VLOOKUP("total",#REF!,2,FALSE)</f>
        <v>#REF!</v>
      </c>
      <c r="N236" s="216" t="e">
        <f>VLOOKUP("total",#REF!,7,FALSE)/VLOOKUP("total",#REF!,7,FALSE)-1</f>
        <v>#REF!</v>
      </c>
      <c r="O236" s="217" t="e">
        <f>VLOOKUP("total",#REF!,7,FALSE)</f>
        <v>#REF!</v>
      </c>
      <c r="P236" s="216" t="e">
        <f>VLOOKUP("total",#REF!,8,FALSE)/VLOOKUP("total",#REF!,8,FALSE)-1</f>
        <v>#REF!</v>
      </c>
      <c r="Q236" s="217" t="e">
        <f>VLOOKUP("total",#REF!,8,FALSE)</f>
        <v>#REF!</v>
      </c>
    </row>
    <row r="237" spans="3:17" ht="18" customHeight="1" thickBot="1" x14ac:dyDescent="0.25">
      <c r="C237" s="4"/>
    </row>
    <row r="238" spans="3:17" ht="50.25" customHeight="1" thickBot="1" x14ac:dyDescent="0.25">
      <c r="C238" s="2"/>
      <c r="D238" s="2"/>
      <c r="E238" s="3" t="str">
        <f>$E$1</f>
        <v>INDICADORES TURÍSTICOS DE TENERIFE definitivo</v>
      </c>
      <c r="F238" s="3"/>
      <c r="G238" s="3"/>
      <c r="H238" s="3"/>
      <c r="I238" s="3"/>
      <c r="J238" s="3"/>
      <c r="K238" s="3"/>
      <c r="L238" s="2"/>
      <c r="M238" s="2"/>
    </row>
    <row r="239" spans="3:17" ht="5.25" customHeight="1" thickBot="1" x14ac:dyDescent="0.25">
      <c r="C239" s="4"/>
    </row>
    <row r="240" spans="3:17" ht="28.5" customHeight="1" thickBot="1" x14ac:dyDescent="0.25">
      <c r="C240" s="222" t="s">
        <v>67</v>
      </c>
      <c r="D240" s="223"/>
      <c r="E240" s="223"/>
      <c r="F240" s="223"/>
      <c r="G240" s="223"/>
      <c r="H240" s="223"/>
      <c r="I240" s="223"/>
      <c r="J240" s="223"/>
      <c r="K240" s="223"/>
      <c r="L240" s="223"/>
      <c r="M240" s="224"/>
    </row>
    <row r="241" spans="3:13" ht="5.25" customHeight="1" thickBot="1" x14ac:dyDescent="0.25">
      <c r="C241" s="225"/>
      <c r="D241" s="226"/>
      <c r="E241" s="226"/>
      <c r="F241" s="226"/>
      <c r="G241" s="227"/>
      <c r="H241" s="227"/>
      <c r="I241" s="227"/>
      <c r="J241" s="226"/>
      <c r="K241" s="226"/>
      <c r="L241" s="226"/>
      <c r="M241" s="228"/>
    </row>
    <row r="242" spans="3:13" ht="32.25" customHeight="1" thickTop="1" thickBot="1" x14ac:dyDescent="0.25">
      <c r="C242" s="175"/>
      <c r="D242" s="176" t="s">
        <v>7</v>
      </c>
      <c r="E242" s="177"/>
      <c r="F242" s="176" t="s">
        <v>30</v>
      </c>
      <c r="G242" s="177"/>
      <c r="H242" s="176" t="s">
        <v>31</v>
      </c>
      <c r="I242" s="177"/>
      <c r="J242" s="176" t="s">
        <v>32</v>
      </c>
      <c r="K242" s="177"/>
      <c r="L242" s="176" t="s">
        <v>33</v>
      </c>
      <c r="M242" s="229"/>
    </row>
    <row r="243" spans="3:13" ht="31.5" customHeight="1" thickBot="1" x14ac:dyDescent="0.25">
      <c r="C243" s="178"/>
      <c r="D243" s="230" t="s">
        <v>68</v>
      </c>
      <c r="E243" s="231" t="s">
        <v>69</v>
      </c>
      <c r="F243" s="230" t="s">
        <v>68</v>
      </c>
      <c r="G243" s="231" t="s">
        <v>69</v>
      </c>
      <c r="H243" s="230" t="s">
        <v>68</v>
      </c>
      <c r="I243" s="231" t="s">
        <v>69</v>
      </c>
      <c r="J243" s="230" t="s">
        <v>68</v>
      </c>
      <c r="K243" s="231" t="s">
        <v>69</v>
      </c>
      <c r="L243" s="230" t="s">
        <v>68</v>
      </c>
      <c r="M243" s="232" t="s">
        <v>69</v>
      </c>
    </row>
    <row r="244" spans="3:13" ht="18.75" thickBot="1" x14ac:dyDescent="0.25">
      <c r="C244" s="181" t="s">
        <v>36</v>
      </c>
      <c r="D244" s="233">
        <v>0.24217012515822883</v>
      </c>
      <c r="E244" s="234">
        <v>0.2700073905755066</v>
      </c>
      <c r="F244" s="233">
        <v>0.74353437452920201</v>
      </c>
      <c r="G244" s="234">
        <v>0.73716913135329931</v>
      </c>
      <c r="H244" s="233">
        <v>0.59691507154803936</v>
      </c>
      <c r="I244" s="234">
        <v>0.65139348134152097</v>
      </c>
      <c r="J244" s="233">
        <v>0.46611199209176846</v>
      </c>
      <c r="K244" s="234">
        <v>0.52088924545301152</v>
      </c>
      <c r="L244" s="233">
        <v>0.14920452441420554</v>
      </c>
      <c r="M244" s="235">
        <v>0.17269536723461637</v>
      </c>
    </row>
    <row r="245" spans="3:13" ht="26.25" thickBot="1" x14ac:dyDescent="0.25">
      <c r="C245" s="236" t="s">
        <v>70</v>
      </c>
      <c r="D245" s="237">
        <v>6.9771473252932634E-2</v>
      </c>
      <c r="E245" s="238">
        <v>7.577079974629633E-2</v>
      </c>
      <c r="F245" s="237"/>
      <c r="G245" s="238"/>
      <c r="H245" s="237"/>
      <c r="I245" s="238"/>
      <c r="J245" s="237"/>
      <c r="K245" s="238"/>
      <c r="L245" s="237"/>
      <c r="M245" s="239"/>
    </row>
    <row r="246" spans="3:13" ht="26.25" thickBot="1" x14ac:dyDescent="0.25">
      <c r="C246" s="236" t="s">
        <v>39</v>
      </c>
      <c r="D246" s="237">
        <v>3.5603481000280476E-2</v>
      </c>
      <c r="E246" s="238">
        <v>3.7336843459488345E-2</v>
      </c>
      <c r="F246" s="237"/>
      <c r="G246" s="238"/>
      <c r="H246" s="237"/>
      <c r="I246" s="238"/>
      <c r="J246" s="237"/>
      <c r="K246" s="238"/>
      <c r="L246" s="237"/>
      <c r="M246" s="239"/>
    </row>
    <row r="247" spans="3:13" ht="18.75" thickBot="1" x14ac:dyDescent="0.25">
      <c r="C247" s="236" t="s">
        <v>40</v>
      </c>
      <c r="D247" s="237">
        <v>0.13679517090501572</v>
      </c>
      <c r="E247" s="238">
        <v>0.15689974736972193</v>
      </c>
      <c r="F247" s="237"/>
      <c r="G247" s="238"/>
      <c r="H247" s="237"/>
      <c r="I247" s="238"/>
      <c r="J247" s="237"/>
      <c r="K247" s="238"/>
      <c r="L247" s="237"/>
      <c r="M247" s="239"/>
    </row>
    <row r="248" spans="3:13" ht="18.75" thickBot="1" x14ac:dyDescent="0.25">
      <c r="C248" s="240" t="s">
        <v>41</v>
      </c>
      <c r="D248" s="241">
        <v>2.7761544767659165E-2</v>
      </c>
      <c r="E248" s="242">
        <v>3.2916284338937306E-2</v>
      </c>
      <c r="F248" s="241">
        <v>5.6746848792246273E-3</v>
      </c>
      <c r="G248" s="242">
        <v>4.9707965701503666E-3</v>
      </c>
      <c r="H248" s="241">
        <v>9.6636312952982709E-3</v>
      </c>
      <c r="I248" s="242">
        <v>1.0459545178487078E-2</v>
      </c>
      <c r="J248" s="241">
        <v>1.2727310171550961E-2</v>
      </c>
      <c r="K248" s="242">
        <v>1.5523273768023203E-2</v>
      </c>
      <c r="L248" s="241">
        <v>3.3280918810918061E-2</v>
      </c>
      <c r="M248" s="243">
        <v>3.9391024373959527E-2</v>
      </c>
    </row>
    <row r="249" spans="3:13" ht="24" customHeight="1" thickBot="1" x14ac:dyDescent="0.25">
      <c r="C249" s="244" t="s">
        <v>42</v>
      </c>
      <c r="D249" s="237">
        <v>2.4980021351857548E-2</v>
      </c>
      <c r="E249" s="238">
        <v>2.57803751996965E-2</v>
      </c>
      <c r="F249" s="237">
        <v>6.7794907849143774E-3</v>
      </c>
      <c r="G249" s="238">
        <v>9.7463118464733971E-3</v>
      </c>
      <c r="H249" s="237">
        <v>5.5751719011336185E-3</v>
      </c>
      <c r="I249" s="238">
        <v>9.9871786220392736E-3</v>
      </c>
      <c r="J249" s="237">
        <v>1.0626686162654201E-2</v>
      </c>
      <c r="K249" s="238">
        <v>1.1190382956234937E-2</v>
      </c>
      <c r="L249" s="237">
        <v>3.0122229929337118E-2</v>
      </c>
      <c r="M249" s="239">
        <v>3.0805451965861524E-2</v>
      </c>
    </row>
    <row r="250" spans="3:13" ht="24" customHeight="1" thickBot="1" x14ac:dyDescent="0.25">
      <c r="C250" s="240" t="s">
        <v>43</v>
      </c>
      <c r="D250" s="241">
        <v>0.10838648927141432</v>
      </c>
      <c r="E250" s="242">
        <v>9.4221305073242834E-2</v>
      </c>
      <c r="F250" s="241">
        <v>4.9264299703711142E-2</v>
      </c>
      <c r="G250" s="242">
        <v>3.4049956505530013E-2</v>
      </c>
      <c r="H250" s="241">
        <v>0.18323731648392491</v>
      </c>
      <c r="I250" s="242">
        <v>0.12706660368445913</v>
      </c>
      <c r="J250" s="241">
        <v>0.20308091521304858</v>
      </c>
      <c r="K250" s="242">
        <v>0.16197880353635202</v>
      </c>
      <c r="L250" s="241">
        <v>8.5113262348041646E-2</v>
      </c>
      <c r="M250" s="243">
        <v>7.8073978415275344E-2</v>
      </c>
    </row>
    <row r="251" spans="3:13" ht="24" customHeight="1" thickBot="1" x14ac:dyDescent="0.25">
      <c r="C251" s="244" t="s">
        <v>44</v>
      </c>
      <c r="D251" s="237">
        <v>2.8414077358151598E-2</v>
      </c>
      <c r="E251" s="238">
        <v>3.1859550185683289E-2</v>
      </c>
      <c r="F251" s="237">
        <v>2.2748957967157132E-2</v>
      </c>
      <c r="G251" s="238">
        <v>2.9593992437288077E-2</v>
      </c>
      <c r="H251" s="237">
        <v>4.7946478349749119E-2</v>
      </c>
      <c r="I251" s="238">
        <v>5.6751467710371817E-2</v>
      </c>
      <c r="J251" s="237">
        <v>2.8667339415532261E-2</v>
      </c>
      <c r="K251" s="238">
        <v>3.471406422611259E-2</v>
      </c>
      <c r="L251" s="237">
        <v>2.8367402772903259E-2</v>
      </c>
      <c r="M251" s="239">
        <v>3.0859918914526423E-2</v>
      </c>
    </row>
    <row r="252" spans="3:13" ht="24" customHeight="1" thickBot="1" x14ac:dyDescent="0.25">
      <c r="C252" s="240" t="s">
        <v>45</v>
      </c>
      <c r="D252" s="241">
        <v>0.39384884784633273</v>
      </c>
      <c r="E252" s="242">
        <v>0.37450527119999055</v>
      </c>
      <c r="F252" s="241">
        <v>3.3294832521468386E-2</v>
      </c>
      <c r="G252" s="242">
        <v>3.9020753075680377E-2</v>
      </c>
      <c r="H252" s="241">
        <v>2.9362572012637055E-2</v>
      </c>
      <c r="I252" s="242">
        <v>2.6385046224441596E-2</v>
      </c>
      <c r="J252" s="241">
        <v>0.11462816895607225</v>
      </c>
      <c r="K252" s="242">
        <v>0.1036837530920795</v>
      </c>
      <c r="L252" s="241">
        <v>0.49404602345112325</v>
      </c>
      <c r="M252" s="243">
        <v>0.47037041917587991</v>
      </c>
    </row>
    <row r="253" spans="3:13" ht="24" customHeight="1" thickBot="1" x14ac:dyDescent="0.25">
      <c r="C253" s="244" t="s">
        <v>46</v>
      </c>
      <c r="D253" s="237">
        <v>2.1263063557913301E-2</v>
      </c>
      <c r="E253" s="238">
        <v>2.1578380138123687E-2</v>
      </c>
      <c r="F253" s="237">
        <v>3.5655099683623765E-3</v>
      </c>
      <c r="G253" s="238">
        <v>3.5505689786788333E-3</v>
      </c>
      <c r="H253" s="237">
        <v>2.7875859505668093E-3</v>
      </c>
      <c r="I253" s="238">
        <v>4.5887036912072342E-3</v>
      </c>
      <c r="J253" s="237">
        <v>1.0389851102827604E-2</v>
      </c>
      <c r="K253" s="238">
        <v>1.0295789041383724E-2</v>
      </c>
      <c r="L253" s="237">
        <v>2.5429794477959646E-2</v>
      </c>
      <c r="M253" s="239">
        <v>2.5805034678754814E-2</v>
      </c>
    </row>
    <row r="254" spans="3:13" ht="24" customHeight="1" thickBot="1" x14ac:dyDescent="0.25">
      <c r="C254" s="240" t="s">
        <v>47</v>
      </c>
      <c r="D254" s="241">
        <v>2.4116861153041607E-2</v>
      </c>
      <c r="E254" s="242">
        <v>2.602585257442756E-2</v>
      </c>
      <c r="F254" s="241">
        <v>2.611359413448501E-2</v>
      </c>
      <c r="G254" s="242">
        <v>3.7280974276127747E-2</v>
      </c>
      <c r="H254" s="241">
        <v>3.363687047017283E-2</v>
      </c>
      <c r="I254" s="242">
        <v>3.0771307105742628E-2</v>
      </c>
      <c r="J254" s="241">
        <v>1.800976172333546E-2</v>
      </c>
      <c r="K254" s="242">
        <v>1.8286645718524463E-2</v>
      </c>
      <c r="L254" s="241">
        <v>2.550440917594975E-2</v>
      </c>
      <c r="M254" s="243">
        <v>2.7542706040999558E-2</v>
      </c>
    </row>
    <row r="255" spans="3:13" ht="24" customHeight="1" thickBot="1" x14ac:dyDescent="0.25">
      <c r="C255" s="244" t="s">
        <v>48</v>
      </c>
      <c r="D255" s="237">
        <v>1.1330526341873388E-2</v>
      </c>
      <c r="E255" s="238">
        <v>1.1429794127183535E-2</v>
      </c>
      <c r="F255" s="237">
        <v>1.0194345402500879E-2</v>
      </c>
      <c r="G255" s="238">
        <v>8.0597915816009516E-3</v>
      </c>
      <c r="H255" s="237">
        <v>7.6194015982159451E-3</v>
      </c>
      <c r="I255" s="238">
        <v>6.4781699169984483E-3</v>
      </c>
      <c r="J255" s="237">
        <v>9.5866713347200205E-3</v>
      </c>
      <c r="K255" s="238">
        <v>7.7457188428220773E-3</v>
      </c>
      <c r="L255" s="237">
        <v>1.1916243619752444E-2</v>
      </c>
      <c r="M255" s="239">
        <v>1.2677621551341688E-2</v>
      </c>
    </row>
    <row r="256" spans="3:13" ht="24" customHeight="1" thickBot="1" x14ac:dyDescent="0.25">
      <c r="C256" s="245" t="s">
        <v>49</v>
      </c>
      <c r="D256" s="241">
        <v>3.3597168504151636E-3</v>
      </c>
      <c r="E256" s="242">
        <v>3.202363933991528E-3</v>
      </c>
      <c r="F256" s="241">
        <v>3.4650730678451262E-3</v>
      </c>
      <c r="G256" s="242">
        <v>2.6806795789025193E-3</v>
      </c>
      <c r="H256" s="241">
        <v>3.345103140680171E-3</v>
      </c>
      <c r="I256" s="242">
        <v>2.5642755921452191E-3</v>
      </c>
      <c r="J256" s="241">
        <v>1.863788949070165E-3</v>
      </c>
      <c r="K256" s="242">
        <v>1.7350664896580487E-3</v>
      </c>
      <c r="L256" s="241">
        <v>3.7556064655017564E-3</v>
      </c>
      <c r="M256" s="243">
        <v>3.6413790680002284E-3</v>
      </c>
    </row>
    <row r="257" spans="3:14" ht="24" customHeight="1" thickBot="1" x14ac:dyDescent="0.25">
      <c r="C257" s="236" t="s">
        <v>50</v>
      </c>
      <c r="D257" s="237">
        <v>2.9363966572159574E-3</v>
      </c>
      <c r="E257" s="238">
        <v>3.4662192939965684E-3</v>
      </c>
      <c r="F257" s="237">
        <v>3.9672575704313767E-3</v>
      </c>
      <c r="G257" s="238">
        <v>3.0712421665571909E-3</v>
      </c>
      <c r="H257" s="237">
        <v>2.6017468871956887E-3</v>
      </c>
      <c r="I257" s="238">
        <v>2.2943518456036171E-3</v>
      </c>
      <c r="J257" s="237">
        <v>2.4713223634079537E-3</v>
      </c>
      <c r="K257" s="238">
        <v>1.9802043239767089E-3</v>
      </c>
      <c r="L257" s="237">
        <v>3.0094594856007449E-3</v>
      </c>
      <c r="M257" s="239">
        <v>3.9110783138086892E-3</v>
      </c>
    </row>
    <row r="258" spans="3:14" ht="24" customHeight="1" thickBot="1" x14ac:dyDescent="0.25">
      <c r="C258" s="245" t="s">
        <v>51</v>
      </c>
      <c r="D258" s="241">
        <v>3.3080924366103823E-3</v>
      </c>
      <c r="E258" s="242">
        <v>3.8304972163915878E-3</v>
      </c>
      <c r="F258" s="241">
        <v>1.5065535077587505E-3</v>
      </c>
      <c r="G258" s="242">
        <v>1.4379804363649274E-3</v>
      </c>
      <c r="H258" s="241">
        <v>7.4335625348448246E-4</v>
      </c>
      <c r="I258" s="242">
        <v>1.1471759228018086E-3</v>
      </c>
      <c r="J258" s="241">
        <v>2.986181189117944E-3</v>
      </c>
      <c r="K258" s="242">
        <v>3.0180606095336331E-3</v>
      </c>
      <c r="L258" s="241">
        <v>3.5317623715314527E-3</v>
      </c>
      <c r="M258" s="243">
        <v>4.2080110339496003E-3</v>
      </c>
    </row>
    <row r="259" spans="3:14" ht="24" customHeight="1" thickBot="1" x14ac:dyDescent="0.25">
      <c r="C259" s="236" t="s">
        <v>52</v>
      </c>
      <c r="D259" s="237">
        <v>1.7263203976318848E-3</v>
      </c>
      <c r="E259" s="238">
        <v>9.3071368280385047E-4</v>
      </c>
      <c r="F259" s="237">
        <v>1.2554612564656255E-3</v>
      </c>
      <c r="G259" s="238">
        <v>8.6988939977631415E-4</v>
      </c>
      <c r="H259" s="237">
        <v>9.2919531685560302E-4</v>
      </c>
      <c r="I259" s="238">
        <v>4.7236655644780352E-4</v>
      </c>
      <c r="J259" s="237">
        <v>2.2653788331239576E-3</v>
      </c>
      <c r="K259" s="238">
        <v>1.012387419653687E-3</v>
      </c>
      <c r="L259" s="237">
        <v>1.619415297118491E-3</v>
      </c>
      <c r="M259" s="239">
        <v>9.1715313558316967E-4</v>
      </c>
    </row>
    <row r="260" spans="3:14" ht="24" customHeight="1" thickBot="1" x14ac:dyDescent="0.25">
      <c r="C260" s="240" t="s">
        <v>53</v>
      </c>
      <c r="D260" s="241">
        <v>1.0744073001051072E-2</v>
      </c>
      <c r="E260" s="242">
        <v>8.7662989756898645E-3</v>
      </c>
      <c r="F260" s="241">
        <v>4.5698789735348763E-3</v>
      </c>
      <c r="G260" s="242">
        <v>3.7636031173995631E-3</v>
      </c>
      <c r="H260" s="241">
        <v>1.5796320386545253E-2</v>
      </c>
      <c r="I260" s="242">
        <v>1.1674202037924287E-2</v>
      </c>
      <c r="J260" s="241">
        <v>9.9161809831744135E-3</v>
      </c>
      <c r="K260" s="242">
        <v>7.6438433792091276E-3</v>
      </c>
      <c r="L260" s="241">
        <v>1.1230893801176702E-2</v>
      </c>
      <c r="M260" s="243">
        <v>9.2857362481935865E-3</v>
      </c>
    </row>
    <row r="261" spans="3:14" ht="24" customHeight="1" thickBot="1" x14ac:dyDescent="0.25">
      <c r="C261" s="244" t="s">
        <v>54</v>
      </c>
      <c r="D261" s="237">
        <v>5.8397536895968549E-3</v>
      </c>
      <c r="E261" s="238">
        <v>5.7398386150350296E-3</v>
      </c>
      <c r="F261" s="237">
        <v>3.063325465776126E-3</v>
      </c>
      <c r="G261" s="238">
        <v>2.1303413872073001E-3</v>
      </c>
      <c r="H261" s="237">
        <v>9.8494703586693919E-3</v>
      </c>
      <c r="I261" s="238">
        <v>6.7480936635400503E-3</v>
      </c>
      <c r="J261" s="237">
        <v>6.672570381201475E-3</v>
      </c>
      <c r="K261" s="238">
        <v>6.414970599377923E-3</v>
      </c>
      <c r="L261" s="237">
        <v>5.7094061499092189E-3</v>
      </c>
      <c r="M261" s="239">
        <v>5.7190296098145925E-3</v>
      </c>
    </row>
    <row r="262" spans="3:14" ht="24" customHeight="1" thickBot="1" x14ac:dyDescent="0.25">
      <c r="C262" s="240" t="s">
        <v>55</v>
      </c>
      <c r="D262" s="241">
        <v>1.7139305383187375E-2</v>
      </c>
      <c r="E262" s="242">
        <v>1.6148341846278655E-2</v>
      </c>
      <c r="F262" s="241">
        <v>1.521619042836338E-2</v>
      </c>
      <c r="G262" s="242">
        <v>8.5746240835093829E-3</v>
      </c>
      <c r="H262" s="241">
        <v>3.7167812674224121E-3</v>
      </c>
      <c r="I262" s="242">
        <v>2.6992374654160201E-3</v>
      </c>
      <c r="J262" s="241">
        <v>9.7102374528904179E-3</v>
      </c>
      <c r="K262" s="242">
        <v>8.7485554377620504E-3</v>
      </c>
      <c r="L262" s="241">
        <v>1.9438510580087824E-2</v>
      </c>
      <c r="M262" s="243">
        <v>1.8740144337413962E-2</v>
      </c>
    </row>
    <row r="263" spans="3:14" ht="24" customHeight="1" thickBot="1" x14ac:dyDescent="0.25">
      <c r="C263" s="244" t="s">
        <v>56</v>
      </c>
      <c r="D263" s="237">
        <v>2.7391913964816928E-2</v>
      </c>
      <c r="E263" s="238">
        <v>2.7952915601728055E-2</v>
      </c>
      <c r="F263" s="237">
        <v>8.3864811931903781E-3</v>
      </c>
      <c r="G263" s="238">
        <v>8.6988939977631421E-3</v>
      </c>
      <c r="H263" s="237">
        <v>7.247723471473704E-3</v>
      </c>
      <c r="I263" s="238">
        <v>8.0977123962480604E-3</v>
      </c>
      <c r="J263" s="237">
        <v>2.7586135881541282E-2</v>
      </c>
      <c r="K263" s="238">
        <v>2.5268298584249418E-2</v>
      </c>
      <c r="L263" s="237">
        <v>2.868520611619443E-2</v>
      </c>
      <c r="M263" s="239">
        <v>2.9904990314546628E-2</v>
      </c>
    </row>
    <row r="264" spans="3:14" ht="24" customHeight="1" thickBot="1" x14ac:dyDescent="0.25">
      <c r="C264" s="240" t="s">
        <v>57</v>
      </c>
      <c r="D264" s="241">
        <v>3.9191189984037735E-2</v>
      </c>
      <c r="E264" s="242">
        <v>3.4431155410807046E-2</v>
      </c>
      <c r="F264" s="241">
        <v>2.1443278260432883E-2</v>
      </c>
      <c r="G264" s="242">
        <v>2.3344991034813328E-2</v>
      </c>
      <c r="H264" s="241">
        <v>9.6636312952982709E-3</v>
      </c>
      <c r="I264" s="242">
        <v>1.1674202037924287E-2</v>
      </c>
      <c r="J264" s="241">
        <v>4.9570607739357869E-2</v>
      </c>
      <c r="K264" s="242">
        <v>4.6436109758077611E-2</v>
      </c>
      <c r="L264" s="241">
        <v>3.7821361358982369E-2</v>
      </c>
      <c r="M264" s="243">
        <v>3.1963313874576675E-2</v>
      </c>
    </row>
    <row r="265" spans="3:14" ht="24" customHeight="1" thickBot="1" x14ac:dyDescent="0.25">
      <c r="C265" s="244" t="s">
        <v>58</v>
      </c>
      <c r="D265" s="237">
        <v>2.6885994709530073E-3</v>
      </c>
      <c r="E265" s="238">
        <v>3.0664981142874397E-3</v>
      </c>
      <c r="F265" s="237">
        <v>7.3821121880178779E-3</v>
      </c>
      <c r="G265" s="238">
        <v>9.2492321894583601E-3</v>
      </c>
      <c r="H265" s="237">
        <v>7.6194015982159451E-3</v>
      </c>
      <c r="I265" s="238">
        <v>8.4351170794250627E-3</v>
      </c>
      <c r="J265" s="237">
        <v>2.224190127067158E-3</v>
      </c>
      <c r="K265" s="238">
        <v>2.2921979312913671E-3</v>
      </c>
      <c r="L265" s="237">
        <v>2.4816295850041037E-3</v>
      </c>
      <c r="M265" s="239">
        <v>2.9043182626800374E-3</v>
      </c>
    </row>
    <row r="266" spans="3:14" ht="24" customHeight="1" thickBot="1" x14ac:dyDescent="0.25">
      <c r="C266" s="240" t="s">
        <v>59</v>
      </c>
      <c r="D266" s="241">
        <v>3.8491162932844897E-3</v>
      </c>
      <c r="E266" s="242">
        <v>3.4465285954887299E-3</v>
      </c>
      <c r="F266" s="241">
        <v>2.0840656857329384E-2</v>
      </c>
      <c r="G266" s="242">
        <v>2.1321166716966395E-2</v>
      </c>
      <c r="H266" s="241">
        <v>1.8955584463854303E-2</v>
      </c>
      <c r="I266" s="242">
        <v>1.2686416087455294E-2</v>
      </c>
      <c r="J266" s="241">
        <v>4.4277859011059165E-3</v>
      </c>
      <c r="K266" s="242">
        <v>4.0081627715219878E-3</v>
      </c>
      <c r="L266" s="241">
        <v>2.5341362243304711E-3</v>
      </c>
      <c r="M266" s="243">
        <v>2.2867333447538227E-3</v>
      </c>
    </row>
    <row r="267" spans="3:14" ht="24" customHeight="1" thickBot="1" x14ac:dyDescent="0.25">
      <c r="C267" s="244" t="s">
        <v>60</v>
      </c>
      <c r="D267" s="237">
        <v>1.0884491406600078E-2</v>
      </c>
      <c r="E267" s="238">
        <v>1.2124219427893318E-2</v>
      </c>
      <c r="F267" s="237">
        <v>1.7927986742329132E-2</v>
      </c>
      <c r="G267" s="238">
        <v>1.94748708480534E-2</v>
      </c>
      <c r="H267" s="237">
        <v>1.0406987548782755E-2</v>
      </c>
      <c r="I267" s="238">
        <v>1.4103515756798704E-2</v>
      </c>
      <c r="J267" s="237">
        <v>1.6063595362151697E-2</v>
      </c>
      <c r="K267" s="238">
        <v>1.4880184903966457E-2</v>
      </c>
      <c r="L267" s="237">
        <v>9.1140471841242039E-3</v>
      </c>
      <c r="M267" s="239">
        <v>1.0974211656805514E-2</v>
      </c>
    </row>
    <row r="268" spans="3:14" ht="30.75" customHeight="1" thickBot="1" x14ac:dyDescent="0.25">
      <c r="C268" s="246" t="s">
        <v>61</v>
      </c>
      <c r="D268" s="247">
        <v>0.75782987484177111</v>
      </c>
      <c r="E268" s="248">
        <v>0.7299926094244934</v>
      </c>
      <c r="F268" s="247">
        <v>0.25646562547079799</v>
      </c>
      <c r="G268" s="248">
        <v>0.26283086864670069</v>
      </c>
      <c r="H268" s="247">
        <v>0.40308492845196064</v>
      </c>
      <c r="I268" s="248">
        <v>0.34860651865847903</v>
      </c>
      <c r="J268" s="247">
        <v>0.53388800790823154</v>
      </c>
      <c r="K268" s="248">
        <v>0.47911075454698848</v>
      </c>
      <c r="L268" s="247">
        <v>0.85079547558579449</v>
      </c>
      <c r="M268" s="249">
        <v>0.82730463276538369</v>
      </c>
    </row>
    <row r="269" spans="3:14" ht="24" customHeight="1" thickBot="1" x14ac:dyDescent="0.25">
      <c r="C269" s="250" t="s">
        <v>8</v>
      </c>
      <c r="D269" s="251">
        <v>1</v>
      </c>
      <c r="E269" s="252">
        <v>1</v>
      </c>
      <c r="F269" s="251">
        <v>1</v>
      </c>
      <c r="G269" s="252">
        <v>1</v>
      </c>
      <c r="H269" s="251">
        <v>1</v>
      </c>
      <c r="I269" s="252">
        <v>1</v>
      </c>
      <c r="J269" s="251">
        <v>1</v>
      </c>
      <c r="K269" s="252">
        <v>1</v>
      </c>
      <c r="L269" s="251">
        <v>1</v>
      </c>
      <c r="M269" s="253">
        <v>1</v>
      </c>
    </row>
    <row r="270" spans="3:14" ht="18" customHeight="1" x14ac:dyDescent="0.2">
      <c r="C270" s="254"/>
      <c r="D270" s="255"/>
      <c r="E270" s="256"/>
      <c r="F270" s="255"/>
      <c r="G270" s="256"/>
      <c r="H270" s="255"/>
      <c r="I270" s="256"/>
      <c r="J270" s="255"/>
      <c r="K270" s="256"/>
      <c r="L270" s="255"/>
      <c r="M270" s="256"/>
      <c r="N270" s="257"/>
    </row>
    <row r="271" spans="3:14" ht="5.25" customHeight="1" thickBot="1" x14ac:dyDescent="0.25"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</row>
    <row r="272" spans="3:14" ht="20.100000000000001" customHeight="1" thickBot="1" x14ac:dyDescent="0.25">
      <c r="C272" s="27" t="s">
        <v>71</v>
      </c>
      <c r="D272" s="28"/>
      <c r="E272" s="28"/>
      <c r="F272" s="28"/>
      <c r="G272" s="28"/>
      <c r="H272" s="28"/>
      <c r="I272" s="28"/>
      <c r="J272" s="28"/>
      <c r="K272" s="28"/>
      <c r="L272" s="28"/>
      <c r="M272" s="29"/>
    </row>
    <row r="273" spans="3:18" ht="5.25" customHeight="1" x14ac:dyDescent="0.2"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151"/>
    </row>
    <row r="274" spans="3:18" ht="45.75" customHeight="1" x14ac:dyDescent="0.2">
      <c r="C274" s="258" t="s">
        <v>7</v>
      </c>
      <c r="D274" s="259" t="s">
        <v>72</v>
      </c>
      <c r="E274" s="260" t="s">
        <v>73</v>
      </c>
      <c r="F274" s="261">
        <v>1060.9774339162589</v>
      </c>
      <c r="G274" s="262" t="s">
        <v>95</v>
      </c>
      <c r="H274" s="263"/>
      <c r="I274" s="263"/>
      <c r="J274" s="263"/>
      <c r="K274" s="263"/>
      <c r="L274" s="264"/>
      <c r="M274" s="265" t="s">
        <v>96</v>
      </c>
      <c r="O274" s="145"/>
      <c r="R274" s="145"/>
    </row>
    <row r="275" spans="3:18" ht="45.75" customHeight="1" x14ac:dyDescent="0.2">
      <c r="C275" s="258"/>
      <c r="D275" s="266"/>
      <c r="E275" s="267" t="s">
        <v>74</v>
      </c>
      <c r="F275" s="268">
        <v>688.84519020018081</v>
      </c>
      <c r="G275" s="262" t="str">
        <f>CONCATENATE("El gasto medio por turista en origen se situó en ",FIXED(F275,0),"€.")</f>
        <v>El gasto medio por turista en origen se situó en 689€.</v>
      </c>
      <c r="H275" s="263"/>
      <c r="I275" s="263"/>
      <c r="J275" s="263"/>
      <c r="K275" s="263"/>
      <c r="L275" s="264"/>
      <c r="M275" s="265"/>
      <c r="O275" s="145"/>
      <c r="R275" s="145"/>
    </row>
    <row r="276" spans="3:18" ht="45.75" customHeight="1" thickBot="1" x14ac:dyDescent="0.25">
      <c r="C276" s="258"/>
      <c r="D276" s="269"/>
      <c r="E276" s="270" t="s">
        <v>75</v>
      </c>
      <c r="F276" s="271">
        <v>377.76406870126056</v>
      </c>
      <c r="G276" s="262" t="str">
        <f>CONCATENATE("El gasto medio por turista en destino ascendió a ",FIXED(F276,0),"€. ")</f>
        <v xml:space="preserve">El gasto medio por turista en destino ascendió a 378€. </v>
      </c>
      <c r="H276" s="263"/>
      <c r="I276" s="263"/>
      <c r="J276" s="263"/>
      <c r="K276" s="263"/>
      <c r="L276" s="264"/>
      <c r="M276" s="265"/>
      <c r="O276" s="145"/>
      <c r="R276" s="145"/>
    </row>
    <row r="277" spans="3:18" ht="45.75" customHeight="1" thickTop="1" x14ac:dyDescent="0.2">
      <c r="C277" s="258"/>
      <c r="D277" s="272" t="s">
        <v>76</v>
      </c>
      <c r="E277" s="273" t="s">
        <v>73</v>
      </c>
      <c r="F277" s="274">
        <v>117.20005759920436</v>
      </c>
      <c r="G277" s="275" t="str">
        <f>CONCATENATE("El gasto total diario por turista se situó en ",FIXED(F277,0),"€.")</f>
        <v>El gasto total diario por turista se situó en 117€.</v>
      </c>
      <c r="H277" s="276"/>
      <c r="I277" s="276"/>
      <c r="J277" s="276"/>
      <c r="K277" s="276"/>
      <c r="L277" s="277"/>
      <c r="M277" s="265"/>
      <c r="O277" s="145"/>
      <c r="R277" s="145"/>
    </row>
    <row r="278" spans="3:18" ht="45.75" customHeight="1" x14ac:dyDescent="0.2">
      <c r="C278" s="258"/>
      <c r="D278" s="278"/>
      <c r="E278" s="279" t="s">
        <v>74</v>
      </c>
      <c r="F278" s="280">
        <v>76.057853503431247</v>
      </c>
      <c r="G278" s="275" t="str">
        <f>CONCATENATE("La media del gasto diario por turista en origen fue de ",FIXED(F278,0),"€.")</f>
        <v>La media del gasto diario por turista en origen fue de 76€.</v>
      </c>
      <c r="H278" s="276"/>
      <c r="I278" s="276"/>
      <c r="J278" s="276"/>
      <c r="K278" s="276"/>
      <c r="L278" s="277"/>
      <c r="M278" s="265"/>
      <c r="O278" s="145"/>
      <c r="R278" s="145"/>
    </row>
    <row r="279" spans="3:18" ht="45.75" customHeight="1" x14ac:dyDescent="0.2">
      <c r="C279" s="258"/>
      <c r="D279" s="281"/>
      <c r="E279" s="282" t="s">
        <v>75</v>
      </c>
      <c r="F279" s="283">
        <v>41.132880940055614</v>
      </c>
      <c r="G279" s="275" t="str">
        <f>CONCATENATE("El gasto medio en Tenerife, por turista y día  fue de ",FIXED(F279,1),"€.")</f>
        <v>El gasto medio en Tenerife, por turista y día  fue de 41,1€.</v>
      </c>
      <c r="H279" s="276"/>
      <c r="I279" s="276"/>
      <c r="J279" s="276"/>
      <c r="K279" s="276"/>
      <c r="L279" s="277"/>
      <c r="M279" s="265"/>
      <c r="O279" s="145"/>
      <c r="R279" s="145"/>
    </row>
    <row r="280" spans="3:18" ht="5.25" customHeight="1" thickBot="1" x14ac:dyDescent="0.25">
      <c r="C280" s="284"/>
      <c r="D280" s="284"/>
      <c r="E280" s="284"/>
      <c r="F280" s="284"/>
      <c r="G280" s="284"/>
      <c r="H280" s="284"/>
      <c r="I280" s="284"/>
      <c r="J280" s="284"/>
      <c r="K280" s="284"/>
      <c r="L280" s="284"/>
      <c r="M280" s="285"/>
      <c r="N280" s="257"/>
      <c r="O280" s="145"/>
      <c r="R280" s="145"/>
    </row>
    <row r="281" spans="3:18" ht="19.5" customHeight="1" thickBot="1" x14ac:dyDescent="0.25">
      <c r="C281" s="27" t="s">
        <v>77</v>
      </c>
      <c r="D281" s="28"/>
      <c r="E281" s="28"/>
      <c r="F281" s="28"/>
      <c r="G281" s="28"/>
      <c r="H281" s="28"/>
      <c r="I281" s="28"/>
      <c r="J281" s="28"/>
      <c r="K281" s="28"/>
      <c r="L281" s="28"/>
      <c r="M281" s="29"/>
      <c r="N281" s="257"/>
      <c r="O281" s="145"/>
      <c r="P281" s="145"/>
      <c r="Q281" s="145"/>
    </row>
    <row r="282" spans="3:18" ht="5.25" customHeight="1" x14ac:dyDescent="0.2"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151"/>
      <c r="N282" s="257"/>
      <c r="O282" s="145"/>
      <c r="P282" s="145"/>
      <c r="Q282" s="145"/>
    </row>
    <row r="283" spans="3:18" s="145" customFormat="1" ht="47.25" customHeight="1" thickBot="1" x14ac:dyDescent="0.25">
      <c r="C283" s="258" t="s">
        <v>7</v>
      </c>
      <c r="D283" s="286"/>
      <c r="E283" s="287" t="s">
        <v>8</v>
      </c>
      <c r="F283" s="288">
        <v>137532</v>
      </c>
      <c r="G283" s="289">
        <v>7.0218857314403582E-3</v>
      </c>
      <c r="H283" s="290" t="s">
        <v>97</v>
      </c>
      <c r="I283" s="290"/>
      <c r="J283" s="290"/>
      <c r="K283" s="290"/>
      <c r="L283" s="291"/>
      <c r="M283" s="265" t="s">
        <v>78</v>
      </c>
      <c r="Q283" s="292"/>
    </row>
    <row r="284" spans="3:18" s="145" customFormat="1" ht="47.25" customHeight="1" thickTop="1" thickBot="1" x14ac:dyDescent="0.25">
      <c r="C284" s="258"/>
      <c r="D284" s="286"/>
      <c r="E284" s="293" t="s">
        <v>79</v>
      </c>
      <c r="F284" s="294">
        <v>84105</v>
      </c>
      <c r="G284" s="295">
        <v>-5.4513634321121662E-3</v>
      </c>
      <c r="H284" s="296" t="s">
        <v>98</v>
      </c>
      <c r="I284" s="297"/>
      <c r="J284" s="297"/>
      <c r="K284" s="297"/>
      <c r="L284" s="298"/>
      <c r="M284" s="265"/>
      <c r="O284" s="299"/>
      <c r="Q284" s="292"/>
    </row>
    <row r="285" spans="3:18" s="145" customFormat="1" ht="47.25" customHeight="1" thickTop="1" thickBot="1" x14ac:dyDescent="0.25">
      <c r="C285" s="258"/>
      <c r="D285" s="286"/>
      <c r="E285" s="300" t="s">
        <v>80</v>
      </c>
      <c r="F285" s="301">
        <v>51952</v>
      </c>
      <c r="G285" s="295">
        <v>2.7816246587267113E-2</v>
      </c>
      <c r="H285" s="302" t="s">
        <v>99</v>
      </c>
      <c r="I285" s="297"/>
      <c r="J285" s="297"/>
      <c r="K285" s="297"/>
      <c r="L285" s="298"/>
      <c r="M285" s="265"/>
      <c r="O285" s="299"/>
      <c r="Q285" s="292"/>
    </row>
    <row r="286" spans="3:18" s="145" customFormat="1" ht="47.25" customHeight="1" thickTop="1" thickBot="1" x14ac:dyDescent="0.25">
      <c r="C286" s="258"/>
      <c r="D286" s="286"/>
      <c r="E286" s="293" t="s">
        <v>81</v>
      </c>
      <c r="F286" s="294">
        <v>557</v>
      </c>
      <c r="G286" s="295">
        <v>0</v>
      </c>
      <c r="H286" s="296" t="s">
        <v>100</v>
      </c>
      <c r="I286" s="297"/>
      <c r="J286" s="297"/>
      <c r="K286" s="297"/>
      <c r="L286" s="298"/>
      <c r="M286" s="265"/>
      <c r="O286" s="299"/>
      <c r="Q286" s="292"/>
    </row>
    <row r="287" spans="3:18" s="145" customFormat="1" ht="47.25" customHeight="1" thickTop="1" x14ac:dyDescent="0.2">
      <c r="C287" s="258"/>
      <c r="D287" s="286"/>
      <c r="E287" s="303" t="s">
        <v>82</v>
      </c>
      <c r="F287" s="304">
        <v>918</v>
      </c>
      <c r="G287" s="305">
        <v>1.5486725663716783E-2</v>
      </c>
      <c r="H287" s="306" t="s">
        <v>101</v>
      </c>
      <c r="I287" s="307"/>
      <c r="J287" s="307"/>
      <c r="K287" s="307"/>
      <c r="L287" s="308"/>
      <c r="M287" s="265"/>
      <c r="O287" s="299"/>
      <c r="Q287" s="292"/>
    </row>
    <row r="288" spans="3:18" ht="5.25" customHeight="1" x14ac:dyDescent="0.2">
      <c r="C288" s="96" t="s">
        <v>83</v>
      </c>
      <c r="D288" s="96"/>
      <c r="E288" s="96"/>
      <c r="F288" s="96"/>
      <c r="G288" s="96"/>
      <c r="H288" s="96"/>
      <c r="I288" s="96"/>
      <c r="J288" s="96"/>
      <c r="K288" s="96"/>
      <c r="L288" s="96"/>
      <c r="M288" s="96"/>
      <c r="N288" s="309"/>
      <c r="P288" s="145"/>
      <c r="Q288" s="145"/>
      <c r="R288" s="145"/>
    </row>
    <row r="289" spans="3:20" s="1" customFormat="1" ht="18.75" customHeight="1" thickBot="1" x14ac:dyDescent="0.25"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309"/>
      <c r="P289" s="310"/>
      <c r="Q289" s="310"/>
      <c r="R289" s="310"/>
    </row>
    <row r="290" spans="3:20" ht="50.25" customHeight="1" thickBot="1" x14ac:dyDescent="0.25">
      <c r="C290" s="2"/>
      <c r="D290" s="2"/>
      <c r="E290" s="3" t="str">
        <f>E238</f>
        <v>INDICADORES TURÍSTICOS DE TENERIFE definitivo</v>
      </c>
      <c r="F290" s="3"/>
      <c r="G290" s="3"/>
      <c r="H290" s="3"/>
      <c r="I290" s="3"/>
      <c r="J290" s="3"/>
      <c r="K290" s="3"/>
      <c r="L290" s="2"/>
      <c r="M290" s="2"/>
      <c r="O290" s="145"/>
      <c r="P290" s="145"/>
      <c r="Q290" s="145"/>
      <c r="R290" s="145"/>
      <c r="S290" s="145"/>
      <c r="T290" s="145"/>
    </row>
    <row r="291" spans="3:20" ht="5.25" customHeight="1" thickBot="1" x14ac:dyDescent="0.25">
      <c r="C291" s="4"/>
      <c r="O291" s="145"/>
      <c r="P291" s="145"/>
      <c r="Q291" s="145"/>
      <c r="R291" s="145"/>
      <c r="S291" s="145"/>
      <c r="T291" s="145"/>
    </row>
    <row r="292" spans="3:20" ht="18" customHeight="1" thickBot="1" x14ac:dyDescent="0.25">
      <c r="C292" s="222" t="s">
        <v>84</v>
      </c>
      <c r="D292" s="223"/>
      <c r="E292" s="223"/>
      <c r="F292" s="223"/>
      <c r="G292" s="223"/>
      <c r="H292" s="223"/>
      <c r="I292" s="223"/>
      <c r="J292" s="223"/>
      <c r="K292" s="223"/>
      <c r="L292" s="223"/>
      <c r="M292" s="224"/>
      <c r="O292" s="145"/>
      <c r="P292" s="145"/>
      <c r="Q292" s="145"/>
      <c r="R292" s="145"/>
      <c r="S292" s="145"/>
      <c r="T292" s="145"/>
    </row>
    <row r="293" spans="3:20" ht="5.25" customHeight="1" x14ac:dyDescent="0.2"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151"/>
      <c r="N293" s="257"/>
      <c r="O293" s="145"/>
      <c r="P293" s="145"/>
      <c r="Q293" s="145"/>
      <c r="R293" s="145"/>
      <c r="S293" s="145"/>
      <c r="T293" s="145"/>
    </row>
    <row r="294" spans="3:20" ht="27.75" customHeight="1" x14ac:dyDescent="0.2">
      <c r="C294" s="311" t="s">
        <v>7</v>
      </c>
      <c r="D294" s="312"/>
      <c r="E294" s="313" t="s">
        <v>8</v>
      </c>
      <c r="F294" s="35">
        <v>160825</v>
      </c>
      <c r="G294" s="314">
        <v>1.5982816892510909E-2</v>
      </c>
      <c r="H294" s="315" t="s">
        <v>102</v>
      </c>
      <c r="I294" s="315"/>
      <c r="J294" s="315"/>
      <c r="K294" s="315"/>
      <c r="L294" s="316"/>
      <c r="M294" s="265" t="s">
        <v>9</v>
      </c>
      <c r="O294" s="145"/>
      <c r="P294" s="145"/>
      <c r="Q294" s="145"/>
      <c r="R294" s="145"/>
      <c r="S294" s="145"/>
      <c r="T294" s="145"/>
    </row>
    <row r="295" spans="3:20" ht="34.5" customHeight="1" x14ac:dyDescent="0.2">
      <c r="C295" s="317"/>
      <c r="D295" s="318"/>
      <c r="E295" s="319" t="s">
        <v>85</v>
      </c>
      <c r="F295" s="46">
        <v>93428</v>
      </c>
      <c r="G295" s="140">
        <v>9.4431358990427761E-3</v>
      </c>
      <c r="H295" s="320" t="str">
        <f>CONCATENATE("La oferta hotelera estimada por el STDE del Cabildo de Tenerife se sitúa en ",FIXED(F295,0)," plazas, un ",FIXED(F295/F294*100,1),"% del total de plazas. ",IF(G295&gt;0,"Aumentan un ","Disminuyen un"),FIXED(G295*100,1),"% respecto al mismo periodo del año anterior.")</f>
        <v>La oferta hotelera estimada por el STDE del Cabildo de Tenerife se sitúa en 93.428 plazas, un 58,1% del total de plazas. Aumentan un 0,9% respecto al mismo periodo del año anterior.</v>
      </c>
      <c r="I295" s="320"/>
      <c r="J295" s="320"/>
      <c r="K295" s="320"/>
      <c r="L295" s="321"/>
      <c r="M295" s="265"/>
      <c r="O295" s="145"/>
      <c r="P295" s="145"/>
      <c r="Q295" s="145"/>
      <c r="R295" s="145"/>
      <c r="S295" s="145"/>
      <c r="T295" s="145"/>
    </row>
    <row r="296" spans="3:20" ht="41.25" customHeight="1" thickBot="1" x14ac:dyDescent="0.25">
      <c r="C296" s="322"/>
      <c r="D296" s="323"/>
      <c r="E296" s="324" t="s">
        <v>86</v>
      </c>
      <c r="F296" s="325">
        <v>67397</v>
      </c>
      <c r="G296" s="326">
        <v>2.5189759815031687E-2</v>
      </c>
      <c r="H296" s="327" t="s">
        <v>103</v>
      </c>
      <c r="I296" s="327"/>
      <c r="J296" s="327"/>
      <c r="K296" s="327"/>
      <c r="L296" s="328"/>
      <c r="M296" s="265"/>
      <c r="Q296" s="329"/>
    </row>
    <row r="297" spans="3:20" ht="34.5" customHeight="1" thickTop="1" x14ac:dyDescent="0.2">
      <c r="C297" s="330" t="s">
        <v>12</v>
      </c>
      <c r="D297" s="331"/>
      <c r="E297" s="332" t="s">
        <v>8</v>
      </c>
      <c r="F297" s="333">
        <v>2943</v>
      </c>
      <c r="G297" s="334">
        <v>4.7330960854092607E-2</v>
      </c>
      <c r="H297" s="335" t="str">
        <f>CONCATENATE("Las plazas estimadas por el STDE  del Cabildo de Tenerife en la zona de Santa Cruz, ascienden a ",FIXED(F297,0),", todas ellas pertenecientes a la tipología hotelera. Se registra un ",IF(G297&gt;0,"incremento ","descenso "),"con respecto al año anterior del ",FIXED(G297*100,1),"%.")</f>
        <v>Las plazas estimadas por el STDE  del Cabildo de Tenerife en la zona de Santa Cruz, ascienden a 2.943, todas ellas pertenecientes a la tipología hotelera. Se registra un incremento con respecto al año anterior del 4,7%.</v>
      </c>
      <c r="I297" s="335"/>
      <c r="J297" s="335"/>
      <c r="K297" s="335"/>
      <c r="L297" s="336"/>
      <c r="M297" s="265"/>
      <c r="Q297" s="329"/>
    </row>
    <row r="298" spans="3:20" ht="34.5" customHeight="1" thickBot="1" x14ac:dyDescent="0.25">
      <c r="C298" s="337"/>
      <c r="D298" s="338"/>
      <c r="E298" s="339" t="s">
        <v>85</v>
      </c>
      <c r="F298" s="340">
        <v>2537</v>
      </c>
      <c r="G298" s="326">
        <v>0</v>
      </c>
      <c r="H298" s="341"/>
      <c r="I298" s="341"/>
      <c r="J298" s="341"/>
      <c r="K298" s="341"/>
      <c r="L298" s="342"/>
      <c r="M298" s="265"/>
    </row>
    <row r="299" spans="3:20" ht="42" customHeight="1" thickTop="1" x14ac:dyDescent="0.2">
      <c r="C299" s="343" t="s">
        <v>13</v>
      </c>
      <c r="D299" s="344"/>
      <c r="E299" s="345" t="s">
        <v>8</v>
      </c>
      <c r="F299" s="346">
        <v>1418</v>
      </c>
      <c r="G299" s="334">
        <v>0.42799597180261828</v>
      </c>
      <c r="H299" s="347" t="s">
        <v>104</v>
      </c>
      <c r="I299" s="347"/>
      <c r="J299" s="347"/>
      <c r="K299" s="347"/>
      <c r="L299" s="348"/>
      <c r="M299" s="265"/>
    </row>
    <row r="300" spans="3:20" ht="34.5" customHeight="1" x14ac:dyDescent="0.2">
      <c r="C300" s="349"/>
      <c r="D300" s="350"/>
      <c r="E300" s="351" t="s">
        <v>85</v>
      </c>
      <c r="F300" s="75">
        <v>824</v>
      </c>
      <c r="G300" s="140">
        <v>0.42560553633218001</v>
      </c>
      <c r="H300" s="352" t="str">
        <f>CONCATENATE("Las plazas hoteleras estimadas se sitúan en ",FIXED(F300,0)," plazas, registrando un ",IF(G300&gt;0,"incremento del ","descenso del "),FIXED(G300*100,1),"%.")</f>
        <v>Las plazas hoteleras estimadas se sitúan en 824 plazas, registrando un incremento del 42,6%.</v>
      </c>
      <c r="I300" s="352"/>
      <c r="J300" s="352"/>
      <c r="K300" s="352"/>
      <c r="L300" s="353"/>
      <c r="M300" s="265"/>
    </row>
    <row r="301" spans="3:20" ht="34.5" customHeight="1" thickBot="1" x14ac:dyDescent="0.25">
      <c r="C301" s="354"/>
      <c r="D301" s="355"/>
      <c r="E301" s="356" t="s">
        <v>86</v>
      </c>
      <c r="F301" s="357">
        <v>594</v>
      </c>
      <c r="G301" s="326">
        <v>0.43132530120481927</v>
      </c>
      <c r="H301" s="358" t="s">
        <v>105</v>
      </c>
      <c r="I301" s="358"/>
      <c r="J301" s="358"/>
      <c r="K301" s="358"/>
      <c r="L301" s="359"/>
      <c r="M301" s="265"/>
    </row>
    <row r="302" spans="3:20" ht="39.75" customHeight="1" thickTop="1" x14ac:dyDescent="0.2">
      <c r="C302" s="360" t="s">
        <v>14</v>
      </c>
      <c r="D302" s="361"/>
      <c r="E302" s="332" t="s">
        <v>8</v>
      </c>
      <c r="F302" s="333">
        <v>28590</v>
      </c>
      <c r="G302" s="334">
        <v>5.5799697182318475E-2</v>
      </c>
      <c r="H302" s="335" t="s">
        <v>106</v>
      </c>
      <c r="I302" s="335"/>
      <c r="J302" s="335"/>
      <c r="K302" s="335"/>
      <c r="L302" s="336"/>
      <c r="M302" s="265"/>
    </row>
    <row r="303" spans="3:20" ht="34.5" customHeight="1" x14ac:dyDescent="0.2">
      <c r="C303" s="362"/>
      <c r="D303" s="363"/>
      <c r="E303" s="364" t="s">
        <v>85</v>
      </c>
      <c r="F303" s="83">
        <v>19606</v>
      </c>
      <c r="G303" s="140">
        <v>6.369357638888884E-2</v>
      </c>
      <c r="H303" s="365" t="str">
        <f>CONCATENATE("La oferta hotelera asciende a ",FIXED(F303,0),", cifra que se ",IF(G303&gt;0,"incrementa un ","reduce un "),FIXED(G303*100,1),"% respecto al año anterior.")</f>
        <v>La oferta hotelera asciende a 19.606, cifra que se incrementa un 6,4% respecto al año anterior.</v>
      </c>
      <c r="I303" s="365"/>
      <c r="J303" s="365"/>
      <c r="K303" s="365"/>
      <c r="L303" s="366"/>
      <c r="M303" s="265"/>
    </row>
    <row r="304" spans="3:20" ht="34.5" customHeight="1" thickBot="1" x14ac:dyDescent="0.25">
      <c r="C304" s="367"/>
      <c r="D304" s="368"/>
      <c r="E304" s="339" t="s">
        <v>86</v>
      </c>
      <c r="F304" s="340">
        <v>8984</v>
      </c>
      <c r="G304" s="326">
        <v>3.8973054238464311E-2</v>
      </c>
      <c r="H304" s="341" t="str">
        <f>CONCATENATE("Las plazas extrahoteras estimadas ascienden a ",FIXED(F304,0),", las cuales ",IF(G304&gt;0,"se incrementan un ","descienden un "),FIXED(G304*100,1),"%.")</f>
        <v>Las plazas extrahoteras estimadas ascienden a 8.984, las cuales se incrementan un 3,9%.</v>
      </c>
      <c r="I304" s="341"/>
      <c r="J304" s="341"/>
      <c r="K304" s="341"/>
      <c r="L304" s="342"/>
      <c r="M304" s="265"/>
    </row>
    <row r="305" spans="3:18" ht="34.5" customHeight="1" thickTop="1" x14ac:dyDescent="0.2">
      <c r="C305" s="369" t="s">
        <v>15</v>
      </c>
      <c r="D305" s="370"/>
      <c r="E305" s="371" t="s">
        <v>8</v>
      </c>
      <c r="F305" s="372">
        <v>127874</v>
      </c>
      <c r="G305" s="334">
        <v>3.6181551333065443E-3</v>
      </c>
      <c r="H305" s="347" t="str">
        <f>CONCATENATE("Las plazas estimadas para la zona Sur por el STDE del Cabildo ascienden a ",FIXED(F305,0)," experimentando un ",IF(G305&gt;0,"incremento interanual del ","descenso interanual del "),FIXED(G305*100,1),"%.")</f>
        <v>Las plazas estimadas para la zona Sur por el STDE del Cabildo ascienden a 127.874 experimentando un incremento interanual del 0,4%.</v>
      </c>
      <c r="I305" s="347"/>
      <c r="J305" s="347"/>
      <c r="K305" s="347"/>
      <c r="L305" s="348"/>
      <c r="M305" s="265"/>
    </row>
    <row r="306" spans="3:18" ht="34.5" customHeight="1" x14ac:dyDescent="0.2">
      <c r="C306" s="373"/>
      <c r="D306" s="374"/>
      <c r="E306" s="375" t="s">
        <v>85</v>
      </c>
      <c r="F306" s="91">
        <v>70461</v>
      </c>
      <c r="G306" s="140">
        <v>-7.6893827369132195E-3</v>
      </c>
      <c r="H306" s="352" t="str">
        <f>CONCATENATE("Las plazas hoteleras, con un oferta de ",FIXED(F306,0)," plazas, se ",IF(G306&gt;0,"incrementan un ","reducen un "),FIXED(G306*100,1),"% respecto al mismo período del año anterior.")</f>
        <v>Las plazas hoteleras, con un oferta de 70.461 plazas, se reducen un -0,8% respecto al mismo período del año anterior.</v>
      </c>
      <c r="I306" s="352"/>
      <c r="J306" s="352"/>
      <c r="K306" s="352"/>
      <c r="L306" s="353"/>
      <c r="M306" s="265"/>
    </row>
    <row r="307" spans="3:18" ht="34.5" customHeight="1" x14ac:dyDescent="0.2">
      <c r="C307" s="373"/>
      <c r="D307" s="374"/>
      <c r="E307" s="376" t="s">
        <v>86</v>
      </c>
      <c r="F307" s="377">
        <v>57413</v>
      </c>
      <c r="G307" s="378">
        <v>1.785271070453498E-2</v>
      </c>
      <c r="H307" s="379" t="s">
        <v>107</v>
      </c>
      <c r="I307" s="379"/>
      <c r="J307" s="379"/>
      <c r="K307" s="379"/>
      <c r="L307" s="380"/>
      <c r="M307" s="265"/>
    </row>
    <row r="308" spans="3:18" ht="5.25" customHeight="1" thickBot="1" x14ac:dyDescent="0.25">
      <c r="C308" s="284"/>
      <c r="D308" s="284"/>
      <c r="E308" s="284"/>
      <c r="F308" s="284"/>
      <c r="G308" s="284"/>
      <c r="H308" s="284"/>
      <c r="I308" s="284"/>
      <c r="J308" s="284"/>
      <c r="K308" s="284"/>
      <c r="L308" s="284"/>
      <c r="M308" s="285"/>
      <c r="N308" s="257"/>
      <c r="O308" s="145"/>
      <c r="R308" s="145"/>
    </row>
    <row r="309" spans="3:18" ht="19.5" customHeight="1" thickBot="1" x14ac:dyDescent="0.25">
      <c r="C309" s="27" t="s">
        <v>87</v>
      </c>
      <c r="D309" s="28"/>
      <c r="E309" s="28"/>
      <c r="F309" s="28"/>
      <c r="G309" s="28"/>
      <c r="H309" s="28"/>
      <c r="I309" s="28"/>
      <c r="J309" s="28"/>
      <c r="K309" s="28"/>
      <c r="L309" s="28"/>
      <c r="M309" s="29"/>
      <c r="N309" s="257"/>
      <c r="O309" s="145"/>
      <c r="P309" s="145"/>
      <c r="Q309" s="145"/>
    </row>
    <row r="310" spans="3:18" ht="5.25" customHeight="1" x14ac:dyDescent="0.2"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151"/>
      <c r="O310" s="145"/>
      <c r="P310" s="145"/>
      <c r="Q310" s="145"/>
    </row>
    <row r="311" spans="3:18" ht="48" customHeight="1" thickBot="1" x14ac:dyDescent="0.25">
      <c r="C311" s="381" t="s">
        <v>88</v>
      </c>
      <c r="D311" s="382"/>
      <c r="E311" s="383" t="s">
        <v>89</v>
      </c>
      <c r="F311" s="384">
        <v>267828</v>
      </c>
      <c r="G311" s="289">
        <v>-0.16825668927480064</v>
      </c>
      <c r="H311" s="385" t="s">
        <v>108</v>
      </c>
      <c r="I311" s="385"/>
      <c r="J311" s="385"/>
      <c r="K311" s="385"/>
      <c r="L311" s="386"/>
      <c r="M311" s="265" t="s">
        <v>110</v>
      </c>
    </row>
    <row r="312" spans="3:18" ht="45.75" customHeight="1" thickTop="1" thickBot="1" x14ac:dyDescent="0.25">
      <c r="C312" s="387"/>
      <c r="D312" s="388"/>
      <c r="E312" s="389" t="s">
        <v>90</v>
      </c>
      <c r="F312" s="390">
        <v>137</v>
      </c>
      <c r="G312" s="391">
        <v>-0.12738853503184711</v>
      </c>
      <c r="H312" s="392" t="s">
        <v>109</v>
      </c>
      <c r="I312" s="392"/>
      <c r="J312" s="392"/>
      <c r="K312" s="392"/>
      <c r="L312" s="393"/>
      <c r="M312" s="394"/>
    </row>
    <row r="314" spans="3:18" ht="29.25" customHeight="1" x14ac:dyDescent="0.2"/>
    <row r="315" spans="3:18" ht="18" customHeight="1" x14ac:dyDescent="0.2">
      <c r="C315" s="395" t="s">
        <v>91</v>
      </c>
      <c r="D315" s="395"/>
      <c r="E315" s="395"/>
      <c r="F315" s="395"/>
      <c r="G315" s="395"/>
      <c r="H315" s="395"/>
      <c r="I315" s="395"/>
      <c r="J315" s="395"/>
      <c r="K315" s="395"/>
      <c r="L315" s="395"/>
      <c r="M315" s="395"/>
    </row>
    <row r="317" spans="3:18" ht="6.75" customHeight="1" x14ac:dyDescent="0.2"/>
    <row r="319" spans="3:18" ht="8.25" customHeight="1" x14ac:dyDescent="0.2"/>
    <row r="322" spans="5:6" x14ac:dyDescent="0.2">
      <c r="E322" s="396"/>
      <c r="F322" s="396"/>
    </row>
    <row r="323" spans="5:6" x14ac:dyDescent="0.2">
      <c r="E323" s="396"/>
      <c r="F323" s="396"/>
    </row>
    <row r="326" spans="5:6" ht="21.75" customHeight="1" x14ac:dyDescent="0.2"/>
    <row r="328" spans="5:6" ht="6" customHeight="1" x14ac:dyDescent="0.2"/>
  </sheetData>
  <mergeCells count="162">
    <mergeCell ref="C315:M315"/>
    <mergeCell ref="C305:D307"/>
    <mergeCell ref="H305:L305"/>
    <mergeCell ref="H306:L306"/>
    <mergeCell ref="H307:L307"/>
    <mergeCell ref="C309:M309"/>
    <mergeCell ref="C311:D312"/>
    <mergeCell ref="H311:L311"/>
    <mergeCell ref="M311:M312"/>
    <mergeCell ref="H312:L312"/>
    <mergeCell ref="H299:L299"/>
    <mergeCell ref="H300:L300"/>
    <mergeCell ref="H301:L301"/>
    <mergeCell ref="C302:D304"/>
    <mergeCell ref="H302:L302"/>
    <mergeCell ref="H303:L303"/>
    <mergeCell ref="H304:L304"/>
    <mergeCell ref="E290:K290"/>
    <mergeCell ref="C292:M292"/>
    <mergeCell ref="C294:D296"/>
    <mergeCell ref="H294:L294"/>
    <mergeCell ref="M294:M307"/>
    <mergeCell ref="H295:L295"/>
    <mergeCell ref="H296:L296"/>
    <mergeCell ref="C297:D298"/>
    <mergeCell ref="H297:L298"/>
    <mergeCell ref="C299:D301"/>
    <mergeCell ref="G279:L279"/>
    <mergeCell ref="C281:M281"/>
    <mergeCell ref="C283:D287"/>
    <mergeCell ref="H283:L283"/>
    <mergeCell ref="M283:M287"/>
    <mergeCell ref="H284:L284"/>
    <mergeCell ref="H285:L285"/>
    <mergeCell ref="H286:L286"/>
    <mergeCell ref="H287:L287"/>
    <mergeCell ref="C272:M272"/>
    <mergeCell ref="C274:C279"/>
    <mergeCell ref="D274:D276"/>
    <mergeCell ref="G274:L274"/>
    <mergeCell ref="M274:M279"/>
    <mergeCell ref="G275:L275"/>
    <mergeCell ref="G276:L276"/>
    <mergeCell ref="D277:D279"/>
    <mergeCell ref="G277:L277"/>
    <mergeCell ref="G278:L278"/>
    <mergeCell ref="E238:K238"/>
    <mergeCell ref="C240:M240"/>
    <mergeCell ref="D242:E242"/>
    <mergeCell ref="F242:G242"/>
    <mergeCell ref="H242:I242"/>
    <mergeCell ref="J242:K242"/>
    <mergeCell ref="L242:M242"/>
    <mergeCell ref="P184:Q184"/>
    <mergeCell ref="C210:Q210"/>
    <mergeCell ref="C211:Q211"/>
    <mergeCell ref="D212:E212"/>
    <mergeCell ref="F212:G212"/>
    <mergeCell ref="H212:I212"/>
    <mergeCell ref="J212:K212"/>
    <mergeCell ref="L212:M212"/>
    <mergeCell ref="N212:O212"/>
    <mergeCell ref="P212:Q212"/>
    <mergeCell ref="C179:M179"/>
    <mergeCell ref="E180:K180"/>
    <mergeCell ref="C182:Q182"/>
    <mergeCell ref="C183:Q183"/>
    <mergeCell ref="D184:E184"/>
    <mergeCell ref="F184:G184"/>
    <mergeCell ref="H184:I184"/>
    <mergeCell ref="J184:K184"/>
    <mergeCell ref="L184:M184"/>
    <mergeCell ref="N184:O184"/>
    <mergeCell ref="C147:M147"/>
    <mergeCell ref="G148:I148"/>
    <mergeCell ref="D150:E150"/>
    <mergeCell ref="F150:G150"/>
    <mergeCell ref="H150:I150"/>
    <mergeCell ref="J150:K150"/>
    <mergeCell ref="L150:M150"/>
    <mergeCell ref="C112:M112"/>
    <mergeCell ref="E113:K113"/>
    <mergeCell ref="C115:M115"/>
    <mergeCell ref="G116:I116"/>
    <mergeCell ref="D118:E118"/>
    <mergeCell ref="F118:G118"/>
    <mergeCell ref="H118:I118"/>
    <mergeCell ref="J118:K118"/>
    <mergeCell ref="L118:M118"/>
    <mergeCell ref="C96:M96"/>
    <mergeCell ref="C98:D102"/>
    <mergeCell ref="I98:I102"/>
    <mergeCell ref="M98:M102"/>
    <mergeCell ref="C104:M104"/>
    <mergeCell ref="C106:D110"/>
    <mergeCell ref="I106:I110"/>
    <mergeCell ref="M106:M110"/>
    <mergeCell ref="C82:D86"/>
    <mergeCell ref="I82:I86"/>
    <mergeCell ref="M82:M86"/>
    <mergeCell ref="C88:M88"/>
    <mergeCell ref="C90:D94"/>
    <mergeCell ref="I90:I94"/>
    <mergeCell ref="M90:M94"/>
    <mergeCell ref="I70:I72"/>
    <mergeCell ref="C73:D75"/>
    <mergeCell ref="I73:I75"/>
    <mergeCell ref="C76:D78"/>
    <mergeCell ref="I76:I78"/>
    <mergeCell ref="C80:M80"/>
    <mergeCell ref="C59:G60"/>
    <mergeCell ref="I59:M60"/>
    <mergeCell ref="C61:D61"/>
    <mergeCell ref="C63:M63"/>
    <mergeCell ref="C65:D67"/>
    <mergeCell ref="I65:I67"/>
    <mergeCell ref="M65:M78"/>
    <mergeCell ref="C68:D69"/>
    <mergeCell ref="I68:I69"/>
    <mergeCell ref="C70:D72"/>
    <mergeCell ref="C51:D53"/>
    <mergeCell ref="I51:I53"/>
    <mergeCell ref="C54:D56"/>
    <mergeCell ref="I54:I56"/>
    <mergeCell ref="C57:M57"/>
    <mergeCell ref="E58:K58"/>
    <mergeCell ref="C37:D39"/>
    <mergeCell ref="I37:I39"/>
    <mergeCell ref="C41:M41"/>
    <mergeCell ref="C43:D45"/>
    <mergeCell ref="I43:I45"/>
    <mergeCell ref="M43:M56"/>
    <mergeCell ref="C46:D47"/>
    <mergeCell ref="I46:I47"/>
    <mergeCell ref="C48:D50"/>
    <mergeCell ref="I48:I50"/>
    <mergeCell ref="C24:M24"/>
    <mergeCell ref="C26:D28"/>
    <mergeCell ref="I26:I28"/>
    <mergeCell ref="M26:M39"/>
    <mergeCell ref="C29:D30"/>
    <mergeCell ref="I29:I30"/>
    <mergeCell ref="C31:D33"/>
    <mergeCell ref="I31:I33"/>
    <mergeCell ref="C34:D36"/>
    <mergeCell ref="I34:I36"/>
    <mergeCell ref="C14:D16"/>
    <mergeCell ref="I14:I16"/>
    <mergeCell ref="C17:D19"/>
    <mergeCell ref="I17:I19"/>
    <mergeCell ref="C20:D22"/>
    <mergeCell ref="I20:I22"/>
    <mergeCell ref="E1:K1"/>
    <mergeCell ref="C2:G3"/>
    <mergeCell ref="I2:M3"/>
    <mergeCell ref="C5:D5"/>
    <mergeCell ref="C7:M7"/>
    <mergeCell ref="C9:D11"/>
    <mergeCell ref="I9:I11"/>
    <mergeCell ref="M9:M22"/>
    <mergeCell ref="C12:D13"/>
    <mergeCell ref="I12:I13"/>
  </mergeCells>
  <conditionalFormatting sqref="D186:D208 F186:F208 H186:H208 J186:J208 L186:L208 N186:N208 D214:D236 F214:F236 H214:H236 J214:J236 L214:L236 N214:N236 P186:P208 P214:P236 G9:G10 G12:G22">
    <cfRule type="cellIs" dxfId="119" priority="118" stopIfTrue="1" operator="greaterThan">
      <formula>0</formula>
    </cfRule>
    <cfRule type="cellIs" dxfId="118" priority="119" stopIfTrue="1" operator="lessThan">
      <formula>0</formula>
    </cfRule>
    <cfRule type="cellIs" dxfId="117" priority="120" stopIfTrue="1" operator="equal">
      <formula>0</formula>
    </cfRule>
  </conditionalFormatting>
  <conditionalFormatting sqref="G9:G10 G12:G22">
    <cfRule type="cellIs" dxfId="116" priority="115" operator="equal">
      <formula>0</formula>
    </cfRule>
    <cfRule type="cellIs" dxfId="115" priority="116" operator="lessThan">
      <formula>0</formula>
    </cfRule>
    <cfRule type="cellIs" dxfId="114" priority="117" operator="greaterThan">
      <formula>0</formula>
    </cfRule>
  </conditionalFormatting>
  <conditionalFormatting sqref="G10 G12:G22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10 G12:G22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311:G312 G283:G287 L106:L110 G106:G110 L98:L102 G98:G102 L90:L94 G90:G94 L83:L86 G82:G86 L9:L22">
    <cfRule type="cellIs" dxfId="107" priority="103" operator="equal">
      <formula>0</formula>
    </cfRule>
    <cfRule type="cellIs" dxfId="106" priority="104" operator="lessThan">
      <formula>0</formula>
    </cfRule>
    <cfRule type="cellIs" dxfId="105" priority="105" operator="greaterThan">
      <formula>0</formula>
    </cfRule>
  </conditionalFormatting>
  <conditionalFormatting sqref="G311:G312 G283:G287 L106:L110 G106:G110 L98:L102 G98:G102 L90:L94 G90:G94 L83:L86 G82:G86 L9:L22">
    <cfRule type="cellIs" dxfId="104" priority="106" stopIfTrue="1" operator="greaterThan">
      <formula>0</formula>
    </cfRule>
    <cfRule type="cellIs" dxfId="103" priority="107" stopIfTrue="1" operator="lessThan">
      <formula>0</formula>
    </cfRule>
    <cfRule type="cellIs" dxfId="102" priority="108" stopIfTrue="1" operator="equal">
      <formula>0</formula>
    </cfRule>
  </conditionalFormatting>
  <conditionalFormatting sqref="G26:G27 G29:G39">
    <cfRule type="cellIs" dxfId="101" priority="52" stopIfTrue="1" operator="greaterThan">
      <formula>0</formula>
    </cfRule>
    <cfRule type="cellIs" dxfId="100" priority="53" stopIfTrue="1" operator="lessThan">
      <formula>0</formula>
    </cfRule>
    <cfRule type="cellIs" dxfId="99" priority="54" stopIfTrue="1" operator="equal">
      <formula>0</formula>
    </cfRule>
  </conditionalFormatting>
  <conditionalFormatting sqref="G26:G27 G29:G39">
    <cfRule type="cellIs" dxfId="98" priority="49" operator="equal">
      <formula>0</formula>
    </cfRule>
    <cfRule type="cellIs" dxfId="97" priority="50" operator="lessThan">
      <formula>0</formula>
    </cfRule>
    <cfRule type="cellIs" dxfId="96" priority="51" operator="greaterThan">
      <formula>0</formula>
    </cfRule>
  </conditionalFormatting>
  <conditionalFormatting sqref="G43:G56">
    <cfRule type="cellIs" dxfId="95" priority="94" stopIfTrue="1" operator="greaterThan">
      <formula>0</formula>
    </cfRule>
    <cfRule type="cellIs" dxfId="94" priority="95" stopIfTrue="1" operator="lessThan">
      <formula>0</formula>
    </cfRule>
    <cfRule type="cellIs" dxfId="93" priority="96" stopIfTrue="1" operator="equal">
      <formula>0</formula>
    </cfRule>
  </conditionalFormatting>
  <conditionalFormatting sqref="G43:G56">
    <cfRule type="cellIs" dxfId="92" priority="91" operator="equal">
      <formula>0</formula>
    </cfRule>
    <cfRule type="cellIs" dxfId="91" priority="92" operator="lessThan">
      <formula>0</formula>
    </cfRule>
    <cfRule type="cellIs" dxfId="90" priority="93" operator="greaterThan">
      <formula>0</formula>
    </cfRule>
  </conditionalFormatting>
  <conditionalFormatting sqref="G44:G56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44:G56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L26:L39">
    <cfRule type="cellIs" dxfId="83" priority="97" operator="equal">
      <formula>0</formula>
    </cfRule>
    <cfRule type="cellIs" dxfId="82" priority="98" operator="lessThan">
      <formula>0</formula>
    </cfRule>
    <cfRule type="cellIs" dxfId="81" priority="99" operator="greaterThan">
      <formula>0</formula>
    </cfRule>
  </conditionalFormatting>
  <conditionalFormatting sqref="L26:L39">
    <cfRule type="cellIs" dxfId="80" priority="100" stopIfTrue="1" operator="greaterThan">
      <formula>0</formula>
    </cfRule>
    <cfRule type="cellIs" dxfId="79" priority="101" stopIfTrue="1" operator="lessThan">
      <formula>0</formula>
    </cfRule>
    <cfRule type="cellIs" dxfId="78" priority="102" stopIfTrue="1" operator="equal">
      <formula>0</formula>
    </cfRule>
  </conditionalFormatting>
  <conditionalFormatting sqref="L43:L56">
    <cfRule type="cellIs" dxfId="77" priority="79" operator="equal">
      <formula>0</formula>
    </cfRule>
    <cfRule type="cellIs" dxfId="76" priority="80" operator="lessThan">
      <formula>0</formula>
    </cfRule>
    <cfRule type="cellIs" dxfId="75" priority="81" operator="greaterThan">
      <formula>0</formula>
    </cfRule>
  </conditionalFormatting>
  <conditionalFormatting sqref="L43:L56">
    <cfRule type="cellIs" dxfId="74" priority="82" stopIfTrue="1" operator="greaterThan">
      <formula>0</formula>
    </cfRule>
    <cfRule type="cellIs" dxfId="73" priority="83" stopIfTrue="1" operator="lessThan">
      <formula>0</formula>
    </cfRule>
    <cfRule type="cellIs" dxfId="72" priority="84" stopIfTrue="1" operator="equal">
      <formula>0</formula>
    </cfRule>
  </conditionalFormatting>
  <conditionalFormatting sqref="G65:G78">
    <cfRule type="cellIs" dxfId="71" priority="76" stopIfTrue="1" operator="greaterThan">
      <formula>0</formula>
    </cfRule>
    <cfRule type="cellIs" dxfId="70" priority="77" stopIfTrue="1" operator="lessThan">
      <formula>0</formula>
    </cfRule>
    <cfRule type="cellIs" dxfId="69" priority="78" stopIfTrue="1" operator="equal">
      <formula>0</formula>
    </cfRule>
  </conditionalFormatting>
  <conditionalFormatting sqref="G65:G78">
    <cfRule type="cellIs" dxfId="68" priority="73" operator="equal">
      <formula>0</formula>
    </cfRule>
    <cfRule type="cellIs" dxfId="67" priority="74" operator="lessThan">
      <formula>0</formula>
    </cfRule>
    <cfRule type="cellIs" dxfId="66" priority="75" operator="greaterThan">
      <formula>0</formula>
    </cfRule>
  </conditionalFormatting>
  <conditionalFormatting sqref="G66:G78">
    <cfRule type="cellIs" dxfId="65" priority="70" stopIfTrue="1" operator="greaterThan">
      <formula>0</formula>
    </cfRule>
    <cfRule type="cellIs" dxfId="64" priority="71" stopIfTrue="1" operator="lessThan">
      <formula>0</formula>
    </cfRule>
    <cfRule type="cellIs" dxfId="63" priority="72" stopIfTrue="1" operator="equal">
      <formula>0</formula>
    </cfRule>
  </conditionalFormatting>
  <conditionalFormatting sqref="G66:G78">
    <cfRule type="cellIs" dxfId="62" priority="67" operator="equal">
      <formula>0</formula>
    </cfRule>
    <cfRule type="cellIs" dxfId="61" priority="68" operator="lessThan">
      <formula>0</formula>
    </cfRule>
    <cfRule type="cellIs" dxfId="60" priority="69" operator="greaterThan">
      <formula>0</formula>
    </cfRule>
  </conditionalFormatting>
  <conditionalFormatting sqref="L65:L78">
    <cfRule type="cellIs" dxfId="59" priority="61" operator="equal">
      <formula>0</formula>
    </cfRule>
    <cfRule type="cellIs" dxfId="58" priority="62" operator="lessThan">
      <formula>0</formula>
    </cfRule>
    <cfRule type="cellIs" dxfId="57" priority="63" operator="greaterThan">
      <formula>0</formula>
    </cfRule>
  </conditionalFormatting>
  <conditionalFormatting sqref="L65:L78">
    <cfRule type="cellIs" dxfId="56" priority="64" stopIfTrue="1" operator="greaterThan">
      <formula>0</formula>
    </cfRule>
    <cfRule type="cellIs" dxfId="55" priority="65" stopIfTrue="1" operator="lessThan">
      <formula>0</formula>
    </cfRule>
    <cfRule type="cellIs" dxfId="54" priority="66" stopIfTrue="1" operator="equal">
      <formula>0</formula>
    </cfRule>
  </conditionalFormatting>
  <conditionalFormatting sqref="G11">
    <cfRule type="cellIs" dxfId="53" priority="58" stopIfTrue="1" operator="greaterThan">
      <formula>0</formula>
    </cfRule>
    <cfRule type="cellIs" dxfId="52" priority="59" stopIfTrue="1" operator="lessThan">
      <formula>0</formula>
    </cfRule>
    <cfRule type="cellIs" dxfId="51" priority="60" stopIfTrue="1" operator="equal">
      <formula>0</formula>
    </cfRule>
  </conditionalFormatting>
  <conditionalFormatting sqref="G11">
    <cfRule type="cellIs" dxfId="50" priority="55" operator="equal">
      <formula>0</formula>
    </cfRule>
    <cfRule type="cellIs" dxfId="49" priority="56" operator="lessThan">
      <formula>0</formula>
    </cfRule>
    <cfRule type="cellIs" dxfId="48" priority="57" operator="greaterThan">
      <formula>0</formula>
    </cfRule>
  </conditionalFormatting>
  <conditionalFormatting sqref="G27 G29:G39">
    <cfRule type="cellIs" dxfId="47" priority="46" stopIfTrue="1" operator="greaterThan">
      <formula>0</formula>
    </cfRule>
    <cfRule type="cellIs" dxfId="46" priority="47" stopIfTrue="1" operator="lessThan">
      <formula>0</formula>
    </cfRule>
    <cfRule type="cellIs" dxfId="45" priority="48" stopIfTrue="1" operator="equal">
      <formula>0</formula>
    </cfRule>
  </conditionalFormatting>
  <conditionalFormatting sqref="G27 G29:G39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G28">
    <cfRule type="cellIs" dxfId="41" priority="40" stopIfTrue="1" operator="greaterThan">
      <formula>0</formula>
    </cfRule>
    <cfRule type="cellIs" dxfId="40" priority="41" stopIfTrue="1" operator="lessThan">
      <formula>0</formula>
    </cfRule>
    <cfRule type="cellIs" dxfId="39" priority="42" stopIfTrue="1" operator="equal">
      <formula>0</formula>
    </cfRule>
  </conditionalFormatting>
  <conditionalFormatting sqref="G28">
    <cfRule type="cellIs" dxfId="38" priority="37" operator="equal">
      <formula>0</formula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E120:E145">
    <cfRule type="cellIs" dxfId="35" priority="31" operator="equal">
      <formula>0</formula>
    </cfRule>
    <cfRule type="cellIs" dxfId="34" priority="32" operator="lessThan">
      <formula>0</formula>
    </cfRule>
    <cfRule type="cellIs" dxfId="33" priority="33" operator="greaterThan">
      <formula>0</formula>
    </cfRule>
  </conditionalFormatting>
  <conditionalFormatting sqref="E120:E145">
    <cfRule type="cellIs" dxfId="32" priority="34" stopIfTrue="1" operator="greaterThan">
      <formula>0</formula>
    </cfRule>
    <cfRule type="cellIs" dxfId="31" priority="35" stopIfTrue="1" operator="lessThan">
      <formula>0</formula>
    </cfRule>
    <cfRule type="cellIs" dxfId="30" priority="36" stopIfTrue="1" operator="equal">
      <formula>0</formula>
    </cfRule>
  </conditionalFormatting>
  <conditionalFormatting sqref="G120:G145 I120:I145 K120:K145 M120:M145">
    <cfRule type="cellIs" dxfId="29" priority="25" operator="equal">
      <formula>0</formula>
    </cfRule>
    <cfRule type="cellIs" dxfId="28" priority="26" operator="lessThan">
      <formula>0</formula>
    </cfRule>
    <cfRule type="cellIs" dxfId="27" priority="27" operator="greaterThan">
      <formula>0</formula>
    </cfRule>
  </conditionalFormatting>
  <conditionalFormatting sqref="G120:G145 I120:I145 K120:K145 M120:M145">
    <cfRule type="cellIs" dxfId="26" priority="28" stopIfTrue="1" operator="greaterThan">
      <formula>0</formula>
    </cfRule>
    <cfRule type="cellIs" dxfId="25" priority="29" stopIfTrue="1" operator="lessThan">
      <formula>0</formula>
    </cfRule>
    <cfRule type="cellIs" dxfId="24" priority="30" stopIfTrue="1" operator="equal">
      <formula>0</formula>
    </cfRule>
  </conditionalFormatting>
  <conditionalFormatting sqref="E152:E177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E152:E177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152:G177 I152:I177 K152:K177 M152:M177">
    <cfRule type="cellIs" dxfId="17" priority="13" operator="equal">
      <formula>0</formula>
    </cfRule>
    <cfRule type="cellIs" dxfId="16" priority="14" operator="lessThan">
      <formula>0</formula>
    </cfRule>
    <cfRule type="cellIs" dxfId="15" priority="15" operator="greaterThan">
      <formula>0</formula>
    </cfRule>
  </conditionalFormatting>
  <conditionalFormatting sqref="G152:G177 I152:I177 K152:K177 M152:M177">
    <cfRule type="cellIs" dxfId="14" priority="16" stopIfTrue="1" operator="greaterThan">
      <formula>0</formula>
    </cfRule>
    <cfRule type="cellIs" dxfId="13" priority="17" stopIfTrue="1" operator="lessThan">
      <formula>0</formula>
    </cfRule>
    <cfRule type="cellIs" dxfId="12" priority="18" stopIfTrue="1" operator="equal">
      <formula>0</formula>
    </cfRule>
  </conditionalFormatting>
  <conditionalFormatting sqref="L82">
    <cfRule type="cellIs" dxfId="11" priority="7" operator="equal">
      <formula>0</formula>
    </cfRule>
    <cfRule type="cellIs" dxfId="10" priority="8" operator="lessThan">
      <formula>0</formula>
    </cfRule>
    <cfRule type="cellIs" dxfId="9" priority="9" operator="greaterThan">
      <formula>0</formula>
    </cfRule>
  </conditionalFormatting>
  <conditionalFormatting sqref="L82">
    <cfRule type="cellIs" dxfId="8" priority="10" stopIfTrue="1" operator="greaterThan">
      <formula>0</formula>
    </cfRule>
    <cfRule type="cellIs" dxfId="7" priority="11" stopIfTrue="1" operator="lessThan">
      <formula>0</formula>
    </cfRule>
    <cfRule type="cellIs" dxfId="6" priority="12" stopIfTrue="1" operator="equal">
      <formula>0</formula>
    </cfRule>
  </conditionalFormatting>
  <conditionalFormatting sqref="G294:G307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G294:G307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57" min="2" max="12" man="1"/>
    <brk id="111" min="2" max="12" man="1"/>
    <brk id="177" min="2" max="12" man="1"/>
    <brk id="288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septiembre</mes>
    <year xmlns="36c86fb7-c3ab-4219-b2b9-06651c03637a">2017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2017-11-08T16:43:55+00:00</PublishingStartDate>
    <_dlc_DocId xmlns="8b099203-c902-4a5b-992f-1f849b15ff82">Q5F7QW3RQ55V-2035-365</_dlc_DocId>
    <_dlc_DocIdUrl xmlns="8b099203-c902-4a5b-992f-1f849b15ff82">
      <Url>http://admin.webtenerife.com/es/investigacion/Situacion-turistica/indicadores-turisticos/_layouts/DocIdRedir.aspx?ID=Q5F7QW3RQ55V-2035-365</Url>
      <Description>Q5F7QW3RQ55V-2035-365</Description>
    </_dlc_DocIdUrl>
    <Pagina xmlns="36c86fb7-c3ab-4219-b2b9-06651c03637a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CED79E-1713-4A83-98DB-A44FDE8DF7BA}"/>
</file>

<file path=customXml/itemProps2.xml><?xml version="1.0" encoding="utf-8"?>
<ds:datastoreItem xmlns:ds="http://schemas.openxmlformats.org/officeDocument/2006/customXml" ds:itemID="{C3667D77-3B99-468A-8FCB-6A4D7C84A026}"/>
</file>

<file path=customXml/itemProps3.xml><?xml version="1.0" encoding="utf-8"?>
<ds:datastoreItem xmlns:ds="http://schemas.openxmlformats.org/officeDocument/2006/customXml" ds:itemID="{6B9F9418-FF81-4718-8DA1-D1CEE1377A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verano</vt:lpstr>
      <vt:lpstr>'Ind turísticos verano'!Área_de_impresión</vt:lpstr>
      <vt:lpstr>'Ind turísticos verano'!Print_Area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(Verano 2017)</dc:title>
  <dc:creator>Alejandro Garcia</dc:creator>
  <cp:lastModifiedBy>Alejandro Garcia</cp:lastModifiedBy>
  <cp:lastPrinted>2017-10-23T08:34:18Z</cp:lastPrinted>
  <dcterms:created xsi:type="dcterms:W3CDTF">2017-10-23T08:32:25Z</dcterms:created>
  <dcterms:modified xsi:type="dcterms:W3CDTF">2017-10-23T08:38:38Z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59ff344c-c4ba-4a5b-be75-c9f765546777</vt:lpwstr>
  </property>
</Properties>
</file>