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I:\INVESTIGACION\BOLETIN ESTADÍSTICO SPET\INDICADORES TURISTICOS DE TENERIFE\2017\"/>
    </mc:Choice>
  </mc:AlternateContent>
  <bookViews>
    <workbookView xWindow="0" yWindow="0" windowWidth="28800" windowHeight="12060"/>
  </bookViews>
  <sheets>
    <sheet name="Ind turísticos (vinculo)" sheetId="1" r:id="rId1"/>
  </sheets>
  <externalReferences>
    <externalReference r:id="rId2"/>
  </externalReferences>
  <definedNames>
    <definedName name="_xlnm.Print_Area" localSheetId="0">'Ind turísticos (vinculo)'!$C$1:$M$319</definedName>
    <definedName name="imagen100">OFFSET('[1]para grafico de camas'!$A$10,'[1]para grafico de camas'!$K$1-1,0)</definedName>
    <definedName name="imagen110">OFFSET('[1]para grafico de camas'!$A$10,'[1]para grafico de camas'!$B$1-1,0)</definedName>
    <definedName name="imagen120">OFFSET('[1]para grafico de camas'!$A$10,'[1]para grafico de camas'!$C$1-1,0)</definedName>
    <definedName name="imagen130">OFFSET('[1]para grafico de camas'!$A$10,'[1]para grafico de camas'!$D$1-1,0)</definedName>
    <definedName name="imagen140">OFFSET('[1]para grafico de camas'!$A$10,'[1]para grafico de camas'!$E$1-1,0)</definedName>
    <definedName name="imagen150">OFFSET('[1]para grafico de camas'!$A$10,'[1]para grafico de camas'!$F$1-1,0)</definedName>
    <definedName name="imagen160">OFFSET('[1]para grafico de camas'!$A$10,'[1]para grafico de camas'!$G$1-1,0)</definedName>
    <definedName name="imagen170">OFFSET('[1]para grafico de camas'!$A$10,'[1]para grafico de camas'!$H$1-1,0)</definedName>
    <definedName name="imagen180">OFFSET('[1]para grafico de camas'!$A$10,'[1]para grafico de camas'!$I$1-1,0)</definedName>
    <definedName name="imagen190">OFFSET('[1]para grafico de camas'!$A$10,'[1]para grafico de camas'!$J$1-1,0)</definedName>
    <definedName name="imagen200">OFFSET('[1]para grafico de camas'!$A$10,'[1]para grafico de camas'!$K$2-1,0)</definedName>
    <definedName name="imagen210">OFFSET('[1]para grafico de camas'!$A$10,'[1]para grafico de camas'!$B$2-1,0)</definedName>
    <definedName name="imagen220">OFFSET('[1]para grafico de camas'!$A$10,'[1]para grafico de camas'!$C$2-1,0)</definedName>
    <definedName name="imagen230">OFFSET('[1]para grafico de camas'!$A$10,'[1]para grafico de camas'!$D$2-1,0)</definedName>
    <definedName name="imagen240">OFFSET('[1]para grafico de camas'!$A$10,'[1]para grafico de camas'!$E$2-1,0)</definedName>
    <definedName name="imagen250">OFFSET('[1]para grafico de camas'!$A$10,'[1]para grafico de camas'!$F$2-1,0)</definedName>
    <definedName name="imagen260">OFFSET('[1]para grafico de camas'!$A$10,'[1]para grafico de camas'!$G$2-1,0)</definedName>
    <definedName name="imagen270">OFFSET('[1]para grafico de camas'!$A$10,'[1]para grafico de camas'!$H$2-1,0)</definedName>
    <definedName name="imagen280">OFFSET('[1]para grafico de camas'!$A$10,'[1]para grafico de camas'!$I$2-1,0)</definedName>
    <definedName name="imagen290">OFFSET('[1]para grafico de camas'!$A$10,'[1]para grafico de camas'!$J$2-1,0)</definedName>
    <definedName name="imagen300">OFFSET('[1]para grafico de camas'!$A$10,'[1]para grafico de camas'!$K$3-1,0)</definedName>
    <definedName name="imagen310">OFFSET('[1]para grafico de camas'!$A$10,'[1]para grafico de camas'!$B$3-1,0)</definedName>
    <definedName name="imagen320">OFFSET('[1]para grafico de camas'!$A$10,'[1]para grafico de camas'!$C$3-1,0)</definedName>
    <definedName name="imagen330">OFFSET('[1]para grafico de camas'!$A$10,'[1]para grafico de camas'!$D$3-1,0)</definedName>
    <definedName name="imagen340">OFFSET('[1]para grafico de camas'!$A$10,'[1]para grafico de camas'!$E$3-1,0)</definedName>
    <definedName name="imagen350">OFFSET('[1]para grafico de camas'!$A$10,'[1]para grafico de camas'!$F$3-1,0)</definedName>
    <definedName name="imagen360">OFFSET('[1]para grafico de camas'!$A$10,'[1]para grafico de camas'!$G$3-1,0)</definedName>
    <definedName name="imagen370">OFFSET('[1]para grafico de camas'!$A$10,'[1]para grafico de camas'!$H$3-1,0)</definedName>
    <definedName name="imagen380">OFFSET('[1]para grafico de camas'!$A$10,'[1]para grafico de camas'!$I$3-1,0)</definedName>
    <definedName name="imagen390">OFFSET('[1]para grafico de camas'!$A$10,'[1]para grafico de camas'!$J$3-1,0)</definedName>
    <definedName name="imagen400">OFFSET('[1]para grafico de camas'!$A$10,'[1]para grafico de camas'!$K$4-1,0)</definedName>
    <definedName name="imagen410">OFFSET('[1]para grafico de camas'!$A$10,'[1]para grafico de camas'!$B$4-1,0)</definedName>
    <definedName name="imagen420">OFFSET('[1]para grafico de camas'!$A$10,'[1]para grafico de camas'!$C$4-1,0)</definedName>
    <definedName name="imagen430">OFFSET('[1]para grafico de camas'!$A$10,'[1]para grafico de camas'!$D$4-1,0)</definedName>
    <definedName name="imagen440">OFFSET('[1]para grafico de camas'!$A$10,'[1]para grafico de camas'!$E$4-1,0)</definedName>
    <definedName name="imagen450">OFFSET('[1]para grafico de camas'!$A$10,'[1]para grafico de camas'!$F$4-1,0)</definedName>
    <definedName name="imagen460">OFFSET('[1]para grafico de camas'!$A$10,'[1]para grafico de camas'!$G$4-1,0)</definedName>
    <definedName name="imagen470">OFFSET('[1]para grafico de camas'!$A$10,'[1]para grafico de camas'!$H$4-1,0)</definedName>
    <definedName name="imagen480">OFFSET('[1]para grafico de camas'!$A$10,'[1]para grafico de camas'!$I$4-1,0)</definedName>
    <definedName name="imagen490">OFFSET('[1]para grafico de camas'!$A$10,'[1]para grafico de camas'!$J$4-1,0)</definedName>
    <definedName name="imagen500">OFFSET('[1]para grafico de camas'!$A$10,'[1]para grafico de camas'!$K$5-1,0)</definedName>
    <definedName name="imagen510">OFFSET('[1]para grafico de camas'!$A$10,'[1]para grafico de camas'!$B$5-1,0)</definedName>
    <definedName name="imagen520">OFFSET('[1]para grafico de camas'!$A$10,'[1]para grafico de camas'!$C$5-1,0)</definedName>
    <definedName name="imagen530">OFFSET('[1]para grafico de camas'!$A$10,'[1]para grafico de camas'!$D$5-1,0)</definedName>
    <definedName name="imagen540">OFFSET('[1]para grafico de camas'!$A$10,'[1]para grafico de camas'!$E$5-1,0)</definedName>
    <definedName name="imagen550">OFFSET('[1]para grafico de camas'!$A$10,'[1]para grafico de camas'!$F$5-1,0)</definedName>
    <definedName name="imagen560">OFFSET('[1]para grafico de camas'!$A$10,'[1]para grafico de camas'!$G$5-1,0)</definedName>
    <definedName name="imagen570">OFFSET('[1]para grafico de camas'!$A$10,'[1]para grafico de camas'!$H$5-1,0)</definedName>
    <definedName name="imagen580">OFFSET('[1]para grafico de camas'!$A$10,'[1]para grafico de camas'!$I$5-1,0)</definedName>
    <definedName name="imagen590">OFFSET('[1]para grafico de camas'!$A$10,'[1]para grafico de camas'!$J$5-1,0)</definedName>
    <definedName name="imagen600">OFFSET('[1]para grafico de camas'!$A$10,'[1]para grafico de camas'!$K$6-1,0)</definedName>
    <definedName name="imagen610">OFFSET('[1]para grafico de camas'!$A$10,'[1]para grafico de camas'!$B$6-1,0)</definedName>
    <definedName name="imagen620">OFFSET('[1]para grafico de camas'!$A$10,'[1]para grafico de camas'!$C$6-1,0)</definedName>
    <definedName name="imagen630">OFFSET('[1]para grafico de camas'!$A$10,'[1]para grafico de camas'!$D$6-1,0)</definedName>
    <definedName name="imagen640">OFFSET('[1]para grafico de camas'!$A$10,'[1]para grafico de camas'!$E$6-1,0)</definedName>
    <definedName name="imagen650">OFFSET('[1]para grafico de camas'!$A$10,'[1]para grafico de camas'!$F$6-1,0)</definedName>
    <definedName name="imagen660">OFFSET('[1]para grafico de camas'!$A$10,'[1]para grafico de camas'!$G$6-1,0)</definedName>
    <definedName name="imagen670">OFFSET('[1]para grafico de camas'!$A$10,'[1]para grafico de camas'!$H$6-1,0)</definedName>
    <definedName name="imagen680">OFFSET('[1]para grafico de camas'!$A$10,'[1]para grafico de camas'!$I$6-1,0)</definedName>
    <definedName name="imagen690">OFFSET('[1]para grafico de camas'!$A$10,'[1]para grafico de camas'!$J$6-1,0)</definedName>
    <definedName name="Print_Area" localSheetId="0">'Ind turísticos (vinculo)'!$C$1:$M$321</definedName>
    <definedName name="Z_B161D6A3_44F3_469D_B50D_76D907B3525C_.wvu.Cols" localSheetId="0" hidden="1">'Ind turísticos (vinculo)'!#REF!</definedName>
  </definedNames>
  <calcPr calcId="171027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0" i="1" l="1"/>
  <c r="H309" i="1"/>
  <c r="H308" i="1"/>
  <c r="H307" i="1"/>
  <c r="H304" i="1"/>
  <c r="H301" i="1"/>
  <c r="H299" i="1"/>
  <c r="G283" i="1"/>
  <c r="G282" i="1"/>
  <c r="G281" i="1"/>
  <c r="G280" i="1"/>
  <c r="G279" i="1"/>
  <c r="E242" i="1"/>
  <c r="E294" i="1" s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Q230" i="1"/>
  <c r="P230" i="1"/>
  <c r="O230" i="1"/>
  <c r="N230" i="1"/>
  <c r="M230" i="1"/>
  <c r="K230" i="1"/>
  <c r="J230" i="1"/>
  <c r="I230" i="1"/>
  <c r="H230" i="1"/>
  <c r="G230" i="1"/>
  <c r="F230" i="1"/>
  <c r="E230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5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Q202" i="1"/>
  <c r="P202" i="1"/>
  <c r="O202" i="1"/>
  <c r="N202" i="1"/>
  <c r="M202" i="1"/>
  <c r="K202" i="1"/>
  <c r="J202" i="1"/>
  <c r="I202" i="1"/>
  <c r="H202" i="1"/>
  <c r="G202" i="1"/>
  <c r="F202" i="1"/>
  <c r="E202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87" i="1"/>
  <c r="E184" i="1"/>
  <c r="G152" i="1"/>
  <c r="G120" i="1"/>
  <c r="E117" i="1"/>
  <c r="M64" i="1"/>
  <c r="L64" i="1"/>
  <c r="K64" i="1"/>
  <c r="J64" i="1"/>
  <c r="I64" i="1"/>
  <c r="G64" i="1"/>
  <c r="F64" i="1"/>
  <c r="E64" i="1"/>
  <c r="D64" i="1"/>
  <c r="C64" i="1"/>
  <c r="I62" i="1"/>
</calcChain>
</file>

<file path=xl/sharedStrings.xml><?xml version="1.0" encoding="utf-8"?>
<sst xmlns="http://schemas.openxmlformats.org/spreadsheetml/2006/main" count="586" uniqueCount="112">
  <si>
    <t>Ámbito</t>
  </si>
  <si>
    <t>Variable</t>
  </si>
  <si>
    <t>Valor absoluto
mensual</t>
  </si>
  <si>
    <t>Variación respecto al período anterior</t>
  </si>
  <si>
    <t>Valor absoluto
acumulado</t>
  </si>
  <si>
    <t>Fuente</t>
  </si>
  <si>
    <t>TURISTAS ALOJADOS</t>
  </si>
  <si>
    <t>TENERIFE</t>
  </si>
  <si>
    <t>Total</t>
  </si>
  <si>
    <t>Desarrollo Económico -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</si>
  <si>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</si>
  <si>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</si>
  <si>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</si>
  <si>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</si>
  <si>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</si>
  <si>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</si>
  <si>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</si>
  <si>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</si>
  <si>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</si>
  <si>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</si>
  <si>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</si>
  <si>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</si>
  <si>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</si>
  <si>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</si>
  <si>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</si>
  <si>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</si>
  <si>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STDE Cabildo de Tenerife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</si>
  <si>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</si>
  <si>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</si>
  <si>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</si>
  <si>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</si>
  <si>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</si>
  <si>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</si>
  <si>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</si>
  <si>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Alojados
mes</t>
  </si>
  <si>
    <t>var
interanual</t>
  </si>
  <si>
    <t>España</t>
  </si>
  <si>
    <t>Res. 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</si>
  <si>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</si>
  <si>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</si>
  <si>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</si>
  <si>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</si>
  <si>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</si>
  <si>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</si>
  <si>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</si>
  <si>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</si>
  <si>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</si>
  <si>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</si>
  <si>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</si>
  <si>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</si>
  <si>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</si>
  <si>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</si>
  <si>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</si>
  <si>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</si>
  <si>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</si>
  <si>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</si>
  <si>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</si>
  <si>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</si>
  <si>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</si>
  <si>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</si>
  <si>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</si>
  <si>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</si>
  <si>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Alojados
acumulado</t>
  </si>
  <si>
    <t>total hotelero</t>
  </si>
  <si>
    <t>extrahotelero</t>
  </si>
  <si>
    <t>var
periodo acumulado</t>
  </si>
  <si>
    <t>Alojados
periodo acumulado</t>
  </si>
  <si>
    <t>CUOTAS DE NACIONALIDAD TOTAL Y POR ZONAS, PARA EL MES ACTUAL Y ACUMULADO ANUAL</t>
  </si>
  <si>
    <t>Cuota mes</t>
  </si>
  <si>
    <t>Cuota periodo acumulado</t>
  </si>
  <si>
    <t>Res. 
Tenerife</t>
  </si>
  <si>
    <t xml:space="preserve">GASTO TURÍSTICO </t>
  </si>
  <si>
    <t>Gasto por turista</t>
  </si>
  <si>
    <t>total</t>
  </si>
  <si>
    <t>en origen</t>
  </si>
  <si>
    <t>en destino</t>
  </si>
  <si>
    <t>Gasto por turista y día</t>
  </si>
  <si>
    <t>PLAZAS ALOJATIVAS AUTORIZADAS A FECHA DEL PERÍODO ANALIZADO</t>
  </si>
  <si>
    <t xml:space="preserve">Policía Turística Cabildo de Tenerife
</t>
  </si>
  <si>
    <t>Hotelera</t>
  </si>
  <si>
    <t>Apartamentos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</si>
  <si>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</si>
  <si>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</si>
  <si>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</si>
  <si>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</si>
  <si>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</si>
  <si>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</si>
  <si>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</si>
  <si>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</si>
  <si>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</si>
  <si>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</si>
  <si>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Turismo de Tenerife - Investigación Turística</t>
  </si>
  <si>
    <t>INDICADORES TURÍSTICOS DE TENERIFE definitivo</t>
  </si>
  <si>
    <t>octubre 2017</t>
  </si>
  <si>
    <t>acumulado octubre 2017</t>
  </si>
  <si>
    <t>Muestra hotelera= 93,9%;   Muestra extrahotelera= 65,0%;   Muestra total= 81,8%</t>
  </si>
  <si>
    <t>El gasto medio total por turista en los nueve primeros meses de 2017 ha ascendido a 1.084€ .</t>
  </si>
  <si>
    <t>enero-septiembre 2017 
Encuesta sobre el turista que visita Tenerife, Cabildo de Tenerife</t>
  </si>
  <si>
    <t>El número de plazas autorizadas por Policía Turística a fecha de octubre 2017 asciendían a 138.165 plazas, registrando un incremento del 1,2% respecto al cierre del año 2016.</t>
  </si>
  <si>
    <t>Las plazas hoteleras autorizadas ascienden a 84.115 y representan el 61% del total. Con respecto al año 2016, las plazas hoteleras se reducen un -0,5%.</t>
  </si>
  <si>
    <t>Las plazas extrahoteleras autorizadas, el 38% del total, ascienden a  52.575 (no incluye oferta rural). Aumentan un +4,0% respecto al cierre de 2016.</t>
  </si>
  <si>
    <t>Las plazas de hoteles rurales autorizadas por Policía Turística ascienden a 557, con un incremento del 0,0% respecto a 2016.</t>
  </si>
  <si>
    <t>Las plazas de casas rurales autorizadas por Policía Turística ascienden a 918, registrando un incremento del 1,5% respecto a 2016.</t>
  </si>
  <si>
    <t>Las plazas estimadas por el STDE del Cabildo de Tenerife en el II semestre de 2017 ascienden a 160.825. Se incremantan un 1,6% respecto al mismo período del año anterior.</t>
  </si>
  <si>
    <t>La oferta extrahotelera estimada por el STDE del Cabildo de Tenerife en el II semestre de 2017, asciende a 67.397 plazas, incluyendo oferta rural. Supone el 41,9% del total de las plazas turísticas, registrando un incremento del 2,5%.</t>
  </si>
  <si>
    <t>Las plazas estimadas para la zona de La Laguna, Bajamar, La Punta ascienden a 1.418 en el II semestre de 2017, registrando un incremento respecto al mismo periodo del año anterior del 42,8%.</t>
  </si>
  <si>
    <t>Las plazas extrahoteleras se estiman en 594, registrándose un incremento del 43,1% respecto al II semestre del año anterior.</t>
  </si>
  <si>
    <t>Las plazas totales estimadas para la zona Norte se sitúan en las 28.590 plazas,  registrándose un incremento del 5,6% con respecto al incremento del 43,1% respecto al II semestre del año anterior.</t>
  </si>
  <si>
    <t>Las plazas extrahoteleras estimadas se sitúan en las 57.413 en el II semestre del  2017, con un incremento del 1,8%  respecto al II semestre del año anterior.</t>
  </si>
  <si>
    <t>Por el Puerto de Santa Cruz de Tenerife han pasado en los primeros nueve meses del año 2017, 307.376 cruceristas, un -11,6% menos en comparación al mismo período del año 2016</t>
  </si>
  <si>
    <t>El número de buques de crucero en el Puerto de Santa Cruz de Tenerife hasta septiembre 2017 ascienden a un total de 137 cruceros, cifra que se reduce un -19,4% respecto al mismo período del año anterior.</t>
  </si>
  <si>
    <t>Acumulado septiembre 2017
FUENTE: Autoridad Portuaria de S/C de 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</si>
</sst>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8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6"/>
      <color theme="9" tint="-0.249977111117893"/>
      <name val="Arial"/>
      <family val="2"/>
    </font>
    <font>
      <b/>
      <sz val="9"/>
      <color theme="1" tint="0.499984740745262"/>
      <name val="Arial"/>
      <family val="2"/>
    </font>
    <font>
      <sz val="8"/>
      <color theme="1" tint="0.499984740745262"/>
      <name val="Arial"/>
      <family val="2"/>
    </font>
    <font>
      <i/>
      <sz val="9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45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theme="0" tint="-0.24994659260841701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 tint="-0.24994659260841701"/>
      </left>
      <right style="medium">
        <color indexed="9"/>
      </right>
      <top/>
      <bottom/>
      <diagonal/>
    </border>
    <border>
      <left style="medium">
        <color indexed="9"/>
      </left>
      <right/>
      <top style="medium">
        <color theme="9"/>
      </top>
      <bottom style="medium">
        <color theme="9"/>
      </bottom>
      <diagonal/>
    </border>
    <border>
      <left/>
      <right style="medium">
        <color indexed="9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indexed="9"/>
      </left>
      <right/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medium">
        <color theme="0" tint="-0.24994659260841701"/>
      </top>
      <bottom style="medium">
        <color indexed="9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9"/>
      </right>
      <top style="medium">
        <color theme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theme="0" tint="-0.24994659260841701"/>
      </left>
      <right/>
      <top style="medium">
        <color theme="9"/>
      </top>
      <bottom/>
      <diagonal/>
    </border>
    <border>
      <left/>
      <right style="medium">
        <color theme="0" tint="-0.24994659260841701"/>
      </right>
      <top style="medium">
        <color theme="9"/>
      </top>
      <bottom/>
      <diagonal/>
    </border>
    <border>
      <left style="thick">
        <color theme="0" tint="-0.14990691854609822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rgb="FFECECEC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6795556505021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0691854609822"/>
      </left>
      <right style="thick">
        <color theme="0" tint="-0.14996795556505021"/>
      </right>
      <top/>
      <bottom style="medium">
        <color theme="0" tint="-0.24994659260841701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/>
      <bottom style="medium">
        <color indexed="9"/>
      </bottom>
      <diagonal/>
    </border>
    <border>
      <left style="medium">
        <color theme="0" tint="-0.24994659260841701"/>
      </left>
      <right/>
      <top/>
      <bottom style="thin">
        <color theme="0" tint="-4.9989318521683403E-2"/>
      </bottom>
      <diagonal/>
    </border>
    <border>
      <left/>
      <right style="medium">
        <color theme="0" tint="-0.24994659260841701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/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/>
      <diagonal/>
    </border>
    <border>
      <left/>
      <right style="medium">
        <color theme="0" tint="-0.24994659260841701"/>
      </right>
      <top style="thin">
        <color theme="0" tint="-4.9989318521683403E-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thick">
        <color theme="0" tint="-0.14993743705557422"/>
      </top>
      <bottom/>
      <diagonal/>
    </border>
    <border>
      <left/>
      <right style="medium">
        <color theme="0" tint="-0.24994659260841701"/>
      </right>
      <top style="thick">
        <color theme="0" tint="-0.1499374370555742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9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theme="9"/>
      </top>
      <bottom/>
      <diagonal/>
    </border>
    <border>
      <left style="medium">
        <color rgb="FFECECEC"/>
      </left>
      <right style="thick">
        <color theme="0" tint="-0.14990691854609822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 style="thick">
        <color theme="0" tint="-0.1499679555650502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9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/>
      <top/>
      <bottom/>
      <diagonal/>
    </border>
    <border>
      <left/>
      <right style="thick">
        <color theme="0" tint="-4.9989318521683403E-2"/>
      </right>
      <top/>
      <bottom/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9"/>
      </bottom>
      <diagonal/>
    </border>
    <border>
      <left style="thick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 style="thick">
        <color theme="0" tint="-0.1499069185460982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/>
      <right/>
      <top style="thick">
        <color theme="0" tint="-0.14984588152714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94">
    <xf numFmtId="0" fontId="0" fillId="0" borderId="0" xfId="0"/>
    <xf numFmtId="0" fontId="2" fillId="0" borderId="0" xfId="0" applyFont="1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1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1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1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1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3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3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3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164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5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3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3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3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3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3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7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3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3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1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3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7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3" fontId="10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2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2" fontId="10" fillId="6" borderId="33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5" xfId="0" applyFont="1" applyFill="1" applyBorder="1" applyAlignment="1" applyProtection="1">
      <alignment vertical="center" wrapText="1"/>
      <protection hidden="1"/>
    </xf>
    <xf numFmtId="2" fontId="10" fillId="6" borderId="3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37" xfId="0" applyFont="1" applyFill="1" applyBorder="1" applyAlignment="1" applyProtection="1">
      <alignment horizontal="center" vertical="center" wrapText="1"/>
      <protection hidden="1"/>
    </xf>
    <xf numFmtId="0" fontId="2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164" fontId="9" fillId="5" borderId="1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2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8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41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4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4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vertical="center" wrapText="1"/>
      <protection hidden="1"/>
    </xf>
    <xf numFmtId="4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2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horizontal="center" vertical="center" wrapText="1"/>
      <protection hidden="1"/>
    </xf>
    <xf numFmtId="165" fontId="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14" fillId="0" borderId="44" xfId="0" applyFont="1" applyFill="1" applyBorder="1" applyAlignment="1" applyProtection="1">
      <alignment horizontal="center"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43" xfId="0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 applyAlignment="1" applyProtection="1">
      <alignment vertical="center" wrapText="1"/>
      <protection hidden="1"/>
    </xf>
    <xf numFmtId="0" fontId="6" fillId="4" borderId="49" xfId="0" applyFont="1" applyFill="1" applyBorder="1" applyAlignment="1" applyProtection="1">
      <alignment horizontal="center" vertical="center" wrapText="1"/>
      <protection hidden="1"/>
    </xf>
    <xf numFmtId="0" fontId="6" fillId="4" borderId="50" xfId="0" applyFont="1" applyFill="1" applyBorder="1" applyAlignment="1" applyProtection="1">
      <alignment horizontal="center" vertical="center" wrapText="1"/>
      <protection hidden="1"/>
    </xf>
    <xf numFmtId="0" fontId="2" fillId="4" borderId="51" xfId="0" applyFont="1" applyFill="1" applyBorder="1" applyAlignment="1" applyProtection="1">
      <alignment vertical="center" wrapText="1"/>
      <protection hidden="1"/>
    </xf>
    <xf numFmtId="0" fontId="5" fillId="4" borderId="52" xfId="0" applyFont="1" applyFill="1" applyBorder="1" applyAlignment="1" applyProtection="1">
      <alignment horizontal="center" vertical="center" wrapText="1"/>
      <protection hidden="1"/>
    </xf>
    <xf numFmtId="0" fontId="5" fillId="4" borderId="53" xfId="0" applyFont="1" applyFill="1" applyBorder="1" applyAlignment="1" applyProtection="1">
      <alignment horizontal="center" vertical="center" wrapText="1"/>
      <protection hidden="1"/>
    </xf>
    <xf numFmtId="0" fontId="6" fillId="0" borderId="54" xfId="0" applyFont="1" applyFill="1" applyBorder="1" applyAlignment="1" applyProtection="1">
      <alignment horizontal="left" vertical="center" wrapText="1"/>
      <protection hidden="1"/>
    </xf>
    <xf numFmtId="3" fontId="10" fillId="0" borderId="55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7" xfId="0" applyFont="1" applyFill="1" applyBorder="1" applyAlignment="1" applyProtection="1">
      <alignment horizontal="right" vertical="center" wrapText="1"/>
      <protection hidden="1"/>
    </xf>
    <xf numFmtId="3" fontId="10" fillId="0" borderId="58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0" xfId="0" applyFont="1" applyFill="1" applyBorder="1" applyAlignment="1" applyProtection="1">
      <alignment horizontal="right" vertical="center" wrapText="1"/>
      <protection hidden="1"/>
    </xf>
    <xf numFmtId="3" fontId="10" fillId="0" borderId="61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2" xfId="1" applyNumberFormat="1" applyFont="1" applyFill="1" applyBorder="1" applyAlignment="1" applyProtection="1">
      <alignment horizontal="center" vertical="center" wrapText="1"/>
      <protection hidden="1"/>
    </xf>
    <xf numFmtId="3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3" fontId="10" fillId="7" borderId="61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0" xfId="0" applyFont="1" applyFill="1" applyBorder="1" applyAlignment="1" applyProtection="1">
      <alignment horizontal="left" vertical="center" wrapText="1"/>
      <protection hidden="1"/>
    </xf>
    <xf numFmtId="3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10" fillId="0" borderId="63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4" xfId="1" applyNumberFormat="1" applyFont="1" applyFill="1" applyBorder="1" applyAlignment="1" applyProtection="1">
      <alignment horizontal="center" vertical="center" wrapText="1"/>
      <protection hidden="1"/>
    </xf>
    <xf numFmtId="3" fontId="6" fillId="4" borderId="65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66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7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68" xfId="0" applyFont="1" applyFill="1" applyBorder="1" applyAlignment="1" applyProtection="1">
      <alignment horizontal="left" vertical="center" wrapText="1"/>
      <protection hidden="1"/>
    </xf>
    <xf numFmtId="3" fontId="9" fillId="5" borderId="69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7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6" fillId="8" borderId="71" xfId="0" applyFont="1" applyFill="1" applyBorder="1" applyAlignment="1" applyProtection="1">
      <alignment horizontal="center" vertical="center" wrapText="1"/>
      <protection hidden="1"/>
    </xf>
    <xf numFmtId="0" fontId="6" fillId="8" borderId="72" xfId="0" applyFont="1" applyFill="1" applyBorder="1" applyAlignment="1" applyProtection="1">
      <alignment horizontal="center" vertical="center" wrapText="1"/>
      <protection hidden="1"/>
    </xf>
    <xf numFmtId="0" fontId="6" fillId="8" borderId="73" xfId="0" applyFont="1" applyFill="1" applyBorder="1" applyAlignment="1" applyProtection="1">
      <alignment horizontal="center" vertical="center" wrapText="1"/>
      <protection hidden="1"/>
    </xf>
    <xf numFmtId="0" fontId="6" fillId="8" borderId="8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17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7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vertical="center" wrapText="1"/>
      <protection hidden="1"/>
    </xf>
    <xf numFmtId="0" fontId="16" fillId="5" borderId="74" xfId="0" applyFont="1" applyFill="1" applyBorder="1" applyAlignment="1" applyProtection="1">
      <alignment horizontal="center" vertical="center"/>
      <protection hidden="1"/>
    </xf>
    <xf numFmtId="0" fontId="16" fillId="5" borderId="75" xfId="0" applyFont="1" applyFill="1" applyBorder="1" applyAlignment="1" applyProtection="1">
      <alignment horizontal="center" vertical="center"/>
      <protection hidden="1"/>
    </xf>
    <xf numFmtId="0" fontId="17" fillId="8" borderId="76" xfId="0" applyFont="1" applyFill="1" applyBorder="1" applyAlignment="1" applyProtection="1">
      <alignment horizontal="center" vertical="center" wrapText="1"/>
      <protection hidden="1"/>
    </xf>
    <xf numFmtId="0" fontId="13" fillId="9" borderId="77" xfId="0" applyFont="1" applyFill="1" applyBorder="1" applyAlignment="1" applyProtection="1">
      <alignment horizontal="center" vertical="center" wrapText="1"/>
      <protection hidden="1"/>
    </xf>
    <xf numFmtId="10" fontId="6" fillId="0" borderId="77" xfId="1" applyNumberFormat="1" applyFont="1" applyBorder="1" applyAlignment="1" applyProtection="1">
      <alignment horizontal="center" vertical="center" wrapText="1"/>
      <protection hidden="1"/>
    </xf>
    <xf numFmtId="3" fontId="6" fillId="9" borderId="77" xfId="0" applyNumberFormat="1" applyFont="1" applyFill="1" applyBorder="1" applyAlignment="1" applyProtection="1">
      <alignment horizontal="center" vertical="center" wrapText="1"/>
      <protection hidden="1"/>
    </xf>
    <xf numFmtId="0" fontId="18" fillId="9" borderId="77" xfId="0" applyFont="1" applyFill="1" applyBorder="1" applyAlignment="1" applyProtection="1">
      <alignment horizontal="right" vertical="center" wrapText="1"/>
      <protection hidden="1"/>
    </xf>
    <xf numFmtId="3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3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75" xfId="0" applyFont="1" applyFill="1" applyBorder="1" applyAlignment="1" applyProtection="1">
      <alignment horizontal="center" vertical="center" wrapText="1"/>
      <protection hidden="1"/>
    </xf>
    <xf numFmtId="0" fontId="6" fillId="0" borderId="43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14" fillId="0" borderId="78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42" xfId="0" applyFont="1" applyFill="1" applyBorder="1" applyAlignment="1" applyProtection="1">
      <alignment horizontal="center" vertical="center" wrapText="1"/>
      <protection hidden="1"/>
    </xf>
    <xf numFmtId="0" fontId="6" fillId="4" borderId="79" xfId="0" applyFont="1" applyFill="1" applyBorder="1" applyAlignment="1" applyProtection="1">
      <alignment horizontal="center" vertical="center" wrapText="1"/>
      <protection hidden="1"/>
    </xf>
    <xf numFmtId="0" fontId="5" fillId="4" borderId="80" xfId="0" applyFont="1" applyFill="1" applyBorder="1" applyAlignment="1" applyProtection="1">
      <alignment horizontal="center" vertical="center" wrapText="1"/>
      <protection hidden="1"/>
    </xf>
    <xf numFmtId="0" fontId="5" fillId="4" borderId="81" xfId="0" applyFont="1" applyFill="1" applyBorder="1" applyAlignment="1" applyProtection="1">
      <alignment horizontal="center" vertical="center" wrapText="1"/>
      <protection hidden="1"/>
    </xf>
    <xf numFmtId="0" fontId="5" fillId="4" borderId="82" xfId="0" applyFont="1" applyFill="1" applyBorder="1" applyAlignment="1" applyProtection="1">
      <alignment horizontal="center" vertical="center" wrapText="1"/>
      <protection hidden="1"/>
    </xf>
    <xf numFmtId="164" fontId="10" fillId="0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5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right" vertical="center" wrapText="1"/>
      <protection hidden="1"/>
    </xf>
    <xf numFmtId="164" fontId="10" fillId="0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8" xfId="0" applyNumberFormat="1" applyFont="1" applyFill="1" applyBorder="1" applyAlignment="1" applyProtection="1">
      <alignment horizontal="center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8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left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6" fillId="7" borderId="54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5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68" xfId="0" applyNumberFormat="1" applyFont="1" applyFill="1" applyBorder="1" applyAlignment="1" applyProtection="1">
      <alignment horizontal="left" vertical="center" wrapText="1"/>
      <protection hidden="1"/>
    </xf>
    <xf numFmtId="164" fontId="9" fillId="5" borderId="8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90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9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0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2" fillId="0" borderId="92" xfId="0" applyFont="1" applyFill="1" applyBorder="1" applyAlignment="1" applyProtection="1">
      <alignment horizontal="center" vertical="center" wrapText="1"/>
      <protection hidden="1"/>
    </xf>
    <xf numFmtId="0" fontId="12" fillId="7" borderId="93" xfId="0" applyFont="1" applyFill="1" applyBorder="1" applyAlignment="1" applyProtection="1">
      <alignment horizontal="center" vertical="center" wrapText="1"/>
      <protection hidden="1"/>
    </xf>
    <xf numFmtId="0" fontId="12" fillId="7" borderId="94" xfId="0" applyFont="1" applyFill="1" applyBorder="1" applyAlignment="1" applyProtection="1">
      <alignment horizontal="center" vertical="center" wrapText="1"/>
      <protection hidden="1"/>
    </xf>
    <xf numFmtId="3" fontId="10" fillId="7" borderId="94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95" xfId="0" applyFont="1" applyFill="1" applyBorder="1" applyAlignment="1" applyProtection="1">
      <alignment horizontal="left" vertical="center" wrapText="1"/>
      <protection hidden="1"/>
    </xf>
    <xf numFmtId="0" fontId="2" fillId="7" borderId="0" xfId="0" applyFont="1" applyFill="1" applyBorder="1" applyAlignment="1" applyProtection="1">
      <alignment horizontal="left" vertical="center" wrapText="1"/>
      <protection hidden="1"/>
    </xf>
    <xf numFmtId="0" fontId="2" fillId="7" borderId="96" xfId="0" applyFont="1" applyFill="1" applyBorder="1" applyAlignment="1" applyProtection="1">
      <alignment horizontal="left" vertical="center" wrapText="1"/>
      <protection hidden="1"/>
    </xf>
    <xf numFmtId="0" fontId="12" fillId="0" borderId="97" xfId="0" applyFont="1" applyFill="1" applyBorder="1" applyAlignment="1" applyProtection="1">
      <alignment horizontal="center" vertical="center" wrapText="1"/>
      <protection hidden="1"/>
    </xf>
    <xf numFmtId="0" fontId="12" fillId="7" borderId="98" xfId="0" applyFont="1" applyFill="1" applyBorder="1" applyAlignment="1" applyProtection="1">
      <alignment horizontal="center" vertical="center" wrapText="1"/>
      <protection hidden="1"/>
    </xf>
    <xf numFmtId="0" fontId="12" fillId="7" borderId="99" xfId="0" applyFont="1" applyFill="1" applyBorder="1" applyAlignment="1" applyProtection="1">
      <alignment horizontal="center" vertical="center" wrapText="1"/>
      <protection hidden="1"/>
    </xf>
    <xf numFmtId="3" fontId="10" fillId="7" borderId="9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00" xfId="0" applyFont="1" applyFill="1" applyBorder="1" applyAlignment="1" applyProtection="1">
      <alignment horizontal="center" vertical="center" wrapText="1"/>
      <protection hidden="1"/>
    </xf>
    <xf numFmtId="0" fontId="12" fillId="7" borderId="101" xfId="0" applyFont="1" applyFill="1" applyBorder="1" applyAlignment="1" applyProtection="1">
      <alignment horizontal="center" vertical="center" wrapText="1"/>
      <protection hidden="1"/>
    </xf>
    <xf numFmtId="3" fontId="10" fillId="7" borderId="101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2" xfId="0" applyFont="1" applyFill="1" applyBorder="1" applyAlignment="1" applyProtection="1">
      <alignment horizontal="center" vertical="center" wrapText="1"/>
      <protection hidden="1"/>
    </xf>
    <xf numFmtId="0" fontId="12" fillId="0" borderId="103" xfId="0" applyFont="1" applyFill="1" applyBorder="1" applyAlignment="1" applyProtection="1">
      <alignment horizontal="center" vertical="center" wrapText="1"/>
      <protection hidden="1"/>
    </xf>
    <xf numFmtId="3" fontId="10" fillId="0" borderId="10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5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96" xfId="0" applyFont="1" applyFill="1" applyBorder="1" applyAlignment="1" applyProtection="1">
      <alignment horizontal="left" vertical="center" wrapText="1"/>
      <protection hidden="1"/>
    </xf>
    <xf numFmtId="0" fontId="12" fillId="0" borderId="98" xfId="0" applyFont="1" applyFill="1" applyBorder="1" applyAlignment="1" applyProtection="1">
      <alignment horizontal="center" vertical="center" wrapText="1"/>
      <protection hidden="1"/>
    </xf>
    <xf numFmtId="0" fontId="12" fillId="0" borderId="99" xfId="0" applyFont="1" applyFill="1" applyBorder="1" applyAlignment="1" applyProtection="1">
      <alignment horizontal="center" vertical="center" wrapText="1"/>
      <protection hidden="1"/>
    </xf>
    <xf numFmtId="3" fontId="10" fillId="0" borderId="99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4" xfId="0" applyFont="1" applyFill="1" applyBorder="1" applyAlignment="1" applyProtection="1">
      <alignment horizontal="center" vertical="center" wrapText="1"/>
      <protection hidden="1"/>
    </xf>
    <xf numFmtId="0" fontId="12" fillId="0" borderId="105" xfId="0" applyFont="1" applyFill="1" applyBorder="1" applyAlignment="1" applyProtection="1">
      <alignment horizontal="center" vertical="center" wrapText="1"/>
      <protection hidden="1"/>
    </xf>
    <xf numFmtId="3" fontId="10" fillId="0" borderId="105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106" xfId="0" applyFont="1" applyFill="1" applyBorder="1" applyAlignment="1" applyProtection="1">
      <alignment horizontal="center" vertical="center" wrapText="1"/>
      <protection hidden="1"/>
    </xf>
    <xf numFmtId="0" fontId="6" fillId="4" borderId="75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5" borderId="107" xfId="0" applyFont="1" applyFill="1" applyBorder="1" applyAlignment="1" applyProtection="1">
      <alignment horizontal="center" vertical="center" wrapText="1"/>
      <protection hidden="1"/>
    </xf>
    <xf numFmtId="3" fontId="10" fillId="5" borderId="10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8" xfId="1" applyNumberFormat="1" applyFont="1" applyFill="1" applyBorder="1" applyAlignment="1" applyProtection="1">
      <alignment horizontal="center" vertical="center" wrapText="1"/>
      <protection hidden="1"/>
    </xf>
    <xf numFmtId="0" fontId="2" fillId="5" borderId="108" xfId="0" applyFont="1" applyFill="1" applyBorder="1" applyAlignment="1" applyProtection="1">
      <alignment horizontal="left" vertical="center" wrapText="1"/>
      <protection hidden="1"/>
    </xf>
    <xf numFmtId="0" fontId="2" fillId="5" borderId="109" xfId="0" applyFont="1" applyFill="1" applyBorder="1" applyAlignment="1" applyProtection="1">
      <alignment horizontal="left" vertical="center" wrapText="1"/>
      <protection hidden="1"/>
    </xf>
    <xf numFmtId="164" fontId="2" fillId="0" borderId="0" xfId="1" applyNumberFormat="1" applyFont="1"/>
    <xf numFmtId="0" fontId="12" fillId="0" borderId="110" xfId="0" applyFont="1" applyFill="1" applyBorder="1" applyAlignment="1" applyProtection="1">
      <alignment horizontal="center" vertical="center" wrapText="1"/>
      <protection hidden="1"/>
    </xf>
    <xf numFmtId="3" fontId="10" fillId="0" borderId="11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11" xfId="0" applyFont="1" applyFill="1" applyBorder="1" applyAlignment="1" applyProtection="1">
      <alignment horizontal="left" vertical="center" wrapText="1"/>
      <protection hidden="1"/>
    </xf>
    <xf numFmtId="0" fontId="0" fillId="0" borderId="111" xfId="0" applyBorder="1" applyAlignment="1">
      <alignment horizontal="left" vertical="center" wrapText="1"/>
    </xf>
    <xf numFmtId="0" fontId="0" fillId="0" borderId="112" xfId="0" applyBorder="1" applyAlignment="1">
      <alignment horizontal="left" vertical="center" wrapText="1"/>
    </xf>
    <xf numFmtId="164" fontId="13" fillId="0" borderId="0" xfId="1" applyNumberFormat="1" applyFont="1" applyAlignment="1" applyProtection="1">
      <alignment vertical="center" wrapText="1"/>
      <protection hidden="1"/>
    </xf>
    <xf numFmtId="0" fontId="12" fillId="7" borderId="110" xfId="0" applyFont="1" applyFill="1" applyBorder="1" applyAlignment="1" applyProtection="1">
      <alignment horizontal="center" vertical="center" wrapText="1"/>
      <protection hidden="1"/>
    </xf>
    <xf numFmtId="3" fontId="10" fillId="7" borderId="111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11" xfId="0" applyFont="1" applyFill="1" applyBorder="1" applyAlignment="1" applyProtection="1">
      <alignment horizontal="left" vertical="center" wrapText="1"/>
      <protection hidden="1"/>
    </xf>
    <xf numFmtId="0" fontId="12" fillId="7" borderId="113" xfId="0" applyFont="1" applyFill="1" applyBorder="1" applyAlignment="1" applyProtection="1">
      <alignment horizontal="center" vertical="center" wrapText="1"/>
      <protection hidden="1"/>
    </xf>
    <xf numFmtId="3" fontId="10" fillId="7" borderId="11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4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14" xfId="0" applyFont="1" applyFill="1" applyBorder="1" applyAlignment="1" applyProtection="1">
      <alignment horizontal="left" vertical="center" wrapText="1"/>
      <protection hidden="1"/>
    </xf>
    <xf numFmtId="0" fontId="0" fillId="0" borderId="114" xfId="0" applyBorder="1" applyAlignment="1">
      <alignment horizontal="left" vertical="center" wrapText="1"/>
    </xf>
    <xf numFmtId="0" fontId="0" fillId="0" borderId="115" xfId="0" applyBorder="1" applyAlignment="1">
      <alignment horizontal="left" vertical="center" wrapText="1"/>
    </xf>
    <xf numFmtId="0" fontId="2" fillId="0" borderId="0" xfId="0" applyFont="1" applyFill="1" applyBorder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8" fillId="5" borderId="116" xfId="0" applyFont="1" applyFill="1" applyBorder="1" applyAlignment="1" applyProtection="1">
      <alignment horizontal="center" vertical="center" wrapText="1"/>
      <protection hidden="1"/>
    </xf>
    <xf numFmtId="0" fontId="8" fillId="5" borderId="117" xfId="0" applyFont="1" applyFill="1" applyBorder="1" applyAlignment="1" applyProtection="1">
      <alignment horizontal="center" vertical="center" wrapText="1"/>
      <protection hidden="1"/>
    </xf>
    <xf numFmtId="0" fontId="8" fillId="5" borderId="118" xfId="0" applyFont="1" applyFill="1" applyBorder="1" applyAlignment="1" applyProtection="1">
      <alignment horizontal="center" vertical="center" wrapText="1"/>
      <protection hidden="1"/>
    </xf>
    <xf numFmtId="164" fontId="10" fillId="6" borderId="15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justify" vertical="center" wrapText="1"/>
      <protection hidden="1"/>
    </xf>
    <xf numFmtId="0" fontId="20" fillId="5" borderId="119" xfId="0" applyFont="1" applyFill="1" applyBorder="1" applyAlignment="1" applyProtection="1">
      <alignment horizontal="justify" vertical="center" wrapText="1"/>
      <protection hidden="1"/>
    </xf>
    <xf numFmtId="0" fontId="8" fillId="5" borderId="120" xfId="0" applyFont="1" applyFill="1" applyBorder="1" applyAlignment="1" applyProtection="1">
      <alignment horizontal="center" vertical="center" wrapText="1"/>
      <protection hidden="1"/>
    </xf>
    <xf numFmtId="0" fontId="8" fillId="5" borderId="121" xfId="0" applyFont="1" applyFill="1" applyBorder="1" applyAlignment="1" applyProtection="1">
      <alignment horizontal="center" vertical="center" wrapText="1"/>
      <protection hidden="1"/>
    </xf>
    <xf numFmtId="0" fontId="8" fillId="5" borderId="122" xfId="0" applyFont="1" applyFill="1" applyBorder="1" applyAlignment="1" applyProtection="1">
      <alignment horizontal="center" vertical="center" wrapText="1"/>
      <protection hidden="1"/>
    </xf>
    <xf numFmtId="0" fontId="20" fillId="5" borderId="22" xfId="0" applyFont="1" applyFill="1" applyBorder="1" applyAlignment="1" applyProtection="1">
      <alignment horizontal="justify" vertical="center" wrapText="1"/>
      <protection hidden="1"/>
    </xf>
    <xf numFmtId="0" fontId="20" fillId="5" borderId="123" xfId="0" applyFont="1" applyFill="1" applyBorder="1" applyAlignment="1" applyProtection="1">
      <alignment horizontal="justify" vertical="center" wrapText="1"/>
      <protection hidden="1"/>
    </xf>
    <xf numFmtId="0" fontId="8" fillId="5" borderId="124" xfId="0" applyFont="1" applyFill="1" applyBorder="1" applyAlignment="1" applyProtection="1">
      <alignment horizontal="center" vertical="center" wrapText="1"/>
      <protection hidden="1"/>
    </xf>
    <xf numFmtId="0" fontId="8" fillId="5" borderId="125" xfId="0" applyFont="1" applyFill="1" applyBorder="1" applyAlignment="1" applyProtection="1">
      <alignment horizontal="center" vertical="center" wrapText="1"/>
      <protection hidden="1"/>
    </xf>
    <xf numFmtId="0" fontId="8" fillId="5" borderId="126" xfId="0" applyFont="1" applyFill="1" applyBorder="1" applyAlignment="1" applyProtection="1">
      <alignment horizontal="center" vertical="center" wrapText="1"/>
      <protection hidden="1"/>
    </xf>
    <xf numFmtId="3" fontId="9" fillId="5" borderId="127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27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27" xfId="0" applyFont="1" applyFill="1" applyBorder="1" applyAlignment="1" applyProtection="1">
      <alignment horizontal="justify" vertical="center" wrapText="1"/>
      <protection hidden="1"/>
    </xf>
    <xf numFmtId="0" fontId="20" fillId="5" borderId="128" xfId="0" applyFont="1" applyFill="1" applyBorder="1" applyAlignment="1" applyProtection="1">
      <alignment horizontal="justify" vertical="center" wrapText="1"/>
      <protection hidden="1"/>
    </xf>
    <xf numFmtId="0" fontId="2" fillId="0" borderId="0" xfId="2" applyFont="1"/>
    <xf numFmtId="0" fontId="12" fillId="0" borderId="129" xfId="0" applyFont="1" applyFill="1" applyBorder="1" applyAlignment="1" applyProtection="1">
      <alignment horizontal="center" vertical="center" wrapText="1"/>
      <protection hidden="1"/>
    </xf>
    <xf numFmtId="0" fontId="12" fillId="0" borderId="130" xfId="0" applyFont="1" applyFill="1" applyBorder="1" applyAlignment="1" applyProtection="1">
      <alignment horizontal="center" vertical="center" wrapText="1"/>
      <protection hidden="1"/>
    </xf>
    <xf numFmtId="0" fontId="12" fillId="0" borderId="131" xfId="0" applyFont="1" applyFill="1" applyBorder="1" applyAlignment="1" applyProtection="1">
      <alignment horizontal="center" vertical="center" wrapText="1"/>
      <protection hidden="1"/>
    </xf>
    <xf numFmtId="3" fontId="10" fillId="0" borderId="13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3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32" xfId="0" applyFont="1" applyFill="1" applyBorder="1" applyAlignment="1" applyProtection="1">
      <alignment horizontal="justify" vertical="center" wrapText="1"/>
      <protection hidden="1"/>
    </xf>
    <xf numFmtId="0" fontId="2" fillId="0" borderId="133" xfId="0" applyFont="1" applyFill="1" applyBorder="1" applyAlignment="1" applyProtection="1">
      <alignment horizontal="justify" vertical="center" wrapText="1"/>
      <protection hidden="1"/>
    </xf>
    <xf numFmtId="0" fontId="12" fillId="0" borderId="134" xfId="0" applyFont="1" applyFill="1" applyBorder="1" applyAlignment="1" applyProtection="1">
      <alignment horizontal="center" vertical="center" wrapText="1"/>
      <protection hidden="1"/>
    </xf>
    <xf numFmtId="0" fontId="12" fillId="0" borderId="135" xfId="0" applyFont="1" applyFill="1" applyBorder="1" applyAlignment="1" applyProtection="1">
      <alignment horizontal="center" vertical="center" wrapText="1"/>
      <protection hidden="1"/>
    </xf>
    <xf numFmtId="0" fontId="12" fillId="0" borderId="126" xfId="0" applyFont="1" applyFill="1" applyBorder="1" applyAlignment="1" applyProtection="1">
      <alignment horizontal="center" vertical="center" wrapText="1"/>
      <protection hidden="1"/>
    </xf>
    <xf numFmtId="3" fontId="10" fillId="0" borderId="12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27" xfId="0" applyFont="1" applyFill="1" applyBorder="1" applyAlignment="1" applyProtection="1">
      <alignment horizontal="justify" vertical="center" wrapText="1"/>
      <protection hidden="1"/>
    </xf>
    <xf numFmtId="0" fontId="2" fillId="0" borderId="128" xfId="0" applyFont="1" applyFill="1" applyBorder="1" applyAlignment="1" applyProtection="1">
      <alignment horizontal="justify" vertical="center" wrapText="1"/>
      <protection hidden="1"/>
    </xf>
    <xf numFmtId="0" fontId="12" fillId="7" borderId="129" xfId="0" applyFont="1" applyFill="1" applyBorder="1" applyAlignment="1" applyProtection="1">
      <alignment horizontal="center" vertical="center" wrapText="1"/>
      <protection hidden="1"/>
    </xf>
    <xf numFmtId="0" fontId="12" fillId="7" borderId="130" xfId="0" applyFont="1" applyFill="1" applyBorder="1" applyAlignment="1" applyProtection="1">
      <alignment horizontal="center" vertical="center" wrapText="1"/>
      <protection hidden="1"/>
    </xf>
    <xf numFmtId="0" fontId="12" fillId="7" borderId="131" xfId="0" applyFont="1" applyFill="1" applyBorder="1" applyAlignment="1" applyProtection="1">
      <alignment horizontal="center" vertical="center" wrapText="1"/>
      <protection hidden="1"/>
    </xf>
    <xf numFmtId="3" fontId="10" fillId="7" borderId="132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32" xfId="0" applyFont="1" applyFill="1" applyBorder="1" applyAlignment="1" applyProtection="1">
      <alignment horizontal="justify" vertical="center" wrapText="1"/>
      <protection hidden="1"/>
    </xf>
    <xf numFmtId="0" fontId="2" fillId="7" borderId="133" xfId="0" applyFont="1" applyFill="1" applyBorder="1" applyAlignment="1" applyProtection="1">
      <alignment horizontal="justify" vertical="center" wrapText="1"/>
      <protection hidden="1"/>
    </xf>
    <xf numFmtId="0" fontId="12" fillId="7" borderId="136" xfId="0" applyFont="1" applyFill="1" applyBorder="1" applyAlignment="1" applyProtection="1">
      <alignment horizontal="center" vertical="center" wrapText="1"/>
      <protection hidden="1"/>
    </xf>
    <xf numFmtId="0" fontId="12" fillId="7" borderId="137" xfId="0" applyFont="1" applyFill="1" applyBorder="1" applyAlignment="1" applyProtection="1">
      <alignment horizontal="center" vertical="center" wrapText="1"/>
      <protection hidden="1"/>
    </xf>
    <xf numFmtId="0" fontId="12" fillId="7" borderId="122" xfId="0" applyFont="1" applyFill="1" applyBorder="1" applyAlignment="1" applyProtection="1">
      <alignment horizontal="center" vertical="center" wrapText="1"/>
      <protection hidden="1"/>
    </xf>
    <xf numFmtId="0" fontId="2" fillId="7" borderId="22" xfId="0" applyFont="1" applyFill="1" applyBorder="1" applyAlignment="1" applyProtection="1">
      <alignment horizontal="justify" vertical="center" wrapText="1"/>
      <protection hidden="1"/>
    </xf>
    <xf numFmtId="0" fontId="2" fillId="7" borderId="123" xfId="0" applyFont="1" applyFill="1" applyBorder="1" applyAlignment="1" applyProtection="1">
      <alignment horizontal="justify" vertical="center" wrapText="1"/>
      <protection hidden="1"/>
    </xf>
    <xf numFmtId="0" fontId="12" fillId="7" borderId="134" xfId="0" applyFont="1" applyFill="1" applyBorder="1" applyAlignment="1" applyProtection="1">
      <alignment horizontal="center" vertical="center" wrapText="1"/>
      <protection hidden="1"/>
    </xf>
    <xf numFmtId="0" fontId="12" fillId="7" borderId="135" xfId="0" applyFont="1" applyFill="1" applyBorder="1" applyAlignment="1" applyProtection="1">
      <alignment horizontal="center" vertical="center" wrapText="1"/>
      <protection hidden="1"/>
    </xf>
    <xf numFmtId="0" fontId="12" fillId="7" borderId="126" xfId="0" applyFont="1" applyFill="1" applyBorder="1" applyAlignment="1" applyProtection="1">
      <alignment horizontal="center" vertical="center" wrapText="1"/>
      <protection hidden="1"/>
    </xf>
    <xf numFmtId="3" fontId="10" fillId="7" borderId="127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27" xfId="0" applyFont="1" applyFill="1" applyBorder="1" applyAlignment="1" applyProtection="1">
      <alignment horizontal="justify" vertical="center" wrapText="1"/>
      <protection hidden="1"/>
    </xf>
    <xf numFmtId="0" fontId="2" fillId="7" borderId="128" xfId="0" applyFont="1" applyFill="1" applyBorder="1" applyAlignment="1" applyProtection="1">
      <alignment horizontal="justify" vertical="center" wrapText="1"/>
      <protection hidden="1"/>
    </xf>
    <xf numFmtId="0" fontId="12" fillId="0" borderId="138" xfId="0" applyFont="1" applyFill="1" applyBorder="1" applyAlignment="1" applyProtection="1">
      <alignment horizontal="center" vertical="center" wrapText="1"/>
      <protection hidden="1"/>
    </xf>
    <xf numFmtId="0" fontId="12" fillId="0" borderId="139" xfId="0" applyFont="1" applyFill="1" applyBorder="1" applyAlignment="1" applyProtection="1">
      <alignment horizontal="center" vertical="center" wrapText="1"/>
      <protection hidden="1"/>
    </xf>
    <xf numFmtId="0" fontId="12" fillId="0" borderId="120" xfId="0" applyFont="1" applyFill="1" applyBorder="1" applyAlignment="1" applyProtection="1">
      <alignment horizontal="center" vertical="center" wrapText="1"/>
      <protection hidden="1"/>
    </xf>
    <xf numFmtId="0" fontId="12" fillId="0" borderId="121" xfId="0" applyFont="1" applyFill="1" applyBorder="1" applyAlignment="1" applyProtection="1">
      <alignment horizontal="center" vertical="center" wrapText="1"/>
      <protection hidden="1"/>
    </xf>
    <xf numFmtId="0" fontId="12" fillId="0" borderId="122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justify" vertical="center" wrapText="1"/>
      <protection hidden="1"/>
    </xf>
    <xf numFmtId="0" fontId="2" fillId="0" borderId="123" xfId="0" applyFont="1" applyFill="1" applyBorder="1" applyAlignment="1" applyProtection="1">
      <alignment horizontal="justify" vertical="center" wrapText="1"/>
      <protection hidden="1"/>
    </xf>
    <xf numFmtId="0" fontId="12" fillId="0" borderId="124" xfId="0" applyFont="1" applyFill="1" applyBorder="1" applyAlignment="1" applyProtection="1">
      <alignment horizontal="center" vertical="center" wrapText="1"/>
      <protection hidden="1"/>
    </xf>
    <xf numFmtId="0" fontId="12" fillId="0" borderId="125" xfId="0" applyFont="1" applyFill="1" applyBorder="1" applyAlignment="1" applyProtection="1">
      <alignment horizontal="center" vertical="center" wrapText="1"/>
      <protection hidden="1"/>
    </xf>
    <xf numFmtId="0" fontId="12" fillId="6" borderId="129" xfId="0" applyFont="1" applyFill="1" applyBorder="1" applyAlignment="1" applyProtection="1">
      <alignment horizontal="center" vertical="center" wrapText="1"/>
      <protection hidden="1"/>
    </xf>
    <xf numFmtId="0" fontId="12" fillId="6" borderId="130" xfId="0" applyFont="1" applyFill="1" applyBorder="1" applyAlignment="1" applyProtection="1">
      <alignment horizontal="center" vertical="center" wrapText="1"/>
      <protection hidden="1"/>
    </xf>
    <xf numFmtId="0" fontId="12" fillId="6" borderId="131" xfId="0" applyFont="1" applyFill="1" applyBorder="1" applyAlignment="1" applyProtection="1">
      <alignment horizontal="center" vertical="center" wrapText="1"/>
      <protection hidden="1"/>
    </xf>
    <xf numFmtId="3" fontId="10" fillId="6" borderId="13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36" xfId="0" applyFont="1" applyFill="1" applyBorder="1" applyAlignment="1" applyProtection="1">
      <alignment horizontal="center" vertical="center" wrapText="1"/>
      <protection hidden="1"/>
    </xf>
    <xf numFmtId="0" fontId="12" fillId="6" borderId="137" xfId="0" applyFont="1" applyFill="1" applyBorder="1" applyAlignment="1" applyProtection="1">
      <alignment horizontal="center" vertical="center" wrapText="1"/>
      <protection hidden="1"/>
    </xf>
    <xf numFmtId="0" fontId="12" fillId="6" borderId="122" xfId="0" applyFont="1" applyFill="1" applyBorder="1" applyAlignment="1" applyProtection="1">
      <alignment horizontal="center" vertical="center" wrapText="1"/>
      <protection hidden="1"/>
    </xf>
    <xf numFmtId="0" fontId="12" fillId="6" borderId="140" xfId="0" applyFont="1" applyFill="1" applyBorder="1" applyAlignment="1" applyProtection="1">
      <alignment horizontal="center" vertical="center" wrapText="1"/>
      <protection hidden="1"/>
    </xf>
    <xf numFmtId="3" fontId="10" fillId="6" borderId="2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6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26" xfId="0" applyFont="1" applyFill="1" applyBorder="1" applyAlignment="1" applyProtection="1">
      <alignment horizontal="justify" vertical="center" wrapText="1"/>
      <protection hidden="1"/>
    </xf>
    <xf numFmtId="0" fontId="2" fillId="7" borderId="141" xfId="0" applyFont="1" applyFill="1" applyBorder="1" applyAlignment="1" applyProtection="1">
      <alignment horizontal="justify" vertical="center" wrapText="1"/>
      <protection hidden="1"/>
    </xf>
    <xf numFmtId="0" fontId="12" fillId="0" borderId="136" xfId="0" applyFont="1" applyFill="1" applyBorder="1" applyAlignment="1" applyProtection="1">
      <alignment horizontal="center" vertical="center" wrapText="1"/>
      <protection hidden="1"/>
    </xf>
    <xf numFmtId="0" fontId="12" fillId="0" borderId="95" xfId="0" applyFont="1" applyFill="1" applyBorder="1" applyAlignment="1" applyProtection="1">
      <alignment horizontal="center" vertical="center" wrapText="1"/>
      <protection hidden="1"/>
    </xf>
    <xf numFmtId="0" fontId="12" fillId="0" borderId="142" xfId="0" applyFont="1" applyFill="1" applyBorder="1" applyAlignment="1" applyProtection="1">
      <alignment horizontal="center" vertical="center" wrapText="1"/>
      <protection hidden="1"/>
    </xf>
    <xf numFmtId="3" fontId="10" fillId="0" borderId="10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08" xfId="0" applyFont="1" applyFill="1" applyBorder="1" applyAlignment="1" applyProtection="1">
      <alignment horizontal="justify" vertical="center" wrapText="1"/>
      <protection hidden="1"/>
    </xf>
    <xf numFmtId="0" fontId="2" fillId="0" borderId="109" xfId="0" applyFont="1" applyFill="1" applyBorder="1" applyAlignment="1" applyProtection="1">
      <alignment horizontal="justify" vertical="center" wrapText="1"/>
      <protection hidden="1"/>
    </xf>
    <xf numFmtId="0" fontId="12" fillId="7" borderId="143" xfId="0" applyFont="1" applyFill="1" applyBorder="1" applyAlignment="1" applyProtection="1">
      <alignment horizontal="center" vertical="center" wrapText="1"/>
      <protection hidden="1"/>
    </xf>
    <xf numFmtId="0" fontId="2" fillId="7" borderId="114" xfId="0" applyFont="1" applyFill="1" applyBorder="1" applyAlignment="1" applyProtection="1">
      <alignment horizontal="justify" vertical="center" wrapText="1"/>
      <protection hidden="1"/>
    </xf>
    <xf numFmtId="0" fontId="2" fillId="7" borderId="115" xfId="0" applyFont="1" applyFill="1" applyBorder="1" applyAlignment="1" applyProtection="1">
      <alignment horizontal="justify" vertical="center" wrapText="1"/>
      <protection hidden="1"/>
    </xf>
    <xf numFmtId="0" fontId="2" fillId="0" borderId="144" xfId="0" applyFont="1" applyFill="1" applyBorder="1" applyAlignment="1" applyProtection="1">
      <alignment vertical="center" wrapText="1"/>
      <protection hidden="1"/>
    </xf>
    <xf numFmtId="0" fontId="2" fillId="0" borderId="144" xfId="0" applyFont="1" applyBorder="1" applyAlignment="1" applyProtection="1">
      <alignment vertical="center" wrapText="1"/>
      <protection hidden="1"/>
    </xf>
    <xf numFmtId="0" fontId="21" fillId="2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/>
  </cellXfs>
  <cellStyles count="3">
    <cellStyle name="Normal" xfId="0" builtinId="0"/>
    <cellStyle name="Normal 2" xfId="2"/>
    <cellStyle name="Porcentaje" xfId="1" builtinId="5"/>
  </cellStyles>
  <dxfs count="258"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2</xdr:col>
      <xdr:colOff>1190625</xdr:colOff>
      <xdr:row>1</xdr:row>
      <xdr:rowOff>16754</xdr:rowOff>
    </xdr:to>
    <xdr:pic>
      <xdr:nvPicPr>
        <xdr:cNvPr id="2" name="7 Imagen">
          <a:extLst>
            <a:ext uri="{FF2B5EF4-FFF2-40B4-BE49-F238E27FC236}">
              <a16:creationId xmlns:a16="http://schemas.microsoft.com/office/drawing/2014/main" id="{402A962E-52A7-47BC-84FD-CCCC1C978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60</xdr:row>
      <xdr:rowOff>0</xdr:rowOff>
    </xdr:from>
    <xdr:to>
      <xdr:col>2</xdr:col>
      <xdr:colOff>1190624</xdr:colOff>
      <xdr:row>61</xdr:row>
      <xdr:rowOff>16754</xdr:rowOff>
    </xdr:to>
    <xdr:pic>
      <xdr:nvPicPr>
        <xdr:cNvPr id="3" name="2294 Imagen">
          <a:extLst>
            <a:ext uri="{FF2B5EF4-FFF2-40B4-BE49-F238E27FC236}">
              <a16:creationId xmlns:a16="http://schemas.microsoft.com/office/drawing/2014/main" id="{D202089B-9CF3-4EC8-BEBE-7F0E7510B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6602075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1200149</xdr:colOff>
      <xdr:row>117</xdr:row>
      <xdr:rowOff>16753</xdr:rowOff>
    </xdr:to>
    <xdr:pic>
      <xdr:nvPicPr>
        <xdr:cNvPr id="4" name="2296 Imagen">
          <a:extLst>
            <a:ext uri="{FF2B5EF4-FFF2-40B4-BE49-F238E27FC236}">
              <a16:creationId xmlns:a16="http://schemas.microsoft.com/office/drawing/2014/main" id="{730A28AE-1F56-467F-873A-BA80BD9C0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376612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1200149</xdr:colOff>
      <xdr:row>242</xdr:row>
      <xdr:rowOff>16753</xdr:rowOff>
    </xdr:to>
    <xdr:pic>
      <xdr:nvPicPr>
        <xdr:cNvPr id="5" name="2297 Imagen">
          <a:extLst>
            <a:ext uri="{FF2B5EF4-FFF2-40B4-BE49-F238E27FC236}">
              <a16:creationId xmlns:a16="http://schemas.microsoft.com/office/drawing/2014/main" id="{1D9BBDD0-5C05-4B12-9951-F1327D401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443537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293</xdr:row>
      <xdr:rowOff>0</xdr:rowOff>
    </xdr:from>
    <xdr:to>
      <xdr:col>2</xdr:col>
      <xdr:colOff>1200149</xdr:colOff>
      <xdr:row>294</xdr:row>
      <xdr:rowOff>16755</xdr:rowOff>
    </xdr:to>
    <xdr:pic>
      <xdr:nvPicPr>
        <xdr:cNvPr id="6" name="2298 Imagen">
          <a:extLst>
            <a:ext uri="{FF2B5EF4-FFF2-40B4-BE49-F238E27FC236}">
              <a16:creationId xmlns:a16="http://schemas.microsoft.com/office/drawing/2014/main" id="{DBF39B6F-BAEA-4145-9105-C54945A58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2028050"/>
          <a:ext cx="1200149" cy="65493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316</xdr:row>
      <xdr:rowOff>47625</xdr:rowOff>
    </xdr:from>
    <xdr:to>
      <xdr:col>9</xdr:col>
      <xdr:colOff>390525</xdr:colOff>
      <xdr:row>317</xdr:row>
      <xdr:rowOff>314325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AE29568-C194-4DFC-8243-C45C4D091E2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80772000"/>
          <a:ext cx="5076825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CION/BOLETIN%20ESTAD&#205;STICO%20SPET/INDICADORES%20TURISTICOS%20DE%20TENERIFE/Indicadores%20Tur&#237;sticos%20Plantilla%20(bbdd%20sq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ÓN"/>
      <sheetName val="Ind turísticos (vinculo)"/>
      <sheetName val="TTDD DATOS"/>
      <sheetName val="gasto"/>
      <sheetName val="Hoja1"/>
      <sheetName val="Hoja2"/>
      <sheetName val="plazas autorizadas"/>
      <sheetName val="cruceros"/>
      <sheetName val="Ind turísticos invierno"/>
      <sheetName val="TTDD invierno"/>
      <sheetName val="Ind turísticos verano"/>
      <sheetName val="TTDD verano"/>
      <sheetName val="TTDD DATOS (2)"/>
      <sheetName val="para grafico de ca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e">
            <v>#REF!</v>
          </cell>
          <cell r="C1" t="e">
            <v>#REF!</v>
          </cell>
          <cell r="D1" t="e">
            <v>#REF!</v>
          </cell>
          <cell r="E1" t="e">
            <v>#REF!</v>
          </cell>
          <cell r="F1" t="e">
            <v>#REF!</v>
          </cell>
          <cell r="G1" t="e">
            <v>#REF!</v>
          </cell>
          <cell r="H1" t="e">
            <v>#REF!</v>
          </cell>
          <cell r="I1" t="e">
            <v>#REF!</v>
          </cell>
          <cell r="J1" t="e">
            <v>#REF!</v>
          </cell>
          <cell r="K1" t="e">
            <v>#REF!</v>
          </cell>
        </row>
        <row r="2">
          <cell r="B2" t="e">
            <v>#REF!</v>
          </cell>
          <cell r="C2" t="e">
            <v>#REF!</v>
          </cell>
          <cell r="D2" t="e">
            <v>#REF!</v>
          </cell>
          <cell r="E2" t="e">
            <v>#REF!</v>
          </cell>
          <cell r="F2" t="e">
            <v>#REF!</v>
          </cell>
          <cell r="G2" t="e">
            <v>#REF!</v>
          </cell>
          <cell r="H2" t="e">
            <v>#REF!</v>
          </cell>
          <cell r="I2" t="e">
            <v>#REF!</v>
          </cell>
          <cell r="J2" t="e">
            <v>#REF!</v>
          </cell>
          <cell r="K2" t="e">
            <v>#REF!</v>
          </cell>
        </row>
        <row r="3"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</row>
        <row r="4">
          <cell r="B4" t="e">
            <v>#REF!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</row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2">
    <tabColor theme="5" tint="0.39997558519241921"/>
  </sheetPr>
  <dimension ref="B1:T332"/>
  <sheetViews>
    <sheetView showGridLines="0" tabSelected="1" showRuler="0" zoomScaleNormal="100" workbookViewId="0">
      <selection activeCell="F11" sqref="F11"/>
    </sheetView>
  </sheetViews>
  <sheetFormatPr baseColWidth="10" defaultRowHeight="12.75" x14ac:dyDescent="0.2"/>
  <cols>
    <col min="1" max="1" width="2.85546875" style="4" customWidth="1"/>
    <col min="2" max="2" width="2.85546875" style="1" customWidth="1"/>
    <col min="3" max="3" width="20.7109375" style="1" customWidth="1"/>
    <col min="4" max="4" width="16.42578125" style="4" customWidth="1"/>
    <col min="5" max="5" width="16.140625" style="4" customWidth="1"/>
    <col min="6" max="6" width="16" style="4" customWidth="1"/>
    <col min="7" max="7" width="16.7109375" style="4" customWidth="1"/>
    <col min="8" max="9" width="16.140625" style="4" customWidth="1"/>
    <col min="10" max="10" width="16.7109375" style="4" customWidth="1"/>
    <col min="11" max="11" width="16.140625" style="4" customWidth="1"/>
    <col min="12" max="13" width="15.7109375" style="4" customWidth="1"/>
    <col min="14" max="14" width="12.140625" style="4" customWidth="1"/>
    <col min="15" max="17" width="8.85546875" style="4" customWidth="1"/>
    <col min="18" max="18" width="23.28515625" style="4" customWidth="1"/>
    <col min="19" max="19" width="2.7109375" style="4" customWidth="1"/>
    <col min="20" max="20" width="23.28515625" style="4" customWidth="1"/>
    <col min="21" max="21" width="2.7109375" style="4" customWidth="1"/>
    <col min="22" max="22" width="23.28515625" style="4" customWidth="1"/>
    <col min="23" max="16384" width="11.42578125" style="4"/>
  </cols>
  <sheetData>
    <row r="1" spans="2:13" ht="50.25" customHeight="1" thickBot="1" x14ac:dyDescent="0.25">
      <c r="C1" s="2"/>
      <c r="D1" s="2"/>
      <c r="E1" s="3" t="s">
        <v>92</v>
      </c>
      <c r="F1" s="3"/>
      <c r="G1" s="3"/>
      <c r="H1" s="3"/>
      <c r="I1" s="3"/>
      <c r="J1" s="3"/>
      <c r="K1" s="3"/>
      <c r="L1" s="2"/>
      <c r="M1" s="2"/>
    </row>
    <row r="2" spans="2:13" ht="15" customHeight="1" x14ac:dyDescent="0.2">
      <c r="B2" s="5"/>
      <c r="C2" s="6" t="s">
        <v>93</v>
      </c>
      <c r="D2" s="6"/>
      <c r="E2" s="6"/>
      <c r="F2" s="6"/>
      <c r="G2" s="6"/>
      <c r="H2" s="7"/>
      <c r="I2" s="8" t="s">
        <v>94</v>
      </c>
      <c r="J2" s="8"/>
      <c r="K2" s="8"/>
      <c r="L2" s="8"/>
      <c r="M2" s="8"/>
    </row>
    <row r="3" spans="2:13" ht="16.5" customHeight="1" thickBot="1" x14ac:dyDescent="0.25">
      <c r="B3" s="5"/>
      <c r="C3" s="9"/>
      <c r="D3" s="9"/>
      <c r="E3" s="9"/>
      <c r="F3" s="9"/>
      <c r="G3" s="9"/>
      <c r="H3" s="10"/>
      <c r="I3" s="11"/>
      <c r="J3" s="11"/>
      <c r="K3" s="11"/>
      <c r="L3" s="11"/>
      <c r="M3" s="11"/>
    </row>
    <row r="4" spans="2:13" ht="5.25" customHeight="1" x14ac:dyDescent="0.2">
      <c r="B4" s="5"/>
      <c r="C4" s="12"/>
      <c r="D4" s="5"/>
      <c r="E4" s="13"/>
      <c r="F4" s="13"/>
      <c r="G4" s="14"/>
      <c r="H4" s="15"/>
      <c r="I4" s="16"/>
      <c r="J4" s="13"/>
      <c r="K4" s="17"/>
      <c r="L4" s="18"/>
      <c r="M4" s="19"/>
    </row>
    <row r="5" spans="2:13" ht="81.75" customHeight="1" x14ac:dyDescent="0.2">
      <c r="C5" s="20" t="s">
        <v>0</v>
      </c>
      <c r="D5" s="21"/>
      <c r="E5" s="22" t="s">
        <v>1</v>
      </c>
      <c r="F5" s="22" t="s">
        <v>2</v>
      </c>
      <c r="G5" s="23" t="s">
        <v>3</v>
      </c>
      <c r="H5" s="24"/>
      <c r="I5" s="25" t="s">
        <v>0</v>
      </c>
      <c r="J5" s="22" t="s">
        <v>1</v>
      </c>
      <c r="K5" s="22" t="s">
        <v>4</v>
      </c>
      <c r="L5" s="22" t="s">
        <v>3</v>
      </c>
      <c r="M5" s="23" t="s">
        <v>5</v>
      </c>
    </row>
    <row r="6" spans="2:13" s="5" customFormat="1" ht="5.25" customHeight="1" thickBot="1" x14ac:dyDescent="0.2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2:13" ht="18.75" thickBot="1" x14ac:dyDescent="0.25">
      <c r="C7" s="27" t="s">
        <v>6</v>
      </c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2:13" ht="5.25" customHeight="1" thickBot="1" x14ac:dyDescent="0.25"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</row>
    <row r="9" spans="2:13" ht="24.75" customHeight="1" x14ac:dyDescent="0.2">
      <c r="C9" s="32" t="s">
        <v>7</v>
      </c>
      <c r="D9" s="33"/>
      <c r="E9" s="34" t="s">
        <v>8</v>
      </c>
      <c r="F9" s="35">
        <v>500017</v>
      </c>
      <c r="G9" s="36">
        <v>2.2188370648013045E-3</v>
      </c>
      <c r="H9" s="37"/>
      <c r="I9" s="38" t="s">
        <v>7</v>
      </c>
      <c r="J9" s="39" t="s">
        <v>8</v>
      </c>
      <c r="K9" s="40">
        <v>4801238</v>
      </c>
      <c r="L9" s="41">
        <v>1.8995330172290936E-2</v>
      </c>
      <c r="M9" s="42" t="s">
        <v>9</v>
      </c>
    </row>
    <row r="10" spans="2:13" ht="24.75" customHeight="1" x14ac:dyDescent="0.2">
      <c r="C10" s="43"/>
      <c r="D10" s="44"/>
      <c r="E10" s="45" t="s">
        <v>10</v>
      </c>
      <c r="F10" s="46">
        <v>338775</v>
      </c>
      <c r="G10" s="47">
        <v>-4.7621006122281484E-3</v>
      </c>
      <c r="H10" s="48"/>
      <c r="I10" s="43"/>
      <c r="J10" s="45" t="s">
        <v>10</v>
      </c>
      <c r="K10" s="46">
        <v>3242136</v>
      </c>
      <c r="L10" s="49">
        <v>1.3597328617166671E-2</v>
      </c>
      <c r="M10" s="42"/>
    </row>
    <row r="11" spans="2:13" ht="24.75" customHeight="1" thickBot="1" x14ac:dyDescent="0.25">
      <c r="C11" s="50"/>
      <c r="D11" s="51"/>
      <c r="E11" s="52" t="s">
        <v>11</v>
      </c>
      <c r="F11" s="35">
        <v>161242</v>
      </c>
      <c r="G11" s="36">
        <v>1.72098363551485E-2</v>
      </c>
      <c r="H11" s="48"/>
      <c r="I11" s="53"/>
      <c r="J11" s="54" t="s">
        <v>11</v>
      </c>
      <c r="K11" s="55">
        <v>1559102</v>
      </c>
      <c r="L11" s="56">
        <v>3.0406570907028918E-2</v>
      </c>
      <c r="M11" s="42"/>
    </row>
    <row r="12" spans="2:13" ht="24.75" hidden="1" customHeight="1" x14ac:dyDescent="0.2">
      <c r="C12" s="57" t="s">
        <v>12</v>
      </c>
      <c r="D12" s="58"/>
      <c r="E12" s="59" t="s">
        <v>8</v>
      </c>
      <c r="F12" s="60">
        <v>20080</v>
      </c>
      <c r="G12" s="61">
        <v>1.2465719272001241E-3</v>
      </c>
      <c r="H12" s="62"/>
      <c r="I12" s="57" t="s">
        <v>12</v>
      </c>
      <c r="J12" s="59" t="s">
        <v>8</v>
      </c>
      <c r="K12" s="60">
        <v>197214</v>
      </c>
      <c r="L12" s="41">
        <v>1.0379736459208644E-2</v>
      </c>
      <c r="M12" s="42"/>
    </row>
    <row r="13" spans="2:13" ht="46.5" customHeight="1" thickBot="1" x14ac:dyDescent="0.25">
      <c r="C13" s="63"/>
      <c r="D13" s="64"/>
      <c r="E13" s="65" t="s">
        <v>10</v>
      </c>
      <c r="F13" s="66">
        <v>20080</v>
      </c>
      <c r="G13" s="47">
        <v>1.2465719272001241E-3</v>
      </c>
      <c r="H13" s="62"/>
      <c r="I13" s="63"/>
      <c r="J13" s="65" t="s">
        <v>10</v>
      </c>
      <c r="K13" s="66">
        <v>197214</v>
      </c>
      <c r="L13" s="49">
        <v>1.4183157115234213E-2</v>
      </c>
      <c r="M13" s="42"/>
    </row>
    <row r="14" spans="2:13" ht="24.75" hidden="1" customHeight="1" x14ac:dyDescent="0.2">
      <c r="C14" s="67"/>
      <c r="D14" s="68"/>
      <c r="E14" s="69" t="s">
        <v>11</v>
      </c>
      <c r="F14" s="70">
        <v>0</v>
      </c>
      <c r="G14" s="71" t="s">
        <v>38</v>
      </c>
      <c r="H14" s="62"/>
      <c r="I14" s="67"/>
      <c r="J14" s="69" t="s">
        <v>11</v>
      </c>
      <c r="K14" s="70">
        <v>0</v>
      </c>
      <c r="L14" s="56">
        <v>-1</v>
      </c>
      <c r="M14" s="42"/>
    </row>
    <row r="15" spans="2:13" ht="24.75" customHeight="1" x14ac:dyDescent="0.2">
      <c r="C15" s="72" t="s">
        <v>13</v>
      </c>
      <c r="D15" s="73"/>
      <c r="E15" s="74" t="s">
        <v>8</v>
      </c>
      <c r="F15" s="75">
        <v>5291</v>
      </c>
      <c r="G15" s="61">
        <v>0.39017341040462439</v>
      </c>
      <c r="H15" s="62"/>
      <c r="I15" s="72" t="s">
        <v>13</v>
      </c>
      <c r="J15" s="74" t="s">
        <v>8</v>
      </c>
      <c r="K15" s="75">
        <v>42816</v>
      </c>
      <c r="L15" s="41">
        <v>0.22734699727676655</v>
      </c>
      <c r="M15" s="42"/>
    </row>
    <row r="16" spans="2:13" ht="24.75" customHeight="1" x14ac:dyDescent="0.2">
      <c r="C16" s="76"/>
      <c r="D16" s="77"/>
      <c r="E16" s="78" t="s">
        <v>10</v>
      </c>
      <c r="F16" s="79">
        <v>4152</v>
      </c>
      <c r="G16" s="47">
        <v>0.40033726812816184</v>
      </c>
      <c r="H16" s="62"/>
      <c r="I16" s="76"/>
      <c r="J16" s="78" t="s">
        <v>10</v>
      </c>
      <c r="K16" s="79">
        <v>32951</v>
      </c>
      <c r="L16" s="49">
        <v>0.163770572861482</v>
      </c>
      <c r="M16" s="42"/>
    </row>
    <row r="17" spans="3:13" ht="24.75" customHeight="1" thickBot="1" x14ac:dyDescent="0.25">
      <c r="C17" s="80"/>
      <c r="D17" s="81"/>
      <c r="E17" s="82" t="s">
        <v>11</v>
      </c>
      <c r="F17" s="83">
        <v>1139</v>
      </c>
      <c r="G17" s="71">
        <v>0.35434007134363843</v>
      </c>
      <c r="H17" s="62"/>
      <c r="I17" s="80"/>
      <c r="J17" s="82" t="s">
        <v>11</v>
      </c>
      <c r="K17" s="83">
        <v>9865</v>
      </c>
      <c r="L17" s="56">
        <v>0.50129356262364944</v>
      </c>
      <c r="M17" s="42"/>
    </row>
    <row r="18" spans="3:13" ht="24.75" customHeight="1" x14ac:dyDescent="0.2">
      <c r="C18" s="57" t="s">
        <v>14</v>
      </c>
      <c r="D18" s="58"/>
      <c r="E18" s="59" t="s">
        <v>8</v>
      </c>
      <c r="F18" s="60">
        <v>94364</v>
      </c>
      <c r="G18" s="61">
        <v>6.5032392045326182E-2</v>
      </c>
      <c r="H18" s="62"/>
      <c r="I18" s="57" t="s">
        <v>14</v>
      </c>
      <c r="J18" s="59" t="s">
        <v>8</v>
      </c>
      <c r="K18" s="60">
        <v>924674</v>
      </c>
      <c r="L18" s="41">
        <v>9.4822564374582585E-2</v>
      </c>
      <c r="M18" s="42"/>
    </row>
    <row r="19" spans="3:13" ht="24.75" customHeight="1" x14ac:dyDescent="0.2">
      <c r="C19" s="63"/>
      <c r="D19" s="64"/>
      <c r="E19" s="65" t="s">
        <v>10</v>
      </c>
      <c r="F19" s="66">
        <v>68528</v>
      </c>
      <c r="G19" s="47">
        <v>6.0690018109492705E-2</v>
      </c>
      <c r="H19" s="62"/>
      <c r="I19" s="63"/>
      <c r="J19" s="65" t="s">
        <v>10</v>
      </c>
      <c r="K19" s="66">
        <v>677159</v>
      </c>
      <c r="L19" s="49">
        <v>9.1612676499083445E-2</v>
      </c>
      <c r="M19" s="42"/>
    </row>
    <row r="20" spans="3:13" ht="24.75" customHeight="1" thickBot="1" x14ac:dyDescent="0.25">
      <c r="C20" s="67"/>
      <c r="D20" s="68"/>
      <c r="E20" s="69" t="s">
        <v>11</v>
      </c>
      <c r="F20" s="70">
        <v>25836</v>
      </c>
      <c r="G20" s="71">
        <v>7.6724317566159606E-2</v>
      </c>
      <c r="H20" s="62"/>
      <c r="I20" s="67"/>
      <c r="J20" s="69" t="s">
        <v>11</v>
      </c>
      <c r="K20" s="70">
        <v>247515</v>
      </c>
      <c r="L20" s="56">
        <v>0.10370152368466812</v>
      </c>
      <c r="M20" s="42"/>
    </row>
    <row r="21" spans="3:13" ht="24.75" customHeight="1" x14ac:dyDescent="0.2">
      <c r="C21" s="84" t="s">
        <v>15</v>
      </c>
      <c r="D21" s="85"/>
      <c r="E21" s="86" t="s">
        <v>8</v>
      </c>
      <c r="F21" s="87">
        <v>380282</v>
      </c>
      <c r="G21" s="61">
        <v>-1.5953028487735721E-2</v>
      </c>
      <c r="H21" s="62"/>
      <c r="I21" s="84" t="s">
        <v>15</v>
      </c>
      <c r="J21" s="86" t="s">
        <v>8</v>
      </c>
      <c r="K21" s="87">
        <v>3636534</v>
      </c>
      <c r="L21" s="41">
        <v>-1.4902080682399621E-4</v>
      </c>
      <c r="M21" s="42"/>
    </row>
    <row r="22" spans="3:13" ht="24.75" customHeight="1" x14ac:dyDescent="0.2">
      <c r="C22" s="88"/>
      <c r="D22" s="89"/>
      <c r="E22" s="90" t="s">
        <v>10</v>
      </c>
      <c r="F22" s="91">
        <v>246015</v>
      </c>
      <c r="G22" s="47">
        <v>-2.6720048740154101E-2</v>
      </c>
      <c r="H22" s="62"/>
      <c r="I22" s="88"/>
      <c r="J22" s="90" t="s">
        <v>10</v>
      </c>
      <c r="K22" s="91">
        <v>2334812</v>
      </c>
      <c r="L22" s="49">
        <v>-8.8013639312193304E-3</v>
      </c>
      <c r="M22" s="42"/>
    </row>
    <row r="23" spans="3:13" ht="24.75" customHeight="1" thickBot="1" x14ac:dyDescent="0.25">
      <c r="C23" s="92"/>
      <c r="D23" s="93"/>
      <c r="E23" s="94" t="s">
        <v>11</v>
      </c>
      <c r="F23" s="95">
        <v>134267</v>
      </c>
      <c r="G23" s="71">
        <v>4.4061102051198286E-3</v>
      </c>
      <c r="H23" s="62"/>
      <c r="I23" s="92"/>
      <c r="J23" s="94" t="s">
        <v>11</v>
      </c>
      <c r="K23" s="95">
        <v>1301722</v>
      </c>
      <c r="L23" s="56">
        <v>1.5754581235583709E-2</v>
      </c>
      <c r="M23" s="42"/>
    </row>
    <row r="24" spans="3:13" ht="5.25" customHeight="1" thickBot="1" x14ac:dyDescent="0.25"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</row>
    <row r="25" spans="3:13" ht="20.100000000000001" customHeight="1" thickBot="1" x14ac:dyDescent="0.25">
      <c r="C25" s="27" t="s">
        <v>16</v>
      </c>
      <c r="D25" s="28"/>
      <c r="E25" s="28"/>
      <c r="F25" s="28"/>
      <c r="G25" s="28"/>
      <c r="H25" s="28"/>
      <c r="I25" s="28"/>
      <c r="J25" s="28"/>
      <c r="K25" s="28"/>
      <c r="L25" s="28"/>
      <c r="M25" s="29"/>
    </row>
    <row r="26" spans="3:13" ht="5.25" customHeight="1" thickBot="1" x14ac:dyDescent="0.25"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97"/>
    </row>
    <row r="27" spans="3:13" ht="24.95" customHeight="1" x14ac:dyDescent="0.2">
      <c r="C27" s="38" t="s">
        <v>7</v>
      </c>
      <c r="D27" s="98"/>
      <c r="E27" s="39" t="s">
        <v>8</v>
      </c>
      <c r="F27" s="35">
        <v>3541965</v>
      </c>
      <c r="G27" s="36">
        <v>-2.1702023290461225E-2</v>
      </c>
      <c r="H27" s="37"/>
      <c r="I27" s="38" t="s">
        <v>7</v>
      </c>
      <c r="J27" s="39" t="s">
        <v>8</v>
      </c>
      <c r="K27" s="40">
        <v>35358773</v>
      </c>
      <c r="L27" s="41">
        <v>-2.3819240228787342E-3</v>
      </c>
      <c r="M27" s="42" t="s">
        <v>9</v>
      </c>
    </row>
    <row r="28" spans="3:13" ht="24.95" customHeight="1" x14ac:dyDescent="0.2">
      <c r="C28" s="43"/>
      <c r="D28" s="44"/>
      <c r="E28" s="45" t="s">
        <v>10</v>
      </c>
      <c r="F28" s="46">
        <v>2301732</v>
      </c>
      <c r="G28" s="47">
        <v>-1.6993220648791718E-2</v>
      </c>
      <c r="H28" s="48"/>
      <c r="I28" s="43"/>
      <c r="J28" s="45" t="s">
        <v>10</v>
      </c>
      <c r="K28" s="46">
        <v>22696320</v>
      </c>
      <c r="L28" s="49">
        <v>-1.136409967623242E-2</v>
      </c>
      <c r="M28" s="42"/>
    </row>
    <row r="29" spans="3:13" ht="24.95" customHeight="1" thickBot="1" x14ac:dyDescent="0.25">
      <c r="C29" s="53"/>
      <c r="D29" s="99"/>
      <c r="E29" s="54" t="s">
        <v>11</v>
      </c>
      <c r="F29" s="35">
        <v>1240233</v>
      </c>
      <c r="G29" s="36">
        <v>-3.0322529194318104E-2</v>
      </c>
      <c r="H29" s="48"/>
      <c r="I29" s="53"/>
      <c r="J29" s="54" t="s">
        <v>11</v>
      </c>
      <c r="K29" s="55">
        <v>12662453</v>
      </c>
      <c r="L29" s="56">
        <v>1.4133042575405375E-2</v>
      </c>
      <c r="M29" s="42"/>
    </row>
    <row r="30" spans="3:13" ht="24.95" hidden="1" customHeight="1" x14ac:dyDescent="0.2">
      <c r="C30" s="57" t="s">
        <v>12</v>
      </c>
      <c r="D30" s="58"/>
      <c r="E30" s="59" t="s">
        <v>8</v>
      </c>
      <c r="F30" s="60">
        <v>50608</v>
      </c>
      <c r="G30" s="61">
        <v>0.11527866540317788</v>
      </c>
      <c r="H30" s="62"/>
      <c r="I30" s="57" t="s">
        <v>12</v>
      </c>
      <c r="J30" s="59" t="s">
        <v>8</v>
      </c>
      <c r="K30" s="60">
        <v>467904</v>
      </c>
      <c r="L30" s="41">
        <v>-1.4533115656710782E-3</v>
      </c>
      <c r="M30" s="42"/>
    </row>
    <row r="31" spans="3:13" ht="48" customHeight="1" thickBot="1" x14ac:dyDescent="0.25">
      <c r="C31" s="63"/>
      <c r="D31" s="64"/>
      <c r="E31" s="65" t="s">
        <v>10</v>
      </c>
      <c r="F31" s="66">
        <v>50608</v>
      </c>
      <c r="G31" s="47">
        <v>0.11527866540317788</v>
      </c>
      <c r="H31" s="62"/>
      <c r="I31" s="63"/>
      <c r="J31" s="65" t="s">
        <v>10</v>
      </c>
      <c r="K31" s="66">
        <v>467904</v>
      </c>
      <c r="L31" s="49">
        <v>1.9269896178696344E-2</v>
      </c>
      <c r="M31" s="42"/>
    </row>
    <row r="32" spans="3:13" ht="24.95" hidden="1" customHeight="1" x14ac:dyDescent="0.2">
      <c r="C32" s="67"/>
      <c r="D32" s="68"/>
      <c r="E32" s="69" t="s">
        <v>11</v>
      </c>
      <c r="F32" s="70">
        <v>0</v>
      </c>
      <c r="G32" s="71" t="s">
        <v>38</v>
      </c>
      <c r="H32" s="62"/>
      <c r="I32" s="67"/>
      <c r="J32" s="69" t="s">
        <v>11</v>
      </c>
      <c r="K32" s="70">
        <v>0</v>
      </c>
      <c r="L32" s="56">
        <v>-1</v>
      </c>
      <c r="M32" s="42"/>
    </row>
    <row r="33" spans="3:13" ht="24.95" customHeight="1" x14ac:dyDescent="0.2">
      <c r="C33" s="72" t="s">
        <v>13</v>
      </c>
      <c r="D33" s="73"/>
      <c r="E33" s="74" t="s">
        <v>8</v>
      </c>
      <c r="F33" s="75">
        <v>20932</v>
      </c>
      <c r="G33" s="61">
        <v>0.4592861126603458</v>
      </c>
      <c r="H33" s="62"/>
      <c r="I33" s="72" t="s">
        <v>13</v>
      </c>
      <c r="J33" s="74" t="s">
        <v>8</v>
      </c>
      <c r="K33" s="75">
        <v>166347</v>
      </c>
      <c r="L33" s="41">
        <v>0.34863188617292962</v>
      </c>
      <c r="M33" s="42"/>
    </row>
    <row r="34" spans="3:13" ht="24.95" customHeight="1" x14ac:dyDescent="0.2">
      <c r="C34" s="76"/>
      <c r="D34" s="77"/>
      <c r="E34" s="78" t="s">
        <v>10</v>
      </c>
      <c r="F34" s="79">
        <v>13762</v>
      </c>
      <c r="G34" s="47">
        <v>0.61658639727475628</v>
      </c>
      <c r="H34" s="62"/>
      <c r="I34" s="76"/>
      <c r="J34" s="78" t="s">
        <v>10</v>
      </c>
      <c r="K34" s="79">
        <v>102913</v>
      </c>
      <c r="L34" s="49">
        <v>0.29567658760134963</v>
      </c>
      <c r="M34" s="42"/>
    </row>
    <row r="35" spans="3:13" ht="24.95" customHeight="1" thickBot="1" x14ac:dyDescent="0.25">
      <c r="C35" s="80"/>
      <c r="D35" s="81"/>
      <c r="E35" s="82" t="s">
        <v>11</v>
      </c>
      <c r="F35" s="83">
        <v>7170</v>
      </c>
      <c r="G35" s="71">
        <v>0.22963471102726807</v>
      </c>
      <c r="H35" s="62"/>
      <c r="I35" s="80"/>
      <c r="J35" s="82" t="s">
        <v>11</v>
      </c>
      <c r="K35" s="83">
        <v>63434</v>
      </c>
      <c r="L35" s="56">
        <v>0.44440649406835631</v>
      </c>
      <c r="M35" s="42"/>
    </row>
    <row r="36" spans="3:13" ht="24.95" customHeight="1" x14ac:dyDescent="0.2">
      <c r="C36" s="57" t="s">
        <v>14</v>
      </c>
      <c r="D36" s="58"/>
      <c r="E36" s="59" t="s">
        <v>8</v>
      </c>
      <c r="F36" s="60">
        <v>645465</v>
      </c>
      <c r="G36" s="61">
        <v>8.2303091480110835E-2</v>
      </c>
      <c r="H36" s="62"/>
      <c r="I36" s="57" t="s">
        <v>14</v>
      </c>
      <c r="J36" s="59" t="s">
        <v>8</v>
      </c>
      <c r="K36" s="60">
        <v>6351289</v>
      </c>
      <c r="L36" s="41">
        <v>7.0702604178871198E-2</v>
      </c>
      <c r="M36" s="42"/>
    </row>
    <row r="37" spans="3:13" ht="24.95" customHeight="1" x14ac:dyDescent="0.2">
      <c r="C37" s="63"/>
      <c r="D37" s="64"/>
      <c r="E37" s="65" t="s">
        <v>10</v>
      </c>
      <c r="F37" s="66">
        <v>458581</v>
      </c>
      <c r="G37" s="47">
        <v>0.10245092736167716</v>
      </c>
      <c r="H37" s="62"/>
      <c r="I37" s="63"/>
      <c r="J37" s="65" t="s">
        <v>10</v>
      </c>
      <c r="K37" s="66">
        <v>4561157</v>
      </c>
      <c r="L37" s="49">
        <v>7.4280108719716909E-2</v>
      </c>
      <c r="M37" s="42"/>
    </row>
    <row r="38" spans="3:13" ht="24.95" customHeight="1" thickBot="1" x14ac:dyDescent="0.25">
      <c r="C38" s="67"/>
      <c r="D38" s="68"/>
      <c r="E38" s="69" t="s">
        <v>11</v>
      </c>
      <c r="F38" s="70">
        <v>186884</v>
      </c>
      <c r="G38" s="71">
        <v>3.5850478893224569E-2</v>
      </c>
      <c r="H38" s="62"/>
      <c r="I38" s="67"/>
      <c r="J38" s="69" t="s">
        <v>11</v>
      </c>
      <c r="K38" s="70">
        <v>1790132</v>
      </c>
      <c r="L38" s="56">
        <v>6.1694113488511171E-2</v>
      </c>
      <c r="M38" s="42"/>
    </row>
    <row r="39" spans="3:13" ht="24.95" customHeight="1" x14ac:dyDescent="0.2">
      <c r="C39" s="84" t="s">
        <v>15</v>
      </c>
      <c r="D39" s="85"/>
      <c r="E39" s="86" t="s">
        <v>8</v>
      </c>
      <c r="F39" s="87">
        <v>2824960</v>
      </c>
      <c r="G39" s="61">
        <v>-4.7049759212207665E-2</v>
      </c>
      <c r="H39" s="62"/>
      <c r="I39" s="84" t="s">
        <v>15</v>
      </c>
      <c r="J39" s="86" t="s">
        <v>8</v>
      </c>
      <c r="K39" s="87">
        <v>28373233</v>
      </c>
      <c r="L39" s="41">
        <v>-1.8885054128240708E-2</v>
      </c>
      <c r="M39" s="42"/>
    </row>
    <row r="40" spans="3:13" ht="24.95" customHeight="1" x14ac:dyDescent="0.2">
      <c r="C40" s="88"/>
      <c r="D40" s="89"/>
      <c r="E40" s="90" t="s">
        <v>10</v>
      </c>
      <c r="F40" s="91">
        <v>1778781</v>
      </c>
      <c r="G40" s="47">
        <v>-4.9627417697699405E-2</v>
      </c>
      <c r="H40" s="62"/>
      <c r="I40" s="88"/>
      <c r="J40" s="90" t="s">
        <v>10</v>
      </c>
      <c r="K40" s="91">
        <v>17564346</v>
      </c>
      <c r="L40" s="49">
        <v>-3.348912905791479E-2</v>
      </c>
      <c r="M40" s="42"/>
    </row>
    <row r="41" spans="3:13" ht="24.95" customHeight="1" thickBot="1" x14ac:dyDescent="0.25">
      <c r="C41" s="92"/>
      <c r="D41" s="93"/>
      <c r="E41" s="94" t="s">
        <v>11</v>
      </c>
      <c r="F41" s="95">
        <v>1046179</v>
      </c>
      <c r="G41" s="71">
        <v>-4.2634811199805278E-2</v>
      </c>
      <c r="H41" s="62"/>
      <c r="I41" s="92"/>
      <c r="J41" s="94" t="s">
        <v>11</v>
      </c>
      <c r="K41" s="95">
        <v>10808887</v>
      </c>
      <c r="L41" s="56">
        <v>5.8114155996848993E-3</v>
      </c>
      <c r="M41" s="42"/>
    </row>
    <row r="42" spans="3:13" ht="5.25" customHeight="1" thickBot="1" x14ac:dyDescent="0.25">
      <c r="C42" s="96"/>
      <c r="D42" s="96"/>
      <c r="F42" s="96"/>
      <c r="G42" s="96"/>
      <c r="H42" s="96"/>
      <c r="I42" s="96"/>
      <c r="J42" s="96"/>
      <c r="K42" s="96"/>
      <c r="L42" s="96"/>
      <c r="M42" s="96"/>
    </row>
    <row r="43" spans="3:13" ht="20.100000000000001" customHeight="1" thickBot="1" x14ac:dyDescent="0.25">
      <c r="C43" s="27" t="s">
        <v>17</v>
      </c>
      <c r="D43" s="28"/>
      <c r="E43" s="28"/>
      <c r="F43" s="28"/>
      <c r="G43" s="28"/>
      <c r="H43" s="28"/>
      <c r="I43" s="28"/>
      <c r="J43" s="28"/>
      <c r="K43" s="28"/>
      <c r="L43" s="28"/>
      <c r="M43" s="29"/>
    </row>
    <row r="44" spans="3:13" ht="5.25" customHeight="1" thickBot="1" x14ac:dyDescent="0.2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97"/>
    </row>
    <row r="45" spans="3:13" ht="24.75" customHeight="1" x14ac:dyDescent="0.2">
      <c r="C45" s="38" t="s">
        <v>7</v>
      </c>
      <c r="D45" s="98"/>
      <c r="E45" s="39" t="s">
        <v>8</v>
      </c>
      <c r="F45" s="100">
        <v>7.083689154568745</v>
      </c>
      <c r="G45" s="101">
        <v>-0.17320687878396424</v>
      </c>
      <c r="H45" s="37"/>
      <c r="I45" s="38" t="s">
        <v>7</v>
      </c>
      <c r="J45" s="39" t="s">
        <v>8</v>
      </c>
      <c r="K45" s="100">
        <v>7.3645116113802311</v>
      </c>
      <c r="L45" s="102">
        <v>-0.15780892561069138</v>
      </c>
      <c r="M45" s="42" t="s">
        <v>9</v>
      </c>
    </row>
    <row r="46" spans="3:13" ht="24.75" customHeight="1" x14ac:dyDescent="0.2">
      <c r="C46" s="43"/>
      <c r="D46" s="44"/>
      <c r="E46" s="45" t="s">
        <v>10</v>
      </c>
      <c r="F46" s="103">
        <v>6.7942793889749833</v>
      </c>
      <c r="G46" s="104">
        <v>-8.4538223452894634E-2</v>
      </c>
      <c r="H46" s="48"/>
      <c r="I46" s="43"/>
      <c r="J46" s="45" t="s">
        <v>10</v>
      </c>
      <c r="K46" s="103">
        <v>7.0004219440516993</v>
      </c>
      <c r="L46" s="105">
        <v>-0.17674912505479412</v>
      </c>
      <c r="M46" s="42"/>
    </row>
    <row r="47" spans="3:13" ht="24.75" customHeight="1" thickBot="1" x14ac:dyDescent="0.25">
      <c r="C47" s="53"/>
      <c r="D47" s="99"/>
      <c r="E47" s="54" t="s">
        <v>11</v>
      </c>
      <c r="F47" s="106">
        <v>7.6917490480147857</v>
      </c>
      <c r="G47" s="107">
        <v>-0.37703982867749364</v>
      </c>
      <c r="H47" s="48"/>
      <c r="I47" s="53"/>
      <c r="J47" s="54" t="s">
        <v>11</v>
      </c>
      <c r="K47" s="106">
        <v>8.1216321959692177</v>
      </c>
      <c r="L47" s="108">
        <v>-0.13032571279256366</v>
      </c>
      <c r="M47" s="42"/>
    </row>
    <row r="48" spans="3:13" ht="24.75" hidden="1" customHeight="1" x14ac:dyDescent="0.2">
      <c r="C48" s="57" t="s">
        <v>12</v>
      </c>
      <c r="D48" s="58"/>
      <c r="E48" s="59" t="s">
        <v>8</v>
      </c>
      <c r="F48" s="109">
        <v>2.5203187250996018</v>
      </c>
      <c r="G48" s="101">
        <v>0.25769095147706356</v>
      </c>
      <c r="H48" s="62"/>
      <c r="I48" s="57" t="s">
        <v>12</v>
      </c>
      <c r="J48" s="59" t="s">
        <v>8</v>
      </c>
      <c r="K48" s="109">
        <v>2.372569898688734</v>
      </c>
      <c r="L48" s="102">
        <v>-2.8115594271898914E-2</v>
      </c>
      <c r="M48" s="42"/>
    </row>
    <row r="49" spans="2:13" ht="50.25" customHeight="1" thickBot="1" x14ac:dyDescent="0.25">
      <c r="C49" s="63"/>
      <c r="D49" s="64"/>
      <c r="E49" s="65" t="s">
        <v>10</v>
      </c>
      <c r="F49" s="110">
        <v>2.5203187250996018</v>
      </c>
      <c r="G49" s="104">
        <v>0.25769095147706356</v>
      </c>
      <c r="H49" s="62"/>
      <c r="I49" s="63"/>
      <c r="J49" s="65" t="s">
        <v>10</v>
      </c>
      <c r="K49" s="110">
        <v>2.372569898688734</v>
      </c>
      <c r="L49" s="105">
        <v>1.184047917995068E-2</v>
      </c>
      <c r="M49" s="42"/>
    </row>
    <row r="50" spans="2:13" ht="24.75" hidden="1" customHeight="1" x14ac:dyDescent="0.2">
      <c r="C50" s="67"/>
      <c r="D50" s="68"/>
      <c r="E50" s="69" t="s">
        <v>11</v>
      </c>
      <c r="F50" s="111" t="s">
        <v>38</v>
      </c>
      <c r="G50" s="107" t="s">
        <v>38</v>
      </c>
      <c r="H50" s="62"/>
      <c r="I50" s="67"/>
      <c r="J50" s="69" t="s">
        <v>11</v>
      </c>
      <c r="K50" s="111" t="e">
        <v>#DIV/0!</v>
      </c>
      <c r="L50" s="108" t="s">
        <v>38</v>
      </c>
      <c r="M50" s="42"/>
    </row>
    <row r="51" spans="2:13" ht="24.75" customHeight="1" x14ac:dyDescent="0.2">
      <c r="C51" s="72" t="s">
        <v>13</v>
      </c>
      <c r="D51" s="73"/>
      <c r="E51" s="74" t="s">
        <v>8</v>
      </c>
      <c r="F51" s="112">
        <v>3.956151956151956</v>
      </c>
      <c r="G51" s="101">
        <v>0.18736582898432586</v>
      </c>
      <c r="H51" s="62"/>
      <c r="I51" s="72" t="s">
        <v>13</v>
      </c>
      <c r="J51" s="74" t="s">
        <v>8</v>
      </c>
      <c r="K51" s="112">
        <v>3.8851597533632285</v>
      </c>
      <c r="L51" s="102">
        <v>0.34939939790959507</v>
      </c>
      <c r="M51" s="42"/>
    </row>
    <row r="52" spans="2:13" ht="24.75" customHeight="1" x14ac:dyDescent="0.2">
      <c r="C52" s="76"/>
      <c r="D52" s="77"/>
      <c r="E52" s="78" t="s">
        <v>10</v>
      </c>
      <c r="F52" s="113">
        <v>3.3145472061657033</v>
      </c>
      <c r="G52" s="104">
        <v>0.44338363112354484</v>
      </c>
      <c r="H52" s="62"/>
      <c r="I52" s="76"/>
      <c r="J52" s="78" t="s">
        <v>10</v>
      </c>
      <c r="K52" s="113">
        <v>3.1232132560468573</v>
      </c>
      <c r="L52" s="105">
        <v>0.31795790533696122</v>
      </c>
      <c r="M52" s="42"/>
    </row>
    <row r="53" spans="2:13" ht="24.75" customHeight="1" thickBot="1" x14ac:dyDescent="0.25">
      <c r="C53" s="80"/>
      <c r="D53" s="81"/>
      <c r="E53" s="82" t="s">
        <v>11</v>
      </c>
      <c r="F53" s="114">
        <v>6.2949956101843725</v>
      </c>
      <c r="G53" s="107">
        <v>-0.63841699385843409</v>
      </c>
      <c r="H53" s="62"/>
      <c r="I53" s="80"/>
      <c r="J53" s="82" t="s">
        <v>11</v>
      </c>
      <c r="K53" s="114">
        <v>6.4302078053725289</v>
      </c>
      <c r="L53" s="108">
        <v>-0.2532498114285664</v>
      </c>
      <c r="M53" s="42"/>
    </row>
    <row r="54" spans="2:13" ht="24.75" customHeight="1" x14ac:dyDescent="0.2">
      <c r="C54" s="57" t="s">
        <v>14</v>
      </c>
      <c r="D54" s="58"/>
      <c r="E54" s="59" t="s">
        <v>8</v>
      </c>
      <c r="F54" s="109">
        <v>6.8401615022678142</v>
      </c>
      <c r="G54" s="101">
        <v>0.10915091559934176</v>
      </c>
      <c r="H54" s="62"/>
      <c r="I54" s="57" t="s">
        <v>14</v>
      </c>
      <c r="J54" s="59" t="s">
        <v>8</v>
      </c>
      <c r="K54" s="109">
        <v>6.8686791236695308</v>
      </c>
      <c r="L54" s="102">
        <v>-0.15473229112679565</v>
      </c>
      <c r="M54" s="42"/>
    </row>
    <row r="55" spans="2:13" ht="24.75" customHeight="1" x14ac:dyDescent="0.2">
      <c r="C55" s="63"/>
      <c r="D55" s="64"/>
      <c r="E55" s="65" t="s">
        <v>10</v>
      </c>
      <c r="F55" s="110">
        <v>6.6918777725893062</v>
      </c>
      <c r="G55" s="104">
        <v>0.25348874353672635</v>
      </c>
      <c r="H55" s="62"/>
      <c r="I55" s="63"/>
      <c r="J55" s="65" t="s">
        <v>10</v>
      </c>
      <c r="K55" s="110">
        <v>6.73572528756171</v>
      </c>
      <c r="L55" s="105">
        <v>-0.10867502259628647</v>
      </c>
      <c r="M55" s="42"/>
    </row>
    <row r="56" spans="2:13" ht="24.75" customHeight="1" thickBot="1" x14ac:dyDescent="0.25">
      <c r="C56" s="67"/>
      <c r="D56" s="68"/>
      <c r="E56" s="69" t="s">
        <v>11</v>
      </c>
      <c r="F56" s="111">
        <v>7.233472673788512</v>
      </c>
      <c r="G56" s="107">
        <v>-0.28542709699706847</v>
      </c>
      <c r="H56" s="62"/>
      <c r="I56" s="67"/>
      <c r="J56" s="69" t="s">
        <v>11</v>
      </c>
      <c r="K56" s="111">
        <v>7.2324182372785488</v>
      </c>
      <c r="L56" s="108">
        <v>-0.28616072722231856</v>
      </c>
      <c r="M56" s="42"/>
    </row>
    <row r="57" spans="2:13" ht="24.75" customHeight="1" x14ac:dyDescent="0.2">
      <c r="C57" s="84" t="s">
        <v>15</v>
      </c>
      <c r="D57" s="85"/>
      <c r="E57" s="86" t="s">
        <v>8</v>
      </c>
      <c r="F57" s="115">
        <v>7.4285924655913247</v>
      </c>
      <c r="G57" s="101">
        <v>-0.24241028510928864</v>
      </c>
      <c r="H57" s="62"/>
      <c r="I57" s="84" t="s">
        <v>15</v>
      </c>
      <c r="J57" s="86" t="s">
        <v>8</v>
      </c>
      <c r="K57" s="115">
        <v>7.8022735384847222</v>
      </c>
      <c r="L57" s="102">
        <v>-0.14899748252226264</v>
      </c>
      <c r="M57" s="42"/>
    </row>
    <row r="58" spans="2:13" ht="24.75" customHeight="1" x14ac:dyDescent="0.2">
      <c r="C58" s="88"/>
      <c r="D58" s="89"/>
      <c r="E58" s="90" t="s">
        <v>10</v>
      </c>
      <c r="F58" s="116">
        <v>7.2303761965733795</v>
      </c>
      <c r="G58" s="104">
        <v>-0.17427785514973504</v>
      </c>
      <c r="H58" s="62"/>
      <c r="I58" s="88"/>
      <c r="J58" s="90" t="s">
        <v>10</v>
      </c>
      <c r="K58" s="116">
        <v>7.5228095452653143</v>
      </c>
      <c r="L58" s="105">
        <v>-0.19215650928514183</v>
      </c>
      <c r="M58" s="42"/>
    </row>
    <row r="59" spans="2:13" ht="24.75" customHeight="1" thickBot="1" x14ac:dyDescent="0.25">
      <c r="C59" s="117"/>
      <c r="D59" s="118"/>
      <c r="E59" s="119" t="s">
        <v>11</v>
      </c>
      <c r="F59" s="120">
        <v>7.7917805566520437</v>
      </c>
      <c r="G59" s="121">
        <v>-0.38285550911794086</v>
      </c>
      <c r="H59" s="122"/>
      <c r="I59" s="117"/>
      <c r="J59" s="119" t="s">
        <v>11</v>
      </c>
      <c r="K59" s="120">
        <v>8.3035294786444425</v>
      </c>
      <c r="L59" s="123">
        <v>-8.2086331183170103E-2</v>
      </c>
      <c r="M59" s="124"/>
    </row>
    <row r="60" spans="2:13" ht="13.5" thickBot="1" x14ac:dyDescent="0.25">
      <c r="C60" s="125" t="s">
        <v>95</v>
      </c>
      <c r="D60" s="126"/>
      <c r="E60" s="126"/>
      <c r="F60" s="126"/>
      <c r="G60" s="126"/>
      <c r="H60" s="126"/>
      <c r="I60" s="126"/>
      <c r="J60" s="126"/>
      <c r="K60" s="126"/>
      <c r="L60" s="126"/>
      <c r="M60" s="127"/>
    </row>
    <row r="61" spans="2:13" ht="50.25" customHeight="1" thickBot="1" x14ac:dyDescent="0.25">
      <c r="C61" s="128"/>
      <c r="D61" s="128"/>
      <c r="E61" s="129" t="s">
        <v>92</v>
      </c>
      <c r="F61" s="129"/>
      <c r="G61" s="129"/>
      <c r="H61" s="129"/>
      <c r="I61" s="129"/>
      <c r="J61" s="129"/>
      <c r="K61" s="129"/>
      <c r="L61" s="128"/>
      <c r="M61" s="128"/>
    </row>
    <row r="62" spans="2:13" ht="15" customHeight="1" x14ac:dyDescent="0.2">
      <c r="B62" s="5"/>
      <c r="C62" s="6" t="s">
        <v>93</v>
      </c>
      <c r="D62" s="6"/>
      <c r="E62" s="6"/>
      <c r="F62" s="6"/>
      <c r="G62" s="6"/>
      <c r="H62" s="7"/>
      <c r="I62" s="8" t="str">
        <f>I2</f>
        <v>acumulado octubre 2017</v>
      </c>
      <c r="J62" s="8"/>
      <c r="K62" s="8"/>
      <c r="L62" s="8"/>
      <c r="M62" s="8"/>
    </row>
    <row r="63" spans="2:13" ht="16.5" customHeight="1" thickBot="1" x14ac:dyDescent="0.25">
      <c r="B63" s="5"/>
      <c r="C63" s="9"/>
      <c r="D63" s="9"/>
      <c r="E63" s="9"/>
      <c r="F63" s="9"/>
      <c r="G63" s="9"/>
      <c r="H63" s="10"/>
      <c r="I63" s="11"/>
      <c r="J63" s="11"/>
      <c r="K63" s="11"/>
      <c r="L63" s="11"/>
      <c r="M63" s="11"/>
    </row>
    <row r="64" spans="2:13" ht="81.75" customHeight="1" x14ac:dyDescent="0.2">
      <c r="C64" s="20" t="str">
        <f t="shared" ref="C64:G64" si="0">C5</f>
        <v>Ámbito</v>
      </c>
      <c r="D64" s="21">
        <f t="shared" si="0"/>
        <v>0</v>
      </c>
      <c r="E64" s="22" t="str">
        <f t="shared" si="0"/>
        <v>Variable</v>
      </c>
      <c r="F64" s="22" t="str">
        <f t="shared" si="0"/>
        <v>Valor absoluto
mensual</v>
      </c>
      <c r="G64" s="22" t="str">
        <f t="shared" si="0"/>
        <v>Variación respecto al período anterior</v>
      </c>
      <c r="H64" s="24"/>
      <c r="I64" s="22" t="str">
        <f>I5</f>
        <v>Ámbito</v>
      </c>
      <c r="J64" s="22" t="str">
        <f t="shared" ref="J64:M64" si="1">J5</f>
        <v>Variable</v>
      </c>
      <c r="K64" s="22" t="str">
        <f t="shared" si="1"/>
        <v>Valor absoluto
acumulado</v>
      </c>
      <c r="L64" s="22" t="str">
        <f t="shared" si="1"/>
        <v>Variación respecto al período anterior</v>
      </c>
      <c r="M64" s="23" t="str">
        <f t="shared" si="1"/>
        <v>Fuente</v>
      </c>
    </row>
    <row r="65" spans="3:13" ht="5.25" customHeight="1" thickBot="1" x14ac:dyDescent="0.25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3:13" ht="20.100000000000001" customHeight="1" thickBot="1" x14ac:dyDescent="0.25">
      <c r="C66" s="27" t="s">
        <v>18</v>
      </c>
      <c r="D66" s="28"/>
      <c r="E66" s="28"/>
      <c r="F66" s="28"/>
      <c r="G66" s="28"/>
      <c r="H66" s="28"/>
      <c r="I66" s="28"/>
      <c r="J66" s="28"/>
      <c r="K66" s="28"/>
      <c r="L66" s="28"/>
      <c r="M66" s="29"/>
    </row>
    <row r="67" spans="3:13" ht="5.25" customHeight="1" thickBot="1" x14ac:dyDescent="0.25"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97"/>
    </row>
    <row r="68" spans="3:13" ht="24.75" customHeight="1" x14ac:dyDescent="0.2">
      <c r="C68" s="38" t="s">
        <v>7</v>
      </c>
      <c r="D68" s="98"/>
      <c r="E68" s="39" t="s">
        <v>8</v>
      </c>
      <c r="F68" s="130">
        <v>0.71044262697883398</v>
      </c>
      <c r="G68" s="61">
        <v>-3.7092005451662025E-2</v>
      </c>
      <c r="H68" s="37"/>
      <c r="I68" s="38" t="s">
        <v>7</v>
      </c>
      <c r="J68" s="39" t="s">
        <v>8</v>
      </c>
      <c r="K68" s="130">
        <v>0.72794901380176225</v>
      </c>
      <c r="L68" s="41">
        <v>-8.3321652112449129E-3</v>
      </c>
      <c r="M68" s="42" t="s">
        <v>9</v>
      </c>
    </row>
    <row r="69" spans="3:13" ht="24.75" customHeight="1" x14ac:dyDescent="0.2">
      <c r="C69" s="43"/>
      <c r="D69" s="44"/>
      <c r="E69" s="45" t="s">
        <v>10</v>
      </c>
      <c r="F69" s="131">
        <v>0.79472341647941425</v>
      </c>
      <c r="G69" s="47">
        <v>-2.6189049791585539E-2</v>
      </c>
      <c r="H69" s="48"/>
      <c r="I69" s="43"/>
      <c r="J69" s="45" t="s">
        <v>10</v>
      </c>
      <c r="K69" s="131">
        <v>0.80243067730968332</v>
      </c>
      <c r="L69" s="49">
        <v>-1.3392790469601179E-2</v>
      </c>
      <c r="M69" s="42"/>
    </row>
    <row r="70" spans="3:13" ht="24.75" customHeight="1" thickBot="1" x14ac:dyDescent="0.25">
      <c r="C70" s="53"/>
      <c r="D70" s="99"/>
      <c r="E70" s="54" t="s">
        <v>11</v>
      </c>
      <c r="F70" s="132">
        <v>0.59360974715539649</v>
      </c>
      <c r="G70" s="71">
        <v>-5.4148306182228656E-2</v>
      </c>
      <c r="H70" s="48"/>
      <c r="I70" s="53"/>
      <c r="J70" s="54" t="s">
        <v>11</v>
      </c>
      <c r="K70" s="132">
        <v>0.62411409355649161</v>
      </c>
      <c r="L70" s="56">
        <v>2.552880854729267E-3</v>
      </c>
      <c r="M70" s="42"/>
    </row>
    <row r="71" spans="3:13" ht="24.75" hidden="1" customHeight="1" x14ac:dyDescent="0.2">
      <c r="C71" s="57" t="s">
        <v>12</v>
      </c>
      <c r="D71" s="58"/>
      <c r="E71" s="59" t="s">
        <v>8</v>
      </c>
      <c r="F71" s="133">
        <v>0.55471156270209243</v>
      </c>
      <c r="G71" s="61">
        <v>6.4877013178025633E-2</v>
      </c>
      <c r="H71" s="62"/>
      <c r="I71" s="57" t="s">
        <v>12</v>
      </c>
      <c r="J71" s="59" t="s">
        <v>8</v>
      </c>
      <c r="K71" s="133">
        <v>0.52984979979345204</v>
      </c>
      <c r="L71" s="41">
        <v>-6.5263471732864176E-2</v>
      </c>
      <c r="M71" s="42"/>
    </row>
    <row r="72" spans="3:13" ht="43.5" customHeight="1" thickBot="1" x14ac:dyDescent="0.25">
      <c r="C72" s="63"/>
      <c r="D72" s="64"/>
      <c r="E72" s="65" t="s">
        <v>10</v>
      </c>
      <c r="F72" s="134">
        <v>0.64348290462446123</v>
      </c>
      <c r="G72" s="47">
        <v>0.11527866540317788</v>
      </c>
      <c r="H72" s="62"/>
      <c r="I72" s="63"/>
      <c r="J72" s="65" t="s">
        <v>10</v>
      </c>
      <c r="K72" s="134">
        <v>0.60668423127191251</v>
      </c>
      <c r="L72" s="49">
        <v>3.2243897499654395E-2</v>
      </c>
      <c r="M72" s="42"/>
    </row>
    <row r="73" spans="3:13" ht="24.75" hidden="1" customHeight="1" x14ac:dyDescent="0.2">
      <c r="C73" s="67"/>
      <c r="D73" s="68"/>
      <c r="E73" s="69" t="s">
        <v>11</v>
      </c>
      <c r="F73" s="135">
        <v>0</v>
      </c>
      <c r="G73" s="71" t="s">
        <v>38</v>
      </c>
      <c r="H73" s="62"/>
      <c r="I73" s="67"/>
      <c r="J73" s="69" t="s">
        <v>11</v>
      </c>
      <c r="K73" s="135">
        <v>0</v>
      </c>
      <c r="L73" s="56">
        <v>-1</v>
      </c>
      <c r="M73" s="42"/>
    </row>
    <row r="74" spans="3:13" ht="24.75" customHeight="1" x14ac:dyDescent="0.2">
      <c r="C74" s="72" t="s">
        <v>13</v>
      </c>
      <c r="D74" s="73"/>
      <c r="E74" s="74" t="s">
        <v>8</v>
      </c>
      <c r="F74" s="136">
        <v>0.47618180990945902</v>
      </c>
      <c r="G74" s="61">
        <v>2.1911925156363532E-2</v>
      </c>
      <c r="H74" s="62"/>
      <c r="I74" s="72" t="s">
        <v>13</v>
      </c>
      <c r="J74" s="74" t="s">
        <v>8</v>
      </c>
      <c r="K74" s="136">
        <v>0.44927563631649453</v>
      </c>
      <c r="L74" s="41">
        <v>7.9299619959053436E-2</v>
      </c>
      <c r="M74" s="42"/>
    </row>
    <row r="75" spans="3:13" ht="24.75" customHeight="1" x14ac:dyDescent="0.2">
      <c r="C75" s="76"/>
      <c r="D75" s="77"/>
      <c r="E75" s="78" t="s">
        <v>10</v>
      </c>
      <c r="F75" s="137">
        <v>0.53875665518321325</v>
      </c>
      <c r="G75" s="47">
        <v>0.13396473012719556</v>
      </c>
      <c r="H75" s="62"/>
      <c r="I75" s="76"/>
      <c r="J75" s="78" t="s">
        <v>10</v>
      </c>
      <c r="K75" s="137">
        <v>0.49965043452930036</v>
      </c>
      <c r="L75" s="49">
        <v>0.13186914796868887</v>
      </c>
      <c r="M75" s="42"/>
    </row>
    <row r="76" spans="3:13" ht="24.75" customHeight="1" thickBot="1" x14ac:dyDescent="0.25">
      <c r="C76" s="80"/>
      <c r="D76" s="81"/>
      <c r="E76" s="82" t="s">
        <v>11</v>
      </c>
      <c r="F76" s="138">
        <v>0.38937764744216358</v>
      </c>
      <c r="G76" s="71">
        <v>-0.14091177596579763</v>
      </c>
      <c r="H76" s="62"/>
      <c r="I76" s="80"/>
      <c r="J76" s="82" t="s">
        <v>11</v>
      </c>
      <c r="K76" s="138">
        <v>0.38611932848812436</v>
      </c>
      <c r="L76" s="56">
        <v>2.32421569650334E-2</v>
      </c>
      <c r="M76" s="42"/>
    </row>
    <row r="77" spans="3:13" ht="24.75" customHeight="1" x14ac:dyDescent="0.2">
      <c r="C77" s="57" t="s">
        <v>14</v>
      </c>
      <c r="D77" s="58"/>
      <c r="E77" s="59" t="s">
        <v>8</v>
      </c>
      <c r="F77" s="133">
        <v>0.72827742612463187</v>
      </c>
      <c r="G77" s="61">
        <v>2.5102672759353739E-2</v>
      </c>
      <c r="H77" s="62"/>
      <c r="I77" s="57" t="s">
        <v>14</v>
      </c>
      <c r="J77" s="59" t="s">
        <v>8</v>
      </c>
      <c r="K77" s="133">
        <v>0.74052078010098654</v>
      </c>
      <c r="L77" s="41">
        <v>2.6248804273093951E-2</v>
      </c>
      <c r="M77" s="42"/>
    </row>
    <row r="78" spans="3:13" ht="24.75" customHeight="1" x14ac:dyDescent="0.2">
      <c r="C78" s="63"/>
      <c r="D78" s="64"/>
      <c r="E78" s="65" t="s">
        <v>10</v>
      </c>
      <c r="F78" s="134">
        <v>0.75451063367698501</v>
      </c>
      <c r="G78" s="47">
        <v>3.6436575187719589E-2</v>
      </c>
      <c r="H78" s="62"/>
      <c r="I78" s="63"/>
      <c r="J78" s="65" t="s">
        <v>10</v>
      </c>
      <c r="K78" s="134">
        <v>0.77477144944030163</v>
      </c>
      <c r="L78" s="49">
        <v>2.5860770837280889E-2</v>
      </c>
      <c r="M78" s="42"/>
    </row>
    <row r="79" spans="3:13" ht="24.75" customHeight="1" thickBot="1" x14ac:dyDescent="0.25">
      <c r="C79" s="67"/>
      <c r="D79" s="68"/>
      <c r="E79" s="69" t="s">
        <v>11</v>
      </c>
      <c r="F79" s="135">
        <v>0.67102806422888006</v>
      </c>
      <c r="G79" s="71">
        <v>-3.0054440127211812E-3</v>
      </c>
      <c r="H79" s="62"/>
      <c r="I79" s="67"/>
      <c r="J79" s="69" t="s">
        <v>11</v>
      </c>
      <c r="K79" s="135">
        <v>0.66555402171330713</v>
      </c>
      <c r="L79" s="56">
        <v>2.5870990732764332E-2</v>
      </c>
      <c r="M79" s="42"/>
    </row>
    <row r="80" spans="3:13" ht="24.75" customHeight="1" x14ac:dyDescent="0.2">
      <c r="C80" s="84" t="s">
        <v>15</v>
      </c>
      <c r="D80" s="85"/>
      <c r="E80" s="86" t="s">
        <v>8</v>
      </c>
      <c r="F80" s="139">
        <v>0.71263698590396696</v>
      </c>
      <c r="G80" s="61">
        <v>-5.04852508759015E-2</v>
      </c>
      <c r="H80" s="62"/>
      <c r="I80" s="84" t="s">
        <v>15</v>
      </c>
      <c r="J80" s="86" t="s">
        <v>8</v>
      </c>
      <c r="K80" s="139">
        <v>0.73234449441646432</v>
      </c>
      <c r="L80" s="41">
        <v>-1.3902446595308815E-2</v>
      </c>
      <c r="M80" s="42"/>
    </row>
    <row r="81" spans="3:13" ht="24.75" customHeight="1" x14ac:dyDescent="0.2">
      <c r="C81" s="88"/>
      <c r="D81" s="89"/>
      <c r="E81" s="90" t="s">
        <v>10</v>
      </c>
      <c r="F81" s="140">
        <v>0.81435165918826746</v>
      </c>
      <c r="G81" s="47">
        <v>-4.2263011431296071E-2</v>
      </c>
      <c r="H81" s="62"/>
      <c r="I81" s="88"/>
      <c r="J81" s="90" t="s">
        <v>10</v>
      </c>
      <c r="K81" s="140">
        <v>0.81999196644056171</v>
      </c>
      <c r="L81" s="49">
        <v>-2.3403416776728192E-2</v>
      </c>
      <c r="M81" s="42"/>
    </row>
    <row r="82" spans="3:13" ht="24.75" customHeight="1" thickBot="1" x14ac:dyDescent="0.25">
      <c r="C82" s="92"/>
      <c r="D82" s="93"/>
      <c r="E82" s="94" t="s">
        <v>11</v>
      </c>
      <c r="F82" s="141">
        <v>0.58780606617698705</v>
      </c>
      <c r="G82" s="71">
        <v>-5.9426596076432303E-2</v>
      </c>
      <c r="H82" s="62"/>
      <c r="I82" s="92"/>
      <c r="J82" s="94" t="s">
        <v>11</v>
      </c>
      <c r="K82" s="141">
        <v>0.62396629426879036</v>
      </c>
      <c r="L82" s="56">
        <v>4.2573112076331743E-3</v>
      </c>
      <c r="M82" s="42"/>
    </row>
    <row r="83" spans="3:13" ht="5.25" customHeight="1" thickBot="1" x14ac:dyDescent="0.25"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</row>
    <row r="84" spans="3:13" ht="20.100000000000001" customHeight="1" thickBot="1" x14ac:dyDescent="0.25">
      <c r="C84" s="27" t="s">
        <v>19</v>
      </c>
      <c r="D84" s="28"/>
      <c r="E84" s="28"/>
      <c r="F84" s="28"/>
      <c r="G84" s="28"/>
      <c r="H84" s="28"/>
      <c r="I84" s="28"/>
      <c r="J84" s="28"/>
      <c r="K84" s="28"/>
      <c r="L84" s="28"/>
      <c r="M84" s="29"/>
    </row>
    <row r="85" spans="3:13" ht="5.25" customHeight="1" thickBot="1" x14ac:dyDescent="0.25">
      <c r="C85" s="142"/>
      <c r="D85" s="30"/>
      <c r="E85" s="30"/>
      <c r="F85" s="30"/>
      <c r="G85" s="30"/>
      <c r="H85" s="30"/>
      <c r="I85" s="30"/>
      <c r="J85" s="30"/>
      <c r="K85" s="30"/>
      <c r="L85" s="30"/>
      <c r="M85" s="97"/>
    </row>
    <row r="86" spans="3:13" ht="33.75" customHeight="1" x14ac:dyDescent="0.2">
      <c r="C86" s="57" t="s">
        <v>7</v>
      </c>
      <c r="D86" s="58"/>
      <c r="E86" s="59" t="s">
        <v>20</v>
      </c>
      <c r="F86" s="60">
        <v>59038</v>
      </c>
      <c r="G86" s="61">
        <v>4.3682712535577206E-2</v>
      </c>
      <c r="H86" s="143"/>
      <c r="I86" s="57" t="s">
        <v>7</v>
      </c>
      <c r="J86" s="59" t="s">
        <v>20</v>
      </c>
      <c r="K86" s="60">
        <v>527121</v>
      </c>
      <c r="L86" s="41">
        <v>8.3979904705696162E-2</v>
      </c>
      <c r="M86" s="42" t="s">
        <v>9</v>
      </c>
    </row>
    <row r="87" spans="3:13" ht="33.75" customHeight="1" x14ac:dyDescent="0.2">
      <c r="C87" s="63"/>
      <c r="D87" s="64"/>
      <c r="E87" s="90" t="s">
        <v>21</v>
      </c>
      <c r="F87" s="91">
        <v>198723</v>
      </c>
      <c r="G87" s="47">
        <v>5.9918229240096821E-4</v>
      </c>
      <c r="H87" s="62"/>
      <c r="I87" s="63"/>
      <c r="J87" s="90" t="s">
        <v>21</v>
      </c>
      <c r="K87" s="91">
        <v>1919443</v>
      </c>
      <c r="L87" s="49">
        <v>1.6917517301885843E-2</v>
      </c>
      <c r="M87" s="42"/>
    </row>
    <row r="88" spans="3:13" ht="33.75" customHeight="1" x14ac:dyDescent="0.2">
      <c r="C88" s="63"/>
      <c r="D88" s="64"/>
      <c r="E88" s="65" t="s">
        <v>22</v>
      </c>
      <c r="F88" s="66">
        <v>61409</v>
      </c>
      <c r="G88" s="47">
        <v>-6.3858654227263001E-2</v>
      </c>
      <c r="H88" s="62"/>
      <c r="I88" s="63"/>
      <c r="J88" s="65" t="s">
        <v>22</v>
      </c>
      <c r="K88" s="66">
        <v>595018</v>
      </c>
      <c r="L88" s="49">
        <v>-7.5547973724605533E-2</v>
      </c>
      <c r="M88" s="42"/>
    </row>
    <row r="89" spans="3:13" ht="33.75" customHeight="1" x14ac:dyDescent="0.2">
      <c r="C89" s="63"/>
      <c r="D89" s="64"/>
      <c r="E89" s="90" t="s">
        <v>23</v>
      </c>
      <c r="F89" s="91">
        <v>14846</v>
      </c>
      <c r="G89" s="47">
        <v>-3.3566058002147958E-3</v>
      </c>
      <c r="H89" s="62"/>
      <c r="I89" s="63"/>
      <c r="J89" s="90" t="s">
        <v>23</v>
      </c>
      <c r="K89" s="91">
        <v>153709</v>
      </c>
      <c r="L89" s="49">
        <v>0.16538029963001155</v>
      </c>
      <c r="M89" s="42"/>
    </row>
    <row r="90" spans="3:13" ht="33.75" customHeight="1" thickBot="1" x14ac:dyDescent="0.25">
      <c r="C90" s="67"/>
      <c r="D90" s="68"/>
      <c r="E90" s="69" t="s">
        <v>24</v>
      </c>
      <c r="F90" s="70">
        <v>4759</v>
      </c>
      <c r="G90" s="71">
        <v>5.9184104840415142E-3</v>
      </c>
      <c r="H90" s="144"/>
      <c r="I90" s="67"/>
      <c r="J90" s="69" t="s">
        <v>24</v>
      </c>
      <c r="K90" s="70">
        <v>46845</v>
      </c>
      <c r="L90" s="56">
        <v>-4.9970593603601787E-2</v>
      </c>
      <c r="M90" s="42"/>
    </row>
    <row r="91" spans="3:13" ht="5.25" customHeight="1" thickBot="1" x14ac:dyDescent="0.25"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</row>
    <row r="92" spans="3:13" ht="20.100000000000001" customHeight="1" thickBot="1" x14ac:dyDescent="0.25">
      <c r="C92" s="27" t="s">
        <v>25</v>
      </c>
      <c r="D92" s="28"/>
      <c r="E92" s="28"/>
      <c r="F92" s="28"/>
      <c r="G92" s="28"/>
      <c r="H92" s="28"/>
      <c r="I92" s="28"/>
      <c r="J92" s="28"/>
      <c r="K92" s="28"/>
      <c r="L92" s="28"/>
      <c r="M92" s="29"/>
    </row>
    <row r="93" spans="3:13" ht="5.25" customHeight="1" thickBot="1" x14ac:dyDescent="0.25">
      <c r="C93" s="142"/>
      <c r="D93" s="30"/>
      <c r="E93" s="30"/>
      <c r="F93" s="30"/>
      <c r="G93" s="30"/>
      <c r="H93" s="30"/>
      <c r="I93" s="30"/>
      <c r="J93" s="30"/>
      <c r="K93" s="30"/>
      <c r="L93" s="30"/>
      <c r="M93" s="97"/>
    </row>
    <row r="94" spans="3:13" s="145" customFormat="1" ht="33.75" customHeight="1" x14ac:dyDescent="0.2">
      <c r="C94" s="57" t="s">
        <v>7</v>
      </c>
      <c r="D94" s="58"/>
      <c r="E94" s="59" t="s">
        <v>20</v>
      </c>
      <c r="F94" s="60">
        <v>376950</v>
      </c>
      <c r="G94" s="61">
        <v>4.2753011798226881E-2</v>
      </c>
      <c r="H94" s="143"/>
      <c r="I94" s="57" t="s">
        <v>7</v>
      </c>
      <c r="J94" s="59" t="s">
        <v>20</v>
      </c>
      <c r="K94" s="60">
        <v>3533538</v>
      </c>
      <c r="L94" s="41">
        <v>6.7700906757943713E-2</v>
      </c>
      <c r="M94" s="42" t="s">
        <v>9</v>
      </c>
    </row>
    <row r="95" spans="3:13" s="145" customFormat="1" ht="33.75" customHeight="1" x14ac:dyDescent="0.2">
      <c r="C95" s="63"/>
      <c r="D95" s="64"/>
      <c r="E95" s="90" t="s">
        <v>21</v>
      </c>
      <c r="F95" s="91">
        <v>1454945</v>
      </c>
      <c r="G95" s="47">
        <v>-1.0335750336702643E-2</v>
      </c>
      <c r="H95" s="62"/>
      <c r="I95" s="63"/>
      <c r="J95" s="90" t="s">
        <v>21</v>
      </c>
      <c r="K95" s="91">
        <v>14482891</v>
      </c>
      <c r="L95" s="49">
        <v>-2.8516330794119416E-3</v>
      </c>
      <c r="M95" s="42" t="s">
        <v>26</v>
      </c>
    </row>
    <row r="96" spans="3:13" s="145" customFormat="1" ht="33.75" customHeight="1" x14ac:dyDescent="0.2">
      <c r="C96" s="63"/>
      <c r="D96" s="64"/>
      <c r="E96" s="65" t="s">
        <v>22</v>
      </c>
      <c r="F96" s="66">
        <v>392901</v>
      </c>
      <c r="G96" s="47">
        <v>-8.9815878722733888E-2</v>
      </c>
      <c r="H96" s="62"/>
      <c r="I96" s="63"/>
      <c r="J96" s="65" t="s">
        <v>22</v>
      </c>
      <c r="K96" s="66">
        <v>3947942</v>
      </c>
      <c r="L96" s="49">
        <v>-0.10041482241020816</v>
      </c>
      <c r="M96" s="42" t="s">
        <v>26</v>
      </c>
    </row>
    <row r="97" spans="3:15" s="145" customFormat="1" ht="33.75" customHeight="1" x14ac:dyDescent="0.2">
      <c r="C97" s="63"/>
      <c r="D97" s="64"/>
      <c r="E97" s="90" t="s">
        <v>23</v>
      </c>
      <c r="F97" s="91">
        <v>57031</v>
      </c>
      <c r="G97" s="47">
        <v>-2.7521527836985249E-2</v>
      </c>
      <c r="H97" s="62"/>
      <c r="I97" s="63"/>
      <c r="J97" s="90" t="s">
        <v>23</v>
      </c>
      <c r="K97" s="91">
        <v>537442</v>
      </c>
      <c r="L97" s="49">
        <v>2.9185747502229464E-3</v>
      </c>
      <c r="M97" s="42" t="s">
        <v>26</v>
      </c>
    </row>
    <row r="98" spans="3:15" s="145" customFormat="1" ht="33.75" customHeight="1" thickBot="1" x14ac:dyDescent="0.25">
      <c r="C98" s="67"/>
      <c r="D98" s="68"/>
      <c r="E98" s="69" t="s">
        <v>24</v>
      </c>
      <c r="F98" s="70">
        <v>19905</v>
      </c>
      <c r="G98" s="71">
        <v>1.7118037812979159E-2</v>
      </c>
      <c r="H98" s="144"/>
      <c r="I98" s="67"/>
      <c r="J98" s="69" t="s">
        <v>24</v>
      </c>
      <c r="K98" s="70">
        <v>194507</v>
      </c>
      <c r="L98" s="56">
        <v>-2.2150387355275969E-2</v>
      </c>
      <c r="M98" s="42" t="s">
        <v>26</v>
      </c>
    </row>
    <row r="99" spans="3:15" ht="5.25" customHeight="1" thickBot="1" x14ac:dyDescent="0.25"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</row>
    <row r="100" spans="3:15" ht="20.100000000000001" customHeight="1" thickBot="1" x14ac:dyDescent="0.25">
      <c r="C100" s="27" t="s">
        <v>27</v>
      </c>
      <c r="D100" s="28"/>
      <c r="E100" s="28"/>
      <c r="F100" s="28"/>
      <c r="G100" s="28"/>
      <c r="H100" s="28"/>
      <c r="I100" s="28"/>
      <c r="J100" s="28"/>
      <c r="K100" s="28"/>
      <c r="L100" s="28"/>
      <c r="M100" s="29"/>
    </row>
    <row r="101" spans="3:15" ht="5.25" customHeight="1" thickBot="1" x14ac:dyDescent="0.25">
      <c r="C101" s="142"/>
      <c r="D101" s="30"/>
      <c r="E101" s="30"/>
      <c r="F101" s="30"/>
      <c r="G101" s="30"/>
      <c r="H101" s="30"/>
      <c r="I101" s="30"/>
      <c r="J101" s="30"/>
      <c r="K101" s="30"/>
      <c r="L101" s="30"/>
      <c r="M101" s="97"/>
    </row>
    <row r="102" spans="3:15" ht="33.75" customHeight="1" x14ac:dyDescent="0.2">
      <c r="C102" s="57" t="s">
        <v>7</v>
      </c>
      <c r="D102" s="58"/>
      <c r="E102" s="59" t="s">
        <v>20</v>
      </c>
      <c r="F102" s="146">
        <v>6.384870761204648</v>
      </c>
      <c r="G102" s="101">
        <v>-5.6926414859663765E-3</v>
      </c>
      <c r="H102" s="143"/>
      <c r="I102" s="57" t="s">
        <v>7</v>
      </c>
      <c r="J102" s="59" t="s">
        <v>20</v>
      </c>
      <c r="K102" s="146">
        <v>6.7034665664999116</v>
      </c>
      <c r="L102" s="102">
        <v>-0.10220626187368964</v>
      </c>
      <c r="M102" s="42" t="s">
        <v>9</v>
      </c>
    </row>
    <row r="103" spans="3:15" ht="33.75" customHeight="1" x14ac:dyDescent="0.2">
      <c r="C103" s="63"/>
      <c r="D103" s="64"/>
      <c r="E103" s="78" t="s">
        <v>21</v>
      </c>
      <c r="F103" s="147">
        <v>7.3214726025673924</v>
      </c>
      <c r="G103" s="104">
        <v>-8.0895929788451504E-2</v>
      </c>
      <c r="H103" s="62"/>
      <c r="I103" s="63"/>
      <c r="J103" s="78" t="s">
        <v>21</v>
      </c>
      <c r="K103" s="147">
        <v>7.545361336596085</v>
      </c>
      <c r="L103" s="105">
        <v>-0.14959196433832034</v>
      </c>
      <c r="M103" s="42" t="s">
        <v>26</v>
      </c>
    </row>
    <row r="104" spans="3:15" ht="33.75" customHeight="1" x14ac:dyDescent="0.2">
      <c r="C104" s="63"/>
      <c r="D104" s="64"/>
      <c r="E104" s="65" t="s">
        <v>22</v>
      </c>
      <c r="F104" s="148">
        <v>6.3981012555162922</v>
      </c>
      <c r="G104" s="104">
        <v>-0.18246522516909458</v>
      </c>
      <c r="H104" s="62"/>
      <c r="I104" s="63"/>
      <c r="J104" s="65" t="s">
        <v>22</v>
      </c>
      <c r="K104" s="148">
        <v>6.6349959160899337</v>
      </c>
      <c r="L104" s="105">
        <v>-0.18340835707970626</v>
      </c>
      <c r="M104" s="42" t="s">
        <v>26</v>
      </c>
      <c r="O104" s="149"/>
    </row>
    <row r="105" spans="3:15" ht="33.75" customHeight="1" x14ac:dyDescent="0.2">
      <c r="C105" s="63"/>
      <c r="D105" s="64"/>
      <c r="E105" s="78" t="s">
        <v>23</v>
      </c>
      <c r="F105" s="147">
        <v>3.8415061295971977</v>
      </c>
      <c r="G105" s="104">
        <v>-9.5456813474767976E-2</v>
      </c>
      <c r="H105" s="62"/>
      <c r="I105" s="63"/>
      <c r="J105" s="78" t="s">
        <v>23</v>
      </c>
      <c r="K105" s="147">
        <v>3.4964901209428207</v>
      </c>
      <c r="L105" s="105">
        <v>-0.56639275647575182</v>
      </c>
      <c r="M105" s="42" t="s">
        <v>26</v>
      </c>
    </row>
    <row r="106" spans="3:15" ht="33.75" customHeight="1" thickBot="1" x14ac:dyDescent="0.25">
      <c r="C106" s="67"/>
      <c r="D106" s="68"/>
      <c r="E106" s="69" t="s">
        <v>24</v>
      </c>
      <c r="F106" s="150">
        <v>4.1826013868459757</v>
      </c>
      <c r="G106" s="107">
        <v>4.6055202107019966E-2</v>
      </c>
      <c r="H106" s="144"/>
      <c r="I106" s="67"/>
      <c r="J106" s="69" t="s">
        <v>24</v>
      </c>
      <c r="K106" s="150">
        <v>4.1521400362898921</v>
      </c>
      <c r="L106" s="108">
        <v>0.11813001783484367</v>
      </c>
      <c r="M106" s="42" t="s">
        <v>26</v>
      </c>
    </row>
    <row r="107" spans="3:15" ht="5.25" customHeight="1" thickBot="1" x14ac:dyDescent="0.25"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</row>
    <row r="108" spans="3:15" ht="20.100000000000001" customHeight="1" thickBot="1" x14ac:dyDescent="0.25">
      <c r="C108" s="27" t="s">
        <v>28</v>
      </c>
      <c r="D108" s="28"/>
      <c r="E108" s="28"/>
      <c r="F108" s="28"/>
      <c r="G108" s="28"/>
      <c r="H108" s="28"/>
      <c r="I108" s="28"/>
      <c r="J108" s="28"/>
      <c r="K108" s="28"/>
      <c r="L108" s="28"/>
      <c r="M108" s="29"/>
    </row>
    <row r="109" spans="3:15" ht="5.25" customHeight="1" thickBot="1" x14ac:dyDescent="0.25"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151"/>
    </row>
    <row r="110" spans="3:15" ht="33.75" customHeight="1" x14ac:dyDescent="0.2">
      <c r="C110" s="57" t="s">
        <v>7</v>
      </c>
      <c r="D110" s="58"/>
      <c r="E110" s="59" t="s">
        <v>20</v>
      </c>
      <c r="F110" s="133">
        <v>0.81189005938137404</v>
      </c>
      <c r="G110" s="61">
        <v>-4.7618451733461686E-2</v>
      </c>
      <c r="H110" s="143"/>
      <c r="I110" s="57" t="s">
        <v>7</v>
      </c>
      <c r="J110" s="59" t="s">
        <v>20</v>
      </c>
      <c r="K110" s="133">
        <v>0.77608868686371735</v>
      </c>
      <c r="L110" s="41">
        <v>-2.3545501313870787E-2</v>
      </c>
      <c r="M110" s="42" t="s">
        <v>9</v>
      </c>
    </row>
    <row r="111" spans="3:15" ht="33.75" customHeight="1" x14ac:dyDescent="0.2">
      <c r="C111" s="63"/>
      <c r="D111" s="64"/>
      <c r="E111" s="78" t="s">
        <v>21</v>
      </c>
      <c r="F111" s="137">
        <v>0.82733187042640188</v>
      </c>
      <c r="G111" s="47">
        <v>-2.830458774179001E-2</v>
      </c>
      <c r="H111" s="62"/>
      <c r="I111" s="63"/>
      <c r="J111" s="78" t="s">
        <v>21</v>
      </c>
      <c r="K111" s="137">
        <v>0.84556981255100572</v>
      </c>
      <c r="L111" s="49">
        <v>-1.1168884610627594E-2</v>
      </c>
      <c r="M111" s="42" t="s">
        <v>26</v>
      </c>
    </row>
    <row r="112" spans="3:15" ht="33.75" customHeight="1" x14ac:dyDescent="0.2">
      <c r="C112" s="63"/>
      <c r="D112" s="64"/>
      <c r="E112" s="65" t="s">
        <v>22</v>
      </c>
      <c r="F112" s="134">
        <v>0.72585910351363681</v>
      </c>
      <c r="G112" s="47">
        <v>-1.4023672529666964E-2</v>
      </c>
      <c r="H112" s="62"/>
      <c r="I112" s="63"/>
      <c r="J112" s="65" t="s">
        <v>22</v>
      </c>
      <c r="K112" s="134">
        <v>0.74375186505867208</v>
      </c>
      <c r="L112" s="49">
        <v>-2.2299628946797934E-2</v>
      </c>
      <c r="M112" s="42" t="s">
        <v>26</v>
      </c>
    </row>
    <row r="113" spans="3:19" ht="33.75" customHeight="1" x14ac:dyDescent="0.2">
      <c r="C113" s="63"/>
      <c r="D113" s="64"/>
      <c r="E113" s="78" t="s">
        <v>23</v>
      </c>
      <c r="F113" s="137">
        <v>0.58459157210656332</v>
      </c>
      <c r="G113" s="47">
        <v>-2.752152783698536E-2</v>
      </c>
      <c r="H113" s="62"/>
      <c r="I113" s="63"/>
      <c r="J113" s="78" t="s">
        <v>23</v>
      </c>
      <c r="K113" s="137">
        <v>0.56177353536367136</v>
      </c>
      <c r="L113" s="49">
        <v>4.6912898986335438E-3</v>
      </c>
      <c r="M113" s="42" t="s">
        <v>26</v>
      </c>
    </row>
    <row r="114" spans="3:19" ht="33.75" customHeight="1" thickBot="1" x14ac:dyDescent="0.25">
      <c r="C114" s="67"/>
      <c r="D114" s="68"/>
      <c r="E114" s="69" t="s">
        <v>24</v>
      </c>
      <c r="F114" s="135">
        <v>0.57638848670875076</v>
      </c>
      <c r="G114" s="71">
        <v>1.7118037812979159E-2</v>
      </c>
      <c r="H114" s="144"/>
      <c r="I114" s="67"/>
      <c r="J114" s="69" t="s">
        <v>24</v>
      </c>
      <c r="K114" s="135">
        <v>0.57434978267032033</v>
      </c>
      <c r="L114" s="56">
        <v>1.0495033722635716E-2</v>
      </c>
      <c r="M114" s="42" t="s">
        <v>26</v>
      </c>
    </row>
    <row r="115" spans="3:19" ht="5.25" customHeight="1" thickBot="1" x14ac:dyDescent="0.25">
      <c r="C115" s="152"/>
      <c r="D115" s="152"/>
      <c r="E115" s="153"/>
      <c r="F115" s="96"/>
      <c r="G115" s="154"/>
      <c r="H115" s="155"/>
      <c r="I115" s="96"/>
      <c r="J115" s="154"/>
      <c r="K115" s="153"/>
      <c r="L115" s="152"/>
      <c r="M115" s="156"/>
    </row>
    <row r="116" spans="3:19" ht="17.25" customHeight="1" thickBot="1" x14ac:dyDescent="0.25">
      <c r="C116" s="157"/>
      <c r="D116" s="158"/>
      <c r="E116" s="158"/>
      <c r="F116" s="158"/>
      <c r="G116" s="158"/>
      <c r="H116" s="158"/>
      <c r="I116" s="158"/>
      <c r="J116" s="158"/>
      <c r="K116" s="158"/>
      <c r="L116" s="158"/>
      <c r="M116" s="159"/>
    </row>
    <row r="117" spans="3:19" ht="50.25" customHeight="1" thickBot="1" x14ac:dyDescent="0.25">
      <c r="C117" s="2"/>
      <c r="D117" s="2"/>
      <c r="E117" s="3" t="str">
        <f>$E$1</f>
        <v>INDICADORES TURÍSTICOS DE TENERIFE definitivo</v>
      </c>
      <c r="F117" s="3"/>
      <c r="G117" s="3"/>
      <c r="H117" s="3"/>
      <c r="I117" s="3"/>
      <c r="J117" s="3"/>
      <c r="K117" s="3"/>
      <c r="L117" s="2"/>
      <c r="M117" s="2"/>
    </row>
    <row r="118" spans="3:19" s="1" customFormat="1" ht="9" customHeight="1" thickBot="1" x14ac:dyDescent="0.25">
      <c r="C118" s="160"/>
      <c r="D118" s="161"/>
      <c r="E118" s="162"/>
      <c r="F118" s="162"/>
      <c r="G118" s="162"/>
      <c r="H118" s="162"/>
      <c r="I118" s="162"/>
      <c r="J118" s="162"/>
      <c r="K118" s="162"/>
      <c r="L118" s="161"/>
      <c r="M118" s="163"/>
      <c r="O118" s="4"/>
      <c r="P118" s="4"/>
      <c r="Q118" s="4"/>
      <c r="R118" s="4"/>
      <c r="S118" s="4"/>
    </row>
    <row r="119" spans="3:19" ht="33" customHeight="1" thickBot="1" x14ac:dyDescent="0.25">
      <c r="C119" s="164" t="s">
        <v>29</v>
      </c>
      <c r="D119" s="165"/>
      <c r="E119" s="165"/>
      <c r="F119" s="165"/>
      <c r="G119" s="165"/>
      <c r="H119" s="165"/>
      <c r="I119" s="165"/>
      <c r="J119" s="165"/>
      <c r="K119" s="165"/>
      <c r="L119" s="165"/>
      <c r="M119" s="166"/>
    </row>
    <row r="120" spans="3:19" ht="20.100000000000001" customHeight="1" x14ac:dyDescent="0.2">
      <c r="C120" s="167"/>
      <c r="D120" s="168"/>
      <c r="E120" s="168"/>
      <c r="F120" s="168"/>
      <c r="G120" s="169" t="str">
        <f>C2</f>
        <v>octubre 2017</v>
      </c>
      <c r="H120" s="170"/>
      <c r="I120" s="170"/>
      <c r="J120" s="168"/>
      <c r="K120" s="168"/>
      <c r="L120" s="168"/>
      <c r="M120" s="171"/>
    </row>
    <row r="121" spans="3:19" ht="5.25" customHeight="1" thickBot="1" x14ac:dyDescent="0.25">
      <c r="C121" s="172"/>
      <c r="D121" s="168"/>
      <c r="E121" s="168"/>
      <c r="F121" s="168"/>
      <c r="G121" s="173"/>
      <c r="H121" s="173"/>
      <c r="I121" s="173"/>
      <c r="J121" s="168"/>
      <c r="K121" s="168"/>
      <c r="L121" s="168"/>
      <c r="M121" s="174"/>
    </row>
    <row r="122" spans="3:19" ht="33" customHeight="1" thickTop="1" thickBot="1" x14ac:dyDescent="0.25">
      <c r="C122" s="175"/>
      <c r="D122" s="176" t="s">
        <v>7</v>
      </c>
      <c r="E122" s="177"/>
      <c r="F122" s="176" t="s">
        <v>30</v>
      </c>
      <c r="G122" s="177"/>
      <c r="H122" s="176" t="s">
        <v>31</v>
      </c>
      <c r="I122" s="177"/>
      <c r="J122" s="176" t="s">
        <v>32</v>
      </c>
      <c r="K122" s="177"/>
      <c r="L122" s="176" t="s">
        <v>33</v>
      </c>
      <c r="M122" s="177"/>
    </row>
    <row r="123" spans="3:19" ht="31.5" customHeight="1" thickBot="1" x14ac:dyDescent="0.25">
      <c r="C123" s="178"/>
      <c r="D123" s="179" t="s">
        <v>34</v>
      </c>
      <c r="E123" s="180" t="s">
        <v>35</v>
      </c>
      <c r="F123" s="179" t="s">
        <v>34</v>
      </c>
      <c r="G123" s="180" t="s">
        <v>35</v>
      </c>
      <c r="H123" s="179" t="s">
        <v>34</v>
      </c>
      <c r="I123" s="180" t="s">
        <v>35</v>
      </c>
      <c r="J123" s="179" t="s">
        <v>34</v>
      </c>
      <c r="K123" s="180" t="s">
        <v>35</v>
      </c>
      <c r="L123" s="179" t="s">
        <v>34</v>
      </c>
      <c r="M123" s="180" t="s">
        <v>35</v>
      </c>
    </row>
    <row r="124" spans="3:19" ht="24" customHeight="1" thickBot="1" x14ac:dyDescent="0.25">
      <c r="C124" s="181" t="s">
        <v>36</v>
      </c>
      <c r="D124" s="182">
        <v>95743</v>
      </c>
      <c r="E124" s="183">
        <v>6.039428508140432E-2</v>
      </c>
      <c r="F124" s="182">
        <v>13187</v>
      </c>
      <c r="G124" s="183">
        <v>-8.7152152845078268E-2</v>
      </c>
      <c r="H124" s="182">
        <v>2461</v>
      </c>
      <c r="I124" s="183">
        <v>0.42584009269988421</v>
      </c>
      <c r="J124" s="182">
        <v>39285</v>
      </c>
      <c r="K124" s="183">
        <v>5.3132455834651315E-2</v>
      </c>
      <c r="L124" s="182">
        <v>40810</v>
      </c>
      <c r="M124" s="183">
        <v>0.10851555072660601</v>
      </c>
    </row>
    <row r="125" spans="3:19" ht="27" customHeight="1" thickBot="1" x14ac:dyDescent="0.25">
      <c r="C125" s="184" t="s">
        <v>37</v>
      </c>
      <c r="D125" s="185">
        <v>22933.970302565333</v>
      </c>
      <c r="E125" s="186">
        <v>-3.3694577471445886E-2</v>
      </c>
      <c r="F125" s="185" t="s">
        <v>38</v>
      </c>
      <c r="G125" s="186" t="s">
        <v>38</v>
      </c>
      <c r="H125" s="185" t="s">
        <v>38</v>
      </c>
      <c r="I125" s="186" t="s">
        <v>38</v>
      </c>
      <c r="J125" s="185" t="s">
        <v>38</v>
      </c>
      <c r="K125" s="186" t="s">
        <v>38</v>
      </c>
      <c r="L125" s="185" t="s">
        <v>38</v>
      </c>
      <c r="M125" s="186" t="s">
        <v>38</v>
      </c>
    </row>
    <row r="126" spans="3:19" ht="28.5" customHeight="1" thickBot="1" x14ac:dyDescent="0.25">
      <c r="C126" s="187" t="s">
        <v>39</v>
      </c>
      <c r="D126" s="188">
        <v>13427.566289688375</v>
      </c>
      <c r="E126" s="189">
        <v>8.8485816457461564E-2</v>
      </c>
      <c r="F126" s="188" t="s">
        <v>38</v>
      </c>
      <c r="G126" s="189" t="s">
        <v>38</v>
      </c>
      <c r="H126" s="188" t="s">
        <v>38</v>
      </c>
      <c r="I126" s="189" t="s">
        <v>38</v>
      </c>
      <c r="J126" s="188" t="s">
        <v>38</v>
      </c>
      <c r="K126" s="189" t="s">
        <v>38</v>
      </c>
      <c r="L126" s="188" t="s">
        <v>38</v>
      </c>
      <c r="M126" s="189" t="s">
        <v>38</v>
      </c>
    </row>
    <row r="127" spans="3:19" ht="27.75" customHeight="1" thickBot="1" x14ac:dyDescent="0.25">
      <c r="C127" s="187" t="s">
        <v>40</v>
      </c>
      <c r="D127" s="188">
        <v>59381.463407746291</v>
      </c>
      <c r="E127" s="189">
        <v>9.5188179187863486E-2</v>
      </c>
      <c r="F127" s="188" t="s">
        <v>38</v>
      </c>
      <c r="G127" s="189" t="s">
        <v>38</v>
      </c>
      <c r="H127" s="188" t="s">
        <v>38</v>
      </c>
      <c r="I127" s="189" t="s">
        <v>38</v>
      </c>
      <c r="J127" s="188" t="s">
        <v>38</v>
      </c>
      <c r="K127" s="189" t="s">
        <v>38</v>
      </c>
      <c r="L127" s="188" t="s">
        <v>38</v>
      </c>
      <c r="M127" s="189" t="s">
        <v>38</v>
      </c>
    </row>
    <row r="128" spans="3:19" ht="24" customHeight="1" thickBot="1" x14ac:dyDescent="0.25">
      <c r="C128" s="190" t="s">
        <v>41</v>
      </c>
      <c r="D128" s="191">
        <v>16694</v>
      </c>
      <c r="E128" s="189">
        <v>0.14719626168224309</v>
      </c>
      <c r="F128" s="191">
        <v>112</v>
      </c>
      <c r="G128" s="189">
        <v>-0.44827586206896552</v>
      </c>
      <c r="H128" s="191">
        <v>85</v>
      </c>
      <c r="I128" s="189">
        <v>2.4096385542168752E-2</v>
      </c>
      <c r="J128" s="191">
        <v>1563</v>
      </c>
      <c r="K128" s="189">
        <v>0.79037800687285231</v>
      </c>
      <c r="L128" s="191">
        <v>14934</v>
      </c>
      <c r="M128" s="189">
        <v>0.11506010602553562</v>
      </c>
    </row>
    <row r="129" spans="3:13" ht="24" customHeight="1" thickBot="1" x14ac:dyDescent="0.25">
      <c r="C129" s="192" t="s">
        <v>42</v>
      </c>
      <c r="D129" s="188">
        <v>13254</v>
      </c>
      <c r="E129" s="189">
        <v>-4.448129190397232E-2</v>
      </c>
      <c r="F129" s="188">
        <v>129</v>
      </c>
      <c r="G129" s="189">
        <v>-4.4444444444444398E-2</v>
      </c>
      <c r="H129" s="188">
        <v>55</v>
      </c>
      <c r="I129" s="189">
        <v>1.75</v>
      </c>
      <c r="J129" s="188">
        <v>987</v>
      </c>
      <c r="K129" s="189">
        <v>0.2080783353733171</v>
      </c>
      <c r="L129" s="188">
        <v>12083</v>
      </c>
      <c r="M129" s="189">
        <v>-6.3260717885107343E-2</v>
      </c>
    </row>
    <row r="130" spans="3:13" ht="24" customHeight="1" thickBot="1" x14ac:dyDescent="0.25">
      <c r="C130" s="190" t="s">
        <v>43</v>
      </c>
      <c r="D130" s="191">
        <v>59502</v>
      </c>
      <c r="E130" s="189">
        <v>-3.8817543009449951E-2</v>
      </c>
      <c r="F130" s="191">
        <v>643</v>
      </c>
      <c r="G130" s="189">
        <v>-0.14152202937249669</v>
      </c>
      <c r="H130" s="191">
        <v>1106</v>
      </c>
      <c r="I130" s="189">
        <v>0.13552361396303891</v>
      </c>
      <c r="J130" s="191">
        <v>19642</v>
      </c>
      <c r="K130" s="189">
        <v>-3.2556765010097077E-2</v>
      </c>
      <c r="L130" s="191">
        <v>38111</v>
      </c>
      <c r="M130" s="189">
        <v>-4.4334110684821626E-2</v>
      </c>
    </row>
    <row r="131" spans="3:13" ht="24" customHeight="1" thickBot="1" x14ac:dyDescent="0.25">
      <c r="C131" s="192" t="s">
        <v>44</v>
      </c>
      <c r="D131" s="188">
        <v>17865</v>
      </c>
      <c r="E131" s="189">
        <v>0.16006493506493502</v>
      </c>
      <c r="F131" s="188">
        <v>463</v>
      </c>
      <c r="G131" s="189">
        <v>-0.12144212523719167</v>
      </c>
      <c r="H131" s="188">
        <v>285</v>
      </c>
      <c r="I131" s="189">
        <v>-2.7303754266211566E-2</v>
      </c>
      <c r="J131" s="188">
        <v>3592</v>
      </c>
      <c r="K131" s="189">
        <v>0.51689189189189189</v>
      </c>
      <c r="L131" s="188">
        <v>13525</v>
      </c>
      <c r="M131" s="189">
        <v>0.10751719620045863</v>
      </c>
    </row>
    <row r="132" spans="3:13" ht="24" customHeight="1" thickBot="1" x14ac:dyDescent="0.25">
      <c r="C132" s="190" t="s">
        <v>45</v>
      </c>
      <c r="D132" s="191">
        <v>177208</v>
      </c>
      <c r="E132" s="189">
        <v>-5.5016664444740737E-2</v>
      </c>
      <c r="F132" s="191">
        <v>850</v>
      </c>
      <c r="G132" s="189">
        <v>-5.3452115812917644E-2</v>
      </c>
      <c r="H132" s="191">
        <v>192</v>
      </c>
      <c r="I132" s="189">
        <v>0.20754716981132071</v>
      </c>
      <c r="J132" s="191">
        <v>8636</v>
      </c>
      <c r="K132" s="189">
        <v>-0.12315971164585238</v>
      </c>
      <c r="L132" s="191">
        <v>167530</v>
      </c>
      <c r="M132" s="189">
        <v>-5.1461054586426136E-2</v>
      </c>
    </row>
    <row r="133" spans="3:13" ht="24" customHeight="1" thickBot="1" x14ac:dyDescent="0.25">
      <c r="C133" s="192" t="s">
        <v>46</v>
      </c>
      <c r="D133" s="188">
        <v>9037</v>
      </c>
      <c r="E133" s="189">
        <v>0.14551907719609591</v>
      </c>
      <c r="F133" s="188">
        <v>118</v>
      </c>
      <c r="G133" s="189">
        <v>0.73529411764705888</v>
      </c>
      <c r="H133" s="188">
        <v>33</v>
      </c>
      <c r="I133" s="189">
        <v>0.375</v>
      </c>
      <c r="J133" s="188">
        <v>800</v>
      </c>
      <c r="K133" s="189">
        <v>0.44404332129963908</v>
      </c>
      <c r="L133" s="188">
        <v>8086</v>
      </c>
      <c r="M133" s="189">
        <v>0.11638823691840394</v>
      </c>
    </row>
    <row r="134" spans="3:13" ht="24" customHeight="1" thickBot="1" x14ac:dyDescent="0.25">
      <c r="C134" s="190" t="s">
        <v>47</v>
      </c>
      <c r="D134" s="191">
        <v>11565</v>
      </c>
      <c r="E134" s="189">
        <v>-6.9664548306652696E-2</v>
      </c>
      <c r="F134" s="191">
        <v>597</v>
      </c>
      <c r="G134" s="189">
        <v>7.7617328519855588E-2</v>
      </c>
      <c r="H134" s="191">
        <v>184</v>
      </c>
      <c r="I134" s="189">
        <v>0.978494623655914</v>
      </c>
      <c r="J134" s="191">
        <v>1590</v>
      </c>
      <c r="K134" s="189">
        <v>0.29795918367346941</v>
      </c>
      <c r="L134" s="191">
        <v>9194</v>
      </c>
      <c r="M134" s="189">
        <v>-0.12927360545506206</v>
      </c>
    </row>
    <row r="135" spans="3:13" ht="24" customHeight="1" thickBot="1" x14ac:dyDescent="0.25">
      <c r="C135" s="192" t="s">
        <v>48</v>
      </c>
      <c r="D135" s="188">
        <v>40514</v>
      </c>
      <c r="E135" s="189">
        <v>1.0223419110313214E-2</v>
      </c>
      <c r="F135" s="188">
        <v>1170</v>
      </c>
      <c r="G135" s="189">
        <v>0.59618008185538884</v>
      </c>
      <c r="H135" s="188">
        <v>87</v>
      </c>
      <c r="I135" s="189">
        <v>2.48</v>
      </c>
      <c r="J135" s="188">
        <v>7237</v>
      </c>
      <c r="K135" s="189">
        <v>0.26080139372822297</v>
      </c>
      <c r="L135" s="188">
        <v>32020</v>
      </c>
      <c r="M135" s="189">
        <v>-4.7193953460691551E-2</v>
      </c>
    </row>
    <row r="136" spans="3:13" ht="24" customHeight="1" thickBot="1" x14ac:dyDescent="0.25">
      <c r="C136" s="193" t="s">
        <v>49</v>
      </c>
      <c r="D136" s="191">
        <v>14454</v>
      </c>
      <c r="E136" s="189">
        <v>8.1157902610516919E-2</v>
      </c>
      <c r="F136" s="191">
        <v>274</v>
      </c>
      <c r="G136" s="189">
        <v>1.1070110701107083E-2</v>
      </c>
      <c r="H136" s="191">
        <v>39</v>
      </c>
      <c r="I136" s="189">
        <v>12</v>
      </c>
      <c r="J136" s="191">
        <v>1838</v>
      </c>
      <c r="K136" s="189">
        <v>0.15524827152734133</v>
      </c>
      <c r="L136" s="191">
        <v>12303</v>
      </c>
      <c r="M136" s="189">
        <v>6.9454102920723182E-2</v>
      </c>
    </row>
    <row r="137" spans="3:13" ht="24" customHeight="1" thickBot="1" x14ac:dyDescent="0.25">
      <c r="C137" s="187" t="s">
        <v>50</v>
      </c>
      <c r="D137" s="188">
        <v>7894</v>
      </c>
      <c r="E137" s="189">
        <v>-0.19629403380166977</v>
      </c>
      <c r="F137" s="188">
        <v>189</v>
      </c>
      <c r="G137" s="189">
        <v>-0.16371681415929207</v>
      </c>
      <c r="H137" s="188">
        <v>21</v>
      </c>
      <c r="I137" s="189">
        <v>0.61538461538461542</v>
      </c>
      <c r="J137" s="188">
        <v>815</v>
      </c>
      <c r="K137" s="189">
        <v>-5.671296296296291E-2</v>
      </c>
      <c r="L137" s="188">
        <v>6869</v>
      </c>
      <c r="M137" s="189">
        <v>-0.2121802959054937</v>
      </c>
    </row>
    <row r="138" spans="3:13" ht="24" customHeight="1" thickBot="1" x14ac:dyDescent="0.25">
      <c r="C138" s="193" t="s">
        <v>51</v>
      </c>
      <c r="D138" s="191">
        <v>7496</v>
      </c>
      <c r="E138" s="189">
        <v>1.7925040738729026E-2</v>
      </c>
      <c r="F138" s="191">
        <v>570</v>
      </c>
      <c r="G138" s="189">
        <v>3.1911764705882355</v>
      </c>
      <c r="H138" s="191">
        <v>20</v>
      </c>
      <c r="I138" s="189">
        <v>1.8571428571428572</v>
      </c>
      <c r="J138" s="191">
        <v>959</v>
      </c>
      <c r="K138" s="189">
        <v>0.31010928961748641</v>
      </c>
      <c r="L138" s="191">
        <v>5947</v>
      </c>
      <c r="M138" s="189">
        <v>-8.3525967021112701E-2</v>
      </c>
    </row>
    <row r="139" spans="3:13" ht="24" customHeight="1" thickBot="1" x14ac:dyDescent="0.25">
      <c r="C139" s="187" t="s">
        <v>52</v>
      </c>
      <c r="D139" s="188">
        <v>10670</v>
      </c>
      <c r="E139" s="189">
        <v>0.11739449156979798</v>
      </c>
      <c r="F139" s="188">
        <v>137</v>
      </c>
      <c r="G139" s="189">
        <v>0.37000000000000011</v>
      </c>
      <c r="H139" s="188">
        <v>7</v>
      </c>
      <c r="I139" s="189">
        <v>2.5</v>
      </c>
      <c r="J139" s="188">
        <v>3625</v>
      </c>
      <c r="K139" s="189">
        <v>0.41989815902859373</v>
      </c>
      <c r="L139" s="188">
        <v>6901</v>
      </c>
      <c r="M139" s="189">
        <v>1.0153756890050047E-3</v>
      </c>
    </row>
    <row r="140" spans="3:13" ht="24" customHeight="1" thickBot="1" x14ac:dyDescent="0.25">
      <c r="C140" s="190" t="s">
        <v>53</v>
      </c>
      <c r="D140" s="191">
        <v>8074</v>
      </c>
      <c r="E140" s="189">
        <v>-5.3791163717332724E-2</v>
      </c>
      <c r="F140" s="191">
        <v>178</v>
      </c>
      <c r="G140" s="189">
        <v>0.26241134751773054</v>
      </c>
      <c r="H140" s="191">
        <v>143</v>
      </c>
      <c r="I140" s="189">
        <v>2.877697841726623E-2</v>
      </c>
      <c r="J140" s="191">
        <v>1267</v>
      </c>
      <c r="K140" s="189">
        <v>7.3728813559321926E-2</v>
      </c>
      <c r="L140" s="191">
        <v>6486</v>
      </c>
      <c r="M140" s="189">
        <v>-8.2991658419341197E-2</v>
      </c>
    </row>
    <row r="141" spans="3:13" ht="24" customHeight="1" thickBot="1" x14ac:dyDescent="0.25">
      <c r="C141" s="192" t="s">
        <v>54</v>
      </c>
      <c r="D141" s="188">
        <v>2973</v>
      </c>
      <c r="E141" s="189">
        <v>-1.360318513603187E-2</v>
      </c>
      <c r="F141" s="188">
        <v>41</v>
      </c>
      <c r="G141" s="189">
        <v>-0.19607843137254899</v>
      </c>
      <c r="H141" s="188">
        <v>57</v>
      </c>
      <c r="I141" s="189">
        <v>0.58333333333333326</v>
      </c>
      <c r="J141" s="188">
        <v>682</v>
      </c>
      <c r="K141" s="189">
        <v>7.2327044025157328E-2</v>
      </c>
      <c r="L141" s="188">
        <v>2193</v>
      </c>
      <c r="M141" s="189">
        <v>-4.2776080314273268E-2</v>
      </c>
    </row>
    <row r="142" spans="3:13" ht="24" customHeight="1" thickBot="1" x14ac:dyDescent="0.25">
      <c r="C142" s="190" t="s">
        <v>55</v>
      </c>
      <c r="D142" s="191">
        <v>8837</v>
      </c>
      <c r="E142" s="189">
        <v>-1.8111111111111078E-2</v>
      </c>
      <c r="F142" s="191">
        <v>124</v>
      </c>
      <c r="G142" s="189">
        <v>5.0847457627118731E-2</v>
      </c>
      <c r="H142" s="191">
        <v>57</v>
      </c>
      <c r="I142" s="189">
        <v>3.0714285714285712</v>
      </c>
      <c r="J142" s="191">
        <v>1020</v>
      </c>
      <c r="K142" s="189">
        <v>5.5900621118012417E-2</v>
      </c>
      <c r="L142" s="191">
        <v>7636</v>
      </c>
      <c r="M142" s="189">
        <v>-3.3662363958491537E-2</v>
      </c>
    </row>
    <row r="143" spans="3:13" ht="24" customHeight="1" thickBot="1" x14ac:dyDescent="0.25">
      <c r="C143" s="192" t="s">
        <v>56</v>
      </c>
      <c r="D143" s="188">
        <v>14212</v>
      </c>
      <c r="E143" s="189">
        <v>0.12659532302814114</v>
      </c>
      <c r="F143" s="188">
        <v>193</v>
      </c>
      <c r="G143" s="189">
        <v>0.32191780821917804</v>
      </c>
      <c r="H143" s="188">
        <v>21</v>
      </c>
      <c r="I143" s="189">
        <v>-0.65573770491803285</v>
      </c>
      <c r="J143" s="188">
        <v>2048</v>
      </c>
      <c r="K143" s="189">
        <v>5.949301603724777E-2</v>
      </c>
      <c r="L143" s="188">
        <v>11950</v>
      </c>
      <c r="M143" s="189">
        <v>0.1408114558472553</v>
      </c>
    </row>
    <row r="144" spans="3:13" ht="24" customHeight="1" thickBot="1" x14ac:dyDescent="0.25">
      <c r="C144" s="190" t="s">
        <v>57</v>
      </c>
      <c r="D144" s="191">
        <v>14009</v>
      </c>
      <c r="E144" s="189">
        <v>4.5525785506381089E-2</v>
      </c>
      <c r="F144" s="191">
        <v>509</v>
      </c>
      <c r="G144" s="189">
        <v>0.1837209302325582</v>
      </c>
      <c r="H144" s="191">
        <v>43</v>
      </c>
      <c r="I144" s="189">
        <v>2.3809523809523725E-2</v>
      </c>
      <c r="J144" s="191">
        <v>3994</v>
      </c>
      <c r="K144" s="189">
        <v>0.1788665879574971</v>
      </c>
      <c r="L144" s="191">
        <v>9463</v>
      </c>
      <c r="M144" s="189">
        <v>-7.967292168990503E-3</v>
      </c>
    </row>
    <row r="145" spans="3:13" ht="24" customHeight="1" thickBot="1" x14ac:dyDescent="0.25">
      <c r="C145" s="192" t="s">
        <v>58</v>
      </c>
      <c r="D145" s="188">
        <v>1937</v>
      </c>
      <c r="E145" s="189">
        <v>0.36504580690627209</v>
      </c>
      <c r="F145" s="188">
        <v>231</v>
      </c>
      <c r="G145" s="189">
        <v>0.66187050359712241</v>
      </c>
      <c r="H145" s="188">
        <v>153</v>
      </c>
      <c r="I145" s="189">
        <v>3.5</v>
      </c>
      <c r="J145" s="188">
        <v>232</v>
      </c>
      <c r="K145" s="189">
        <v>0.34104046242774566</v>
      </c>
      <c r="L145" s="188">
        <v>1321</v>
      </c>
      <c r="M145" s="189">
        <v>0.23112767940354151</v>
      </c>
    </row>
    <row r="146" spans="3:13" ht="24" customHeight="1" thickBot="1" x14ac:dyDescent="0.25">
      <c r="C146" s="190" t="s">
        <v>59</v>
      </c>
      <c r="D146" s="191">
        <v>2062</v>
      </c>
      <c r="E146" s="189">
        <v>0.31925783749200254</v>
      </c>
      <c r="F146" s="191">
        <v>638</v>
      </c>
      <c r="G146" s="189">
        <v>1.1849315068493151</v>
      </c>
      <c r="H146" s="191">
        <v>121</v>
      </c>
      <c r="I146" s="189">
        <v>3.1724137931034484</v>
      </c>
      <c r="J146" s="191">
        <v>555</v>
      </c>
      <c r="K146" s="189">
        <v>0.42673521850899743</v>
      </c>
      <c r="L146" s="191">
        <v>748</v>
      </c>
      <c r="M146" s="189">
        <v>-0.12309495896834699</v>
      </c>
    </row>
    <row r="147" spans="3:13" ht="24" customHeight="1" thickBot="1" x14ac:dyDescent="0.25">
      <c r="C147" s="192" t="s">
        <v>60</v>
      </c>
      <c r="D147" s="194">
        <v>6531</v>
      </c>
      <c r="E147" s="195">
        <v>0.20944444444444454</v>
      </c>
      <c r="F147" s="194">
        <v>897</v>
      </c>
      <c r="G147" s="195">
        <v>1.1105882352941174</v>
      </c>
      <c r="H147" s="194">
        <v>208</v>
      </c>
      <c r="I147" s="195">
        <v>2.8518518518518516</v>
      </c>
      <c r="J147" s="194">
        <v>1234</v>
      </c>
      <c r="K147" s="195">
        <v>0.36353591160220988</v>
      </c>
      <c r="L147" s="194">
        <v>4192</v>
      </c>
      <c r="M147" s="195">
        <v>4.3824701195219085E-2</v>
      </c>
    </row>
    <row r="148" spans="3:13" ht="30.75" customHeight="1" thickTop="1" thickBot="1" x14ac:dyDescent="0.25">
      <c r="C148" s="196" t="s">
        <v>61</v>
      </c>
      <c r="D148" s="197">
        <v>404274</v>
      </c>
      <c r="E148" s="198">
        <v>-1.0635798541432151E-2</v>
      </c>
      <c r="F148" s="197">
        <v>6893</v>
      </c>
      <c r="G148" s="198">
        <v>0.2289178106614369</v>
      </c>
      <c r="H148" s="197">
        <v>2830</v>
      </c>
      <c r="I148" s="198">
        <v>0.36057692307692313</v>
      </c>
      <c r="J148" s="197">
        <v>55079</v>
      </c>
      <c r="K148" s="198">
        <v>7.3685646893701717E-2</v>
      </c>
      <c r="L148" s="197">
        <v>339472</v>
      </c>
      <c r="M148" s="198">
        <v>-2.9059125022881216E-2</v>
      </c>
    </row>
    <row r="149" spans="3:13" ht="24" customHeight="1" thickBot="1" x14ac:dyDescent="0.25">
      <c r="C149" s="199" t="s">
        <v>8</v>
      </c>
      <c r="D149" s="200">
        <v>500017</v>
      </c>
      <c r="E149" s="201">
        <v>2.2188370648013045E-3</v>
      </c>
      <c r="F149" s="200">
        <v>20080</v>
      </c>
      <c r="G149" s="201">
        <v>1.2465719272001241E-3</v>
      </c>
      <c r="H149" s="200">
        <v>5291</v>
      </c>
      <c r="I149" s="201">
        <v>0.39017341040462439</v>
      </c>
      <c r="J149" s="200">
        <v>94364</v>
      </c>
      <c r="K149" s="201">
        <v>6.5032392045326182E-2</v>
      </c>
      <c r="L149" s="200">
        <v>380282</v>
      </c>
      <c r="M149" s="201">
        <v>-1.5953028487735721E-2</v>
      </c>
    </row>
    <row r="150" spans="3:13" ht="13.5" thickBot="1" x14ac:dyDescent="0.25">
      <c r="C150" s="18"/>
      <c r="D150" s="5"/>
      <c r="E150" s="5"/>
      <c r="F150" s="5"/>
      <c r="G150" s="5"/>
      <c r="H150" s="5"/>
      <c r="I150" s="5"/>
      <c r="J150" s="5"/>
      <c r="K150" s="5"/>
      <c r="L150" s="5"/>
      <c r="M150" s="202"/>
    </row>
    <row r="151" spans="3:13" ht="35.25" customHeight="1" thickBot="1" x14ac:dyDescent="0.25">
      <c r="C151" s="164" t="s">
        <v>29</v>
      </c>
      <c r="D151" s="165"/>
      <c r="E151" s="165"/>
      <c r="F151" s="165"/>
      <c r="G151" s="165"/>
      <c r="H151" s="165"/>
      <c r="I151" s="165"/>
      <c r="J151" s="165"/>
      <c r="K151" s="165"/>
      <c r="L151" s="165"/>
      <c r="M151" s="166"/>
    </row>
    <row r="152" spans="3:13" ht="20.100000000000001" customHeight="1" x14ac:dyDescent="0.2">
      <c r="C152" s="167"/>
      <c r="D152" s="168"/>
      <c r="E152" s="168"/>
      <c r="F152" s="168"/>
      <c r="G152" s="169" t="str">
        <f>I2</f>
        <v>acumulado octubre 2017</v>
      </c>
      <c r="H152" s="170"/>
      <c r="I152" s="170"/>
      <c r="J152" s="168"/>
      <c r="K152" s="168"/>
      <c r="L152" s="168"/>
      <c r="M152" s="171"/>
    </row>
    <row r="153" spans="3:13" ht="5.25" customHeight="1" thickBot="1" x14ac:dyDescent="0.25">
      <c r="C153" s="172"/>
      <c r="D153" s="168"/>
      <c r="E153" s="168"/>
      <c r="F153" s="168"/>
      <c r="G153" s="173"/>
      <c r="H153" s="173"/>
      <c r="I153" s="173"/>
      <c r="J153" s="168"/>
      <c r="K153" s="168"/>
      <c r="L153" s="168"/>
      <c r="M153" s="174"/>
    </row>
    <row r="154" spans="3:13" ht="32.25" customHeight="1" thickTop="1" thickBot="1" x14ac:dyDescent="0.25">
      <c r="C154" s="175"/>
      <c r="D154" s="176" t="s">
        <v>7</v>
      </c>
      <c r="E154" s="177"/>
      <c r="F154" s="176" t="s">
        <v>30</v>
      </c>
      <c r="G154" s="177"/>
      <c r="H154" s="176" t="s">
        <v>31</v>
      </c>
      <c r="I154" s="177"/>
      <c r="J154" s="176" t="s">
        <v>32</v>
      </c>
      <c r="K154" s="177"/>
      <c r="L154" s="176" t="s">
        <v>33</v>
      </c>
      <c r="M154" s="177"/>
    </row>
    <row r="155" spans="3:13" ht="31.5" customHeight="1" thickBot="1" x14ac:dyDescent="0.25">
      <c r="C155" s="178"/>
      <c r="D155" s="179" t="s">
        <v>62</v>
      </c>
      <c r="E155" s="180" t="s">
        <v>35</v>
      </c>
      <c r="F155" s="179" t="s">
        <v>62</v>
      </c>
      <c r="G155" s="180" t="s">
        <v>35</v>
      </c>
      <c r="H155" s="179" t="s">
        <v>62</v>
      </c>
      <c r="I155" s="180" t="s">
        <v>35</v>
      </c>
      <c r="J155" s="179" t="s">
        <v>62</v>
      </c>
      <c r="K155" s="180" t="s">
        <v>35</v>
      </c>
      <c r="L155" s="179" t="s">
        <v>62</v>
      </c>
      <c r="M155" s="180" t="s">
        <v>35</v>
      </c>
    </row>
    <row r="156" spans="3:13" ht="24" customHeight="1" thickBot="1" x14ac:dyDescent="0.25">
      <c r="C156" s="181" t="s">
        <v>36</v>
      </c>
      <c r="D156" s="182">
        <v>1063249</v>
      </c>
      <c r="E156" s="183">
        <v>3.5473459911338212E-2</v>
      </c>
      <c r="F156" s="182">
        <v>138297</v>
      </c>
      <c r="G156" s="183">
        <v>5.9353656141576394E-3</v>
      </c>
      <c r="H156" s="182">
        <v>22218</v>
      </c>
      <c r="I156" s="183">
        <v>0.24862313139260417</v>
      </c>
      <c r="J156" s="182">
        <v>431152</v>
      </c>
      <c r="K156" s="183">
        <v>7.2088044340450796E-2</v>
      </c>
      <c r="L156" s="182">
        <v>471582</v>
      </c>
      <c r="M156" s="183">
        <v>4.6741714743452345E-3</v>
      </c>
    </row>
    <row r="157" spans="3:13" ht="24" customHeight="1" thickBot="1" x14ac:dyDescent="0.25">
      <c r="C157" s="184" t="s">
        <v>37</v>
      </c>
      <c r="D157" s="185">
        <v>279667.30293519871</v>
      </c>
      <c r="E157" s="186">
        <v>-9.9787639164589104E-3</v>
      </c>
      <c r="F157" s="185" t="s">
        <v>38</v>
      </c>
      <c r="G157" s="186" t="s">
        <v>38</v>
      </c>
      <c r="H157" s="185" t="s">
        <v>38</v>
      </c>
      <c r="I157" s="186" t="s">
        <v>38</v>
      </c>
      <c r="J157" s="185" t="s">
        <v>38</v>
      </c>
      <c r="K157" s="186" t="s">
        <v>38</v>
      </c>
      <c r="L157" s="185" t="s">
        <v>38</v>
      </c>
      <c r="M157" s="186" t="s">
        <v>38</v>
      </c>
    </row>
    <row r="158" spans="3:13" ht="24" customHeight="1" thickBot="1" x14ac:dyDescent="0.25">
      <c r="C158" s="187" t="s">
        <v>39</v>
      </c>
      <c r="D158" s="188">
        <v>134823.7455944487</v>
      </c>
      <c r="E158" s="189">
        <v>6.8349367480391443E-3</v>
      </c>
      <c r="F158" s="188" t="s">
        <v>38</v>
      </c>
      <c r="G158" s="189" t="s">
        <v>38</v>
      </c>
      <c r="H158" s="188" t="s">
        <v>38</v>
      </c>
      <c r="I158" s="189" t="s">
        <v>38</v>
      </c>
      <c r="J158" s="188" t="s">
        <v>38</v>
      </c>
      <c r="K158" s="189" t="s">
        <v>38</v>
      </c>
      <c r="L158" s="188" t="s">
        <v>38</v>
      </c>
      <c r="M158" s="189" t="s">
        <v>38</v>
      </c>
    </row>
    <row r="159" spans="3:13" ht="24" customHeight="1" thickBot="1" x14ac:dyDescent="0.25">
      <c r="C159" s="187" t="s">
        <v>40</v>
      </c>
      <c r="D159" s="188">
        <v>648757.95147031033</v>
      </c>
      <c r="E159" s="189">
        <v>6.2789587409032288E-2</v>
      </c>
      <c r="F159" s="188" t="s">
        <v>38</v>
      </c>
      <c r="G159" s="189" t="s">
        <v>38</v>
      </c>
      <c r="H159" s="188" t="s">
        <v>38</v>
      </c>
      <c r="I159" s="189" t="s">
        <v>38</v>
      </c>
      <c r="J159" s="188" t="s">
        <v>38</v>
      </c>
      <c r="K159" s="189" t="s">
        <v>38</v>
      </c>
      <c r="L159" s="188" t="s">
        <v>38</v>
      </c>
      <c r="M159" s="189" t="s">
        <v>38</v>
      </c>
    </row>
    <row r="160" spans="3:13" ht="24" customHeight="1" thickBot="1" x14ac:dyDescent="0.25">
      <c r="C160" s="190" t="s">
        <v>41</v>
      </c>
      <c r="D160" s="191">
        <v>145960</v>
      </c>
      <c r="E160" s="189">
        <v>7.5865830002554979E-3</v>
      </c>
      <c r="F160" s="191">
        <v>1332</v>
      </c>
      <c r="G160" s="189">
        <v>-0.22603137710633348</v>
      </c>
      <c r="H160" s="191">
        <v>798</v>
      </c>
      <c r="I160" s="189">
        <v>0.11142061281337057</v>
      </c>
      <c r="J160" s="191">
        <v>12282</v>
      </c>
      <c r="K160" s="189">
        <v>0.43481308411214958</v>
      </c>
      <c r="L160" s="191">
        <v>131548</v>
      </c>
      <c r="M160" s="189">
        <v>-1.7286459189314374E-2</v>
      </c>
    </row>
    <row r="161" spans="3:13" ht="24" customHeight="1" thickBot="1" x14ac:dyDescent="0.25">
      <c r="C161" s="192" t="s">
        <v>42</v>
      </c>
      <c r="D161" s="188">
        <v>129284</v>
      </c>
      <c r="E161" s="189">
        <v>3.7811439707446937E-3</v>
      </c>
      <c r="F161" s="188">
        <v>1522</v>
      </c>
      <c r="G161" s="189">
        <v>0.25993377483443703</v>
      </c>
      <c r="H161" s="188">
        <v>541</v>
      </c>
      <c r="I161" s="189">
        <v>0.27294117647058824</v>
      </c>
      <c r="J161" s="188">
        <v>9469</v>
      </c>
      <c r="K161" s="189">
        <v>0.608732585796806</v>
      </c>
      <c r="L161" s="188">
        <v>117752</v>
      </c>
      <c r="M161" s="189">
        <v>-2.9073698444895157E-2</v>
      </c>
    </row>
    <row r="162" spans="3:13" ht="24" customHeight="1" thickBot="1" x14ac:dyDescent="0.25">
      <c r="C162" s="190" t="s">
        <v>43</v>
      </c>
      <c r="D162" s="191">
        <v>511884</v>
      </c>
      <c r="E162" s="189">
        <v>-5.7423642299597288E-2</v>
      </c>
      <c r="F162" s="191">
        <v>6819</v>
      </c>
      <c r="G162" s="189">
        <v>-9.0557481995198752E-2</v>
      </c>
      <c r="H162" s="191">
        <v>8059</v>
      </c>
      <c r="I162" s="189">
        <v>0.1808058608058607</v>
      </c>
      <c r="J162" s="191">
        <v>185489</v>
      </c>
      <c r="K162" s="189">
        <v>-5.3724109784715868E-2</v>
      </c>
      <c r="L162" s="191">
        <v>311517</v>
      </c>
      <c r="M162" s="189">
        <v>-6.3743140001081944E-2</v>
      </c>
    </row>
    <row r="163" spans="3:13" ht="24" customHeight="1" thickBot="1" x14ac:dyDescent="0.25">
      <c r="C163" s="192" t="s">
        <v>44</v>
      </c>
      <c r="D163" s="188">
        <v>161028</v>
      </c>
      <c r="E163" s="189">
        <v>9.1892918169736104E-2</v>
      </c>
      <c r="F163" s="188">
        <v>5329</v>
      </c>
      <c r="G163" s="189">
        <v>-9.4938858695652217E-2</v>
      </c>
      <c r="H163" s="188">
        <v>3058</v>
      </c>
      <c r="I163" s="189">
        <v>2.9629629629629672E-2</v>
      </c>
      <c r="J163" s="188">
        <v>31814</v>
      </c>
      <c r="K163" s="189">
        <v>0.26562437840633324</v>
      </c>
      <c r="L163" s="188">
        <v>120827</v>
      </c>
      <c r="M163" s="189">
        <v>6.473330337237071E-2</v>
      </c>
    </row>
    <row r="164" spans="3:13" ht="24" customHeight="1" thickBot="1" x14ac:dyDescent="0.25">
      <c r="C164" s="190" t="s">
        <v>45</v>
      </c>
      <c r="D164" s="191">
        <v>1764469</v>
      </c>
      <c r="E164" s="189">
        <v>1.3592546445412967E-2</v>
      </c>
      <c r="F164" s="191">
        <v>8808</v>
      </c>
      <c r="G164" s="189">
        <v>8.934707903780037E-3</v>
      </c>
      <c r="H164" s="191">
        <v>1880</v>
      </c>
      <c r="I164" s="189">
        <v>9.6209912536443065E-2</v>
      </c>
      <c r="J164" s="191">
        <v>92629</v>
      </c>
      <c r="K164" s="189">
        <v>0.21832171511245568</v>
      </c>
      <c r="L164" s="191">
        <v>1661152</v>
      </c>
      <c r="M164" s="189">
        <v>4.1225098710537811E-3</v>
      </c>
    </row>
    <row r="165" spans="3:13" ht="24" customHeight="1" thickBot="1" x14ac:dyDescent="0.25">
      <c r="C165" s="192" t="s">
        <v>46</v>
      </c>
      <c r="D165" s="188">
        <v>91563</v>
      </c>
      <c r="E165" s="189">
        <v>0.13194461614538255</v>
      </c>
      <c r="F165" s="188">
        <v>928</v>
      </c>
      <c r="G165" s="189">
        <v>-2.0063357972544882E-2</v>
      </c>
      <c r="H165" s="188">
        <v>207</v>
      </c>
      <c r="I165" s="189">
        <v>0.36184210526315796</v>
      </c>
      <c r="J165" s="188">
        <v>6887</v>
      </c>
      <c r="K165" s="189">
        <v>0.44260578131545869</v>
      </c>
      <c r="L165" s="188">
        <v>83541</v>
      </c>
      <c r="M165" s="189">
        <v>0.11362757774904364</v>
      </c>
    </row>
    <row r="166" spans="3:13" ht="24" customHeight="1" thickBot="1" x14ac:dyDescent="0.25">
      <c r="C166" s="190" t="s">
        <v>47</v>
      </c>
      <c r="D166" s="191">
        <v>126839</v>
      </c>
      <c r="E166" s="189">
        <v>-5.5681293646421159E-2</v>
      </c>
      <c r="F166" s="191">
        <v>6476</v>
      </c>
      <c r="G166" s="189">
        <v>-8.1176290396691719E-3</v>
      </c>
      <c r="H166" s="191">
        <v>1297</v>
      </c>
      <c r="I166" s="189">
        <v>0.14880425155004429</v>
      </c>
      <c r="J166" s="191">
        <v>15142</v>
      </c>
      <c r="K166" s="189">
        <v>0.1829687499999999</v>
      </c>
      <c r="L166" s="191">
        <v>103924</v>
      </c>
      <c r="M166" s="189">
        <v>-8.726506235728082E-2</v>
      </c>
    </row>
    <row r="167" spans="3:13" ht="24" customHeight="1" thickBot="1" x14ac:dyDescent="0.25">
      <c r="C167" s="192" t="s">
        <v>48</v>
      </c>
      <c r="D167" s="188">
        <v>295476</v>
      </c>
      <c r="E167" s="189">
        <v>2.2921535026224182E-2</v>
      </c>
      <c r="F167" s="188">
        <v>6692</v>
      </c>
      <c r="G167" s="189">
        <v>6.9009584664536661E-2</v>
      </c>
      <c r="H167" s="188">
        <v>493</v>
      </c>
      <c r="I167" s="189">
        <v>0.22029702970297027</v>
      </c>
      <c r="J167" s="188">
        <v>44307</v>
      </c>
      <c r="K167" s="189">
        <v>0.20720941638057866</v>
      </c>
      <c r="L167" s="188">
        <v>243984</v>
      </c>
      <c r="M167" s="189">
        <v>-6.1306209239517795E-3</v>
      </c>
    </row>
    <row r="168" spans="3:13" ht="24" customHeight="1" thickBot="1" x14ac:dyDescent="0.25">
      <c r="C168" s="193" t="s">
        <v>49</v>
      </c>
      <c r="D168" s="191">
        <v>105694</v>
      </c>
      <c r="E168" s="189">
        <v>5.461983636000789E-2</v>
      </c>
      <c r="F168" s="191">
        <v>2316</v>
      </c>
      <c r="G168" s="189">
        <v>-2.5252525252525304E-2</v>
      </c>
      <c r="H168" s="191">
        <v>180</v>
      </c>
      <c r="I168" s="189">
        <v>0.51260504201680668</v>
      </c>
      <c r="J168" s="191">
        <v>12242</v>
      </c>
      <c r="K168" s="189">
        <v>0.16004927508765276</v>
      </c>
      <c r="L168" s="191">
        <v>90956</v>
      </c>
      <c r="M168" s="189">
        <v>4.3408433900793852E-2</v>
      </c>
    </row>
    <row r="169" spans="3:13" ht="24" customHeight="1" thickBot="1" x14ac:dyDescent="0.25">
      <c r="C169" s="187" t="s">
        <v>50</v>
      </c>
      <c r="D169" s="188">
        <v>54861</v>
      </c>
      <c r="E169" s="189">
        <v>-1.7637789635784107E-2</v>
      </c>
      <c r="F169" s="188">
        <v>1570</v>
      </c>
      <c r="G169" s="189">
        <v>5.5107526881720492E-2</v>
      </c>
      <c r="H169" s="188">
        <v>95</v>
      </c>
      <c r="I169" s="189">
        <v>0.28378378378378377</v>
      </c>
      <c r="J169" s="188">
        <v>5498</v>
      </c>
      <c r="K169" s="189">
        <v>0.41227844849730277</v>
      </c>
      <c r="L169" s="188">
        <v>47698</v>
      </c>
      <c r="M169" s="189">
        <v>-5.3442082911630995E-2</v>
      </c>
    </row>
    <row r="170" spans="3:13" ht="24" customHeight="1" thickBot="1" x14ac:dyDescent="0.25">
      <c r="C170" s="193" t="s">
        <v>51</v>
      </c>
      <c r="D170" s="191">
        <v>69748</v>
      </c>
      <c r="E170" s="189">
        <v>2.3388209055961395E-2</v>
      </c>
      <c r="F170" s="191">
        <v>1502</v>
      </c>
      <c r="G170" s="189">
        <v>0.32802829354553498</v>
      </c>
      <c r="H170" s="191">
        <v>160</v>
      </c>
      <c r="I170" s="189">
        <v>0.18518518518518512</v>
      </c>
      <c r="J170" s="191">
        <v>8116</v>
      </c>
      <c r="K170" s="189">
        <v>0.31796037674569666</v>
      </c>
      <c r="L170" s="191">
        <v>59970</v>
      </c>
      <c r="M170" s="189">
        <v>-1.2514408035567248E-2</v>
      </c>
    </row>
    <row r="171" spans="3:13" ht="24" customHeight="1" thickBot="1" x14ac:dyDescent="0.25">
      <c r="C171" s="187" t="s">
        <v>52</v>
      </c>
      <c r="D171" s="188">
        <v>65173</v>
      </c>
      <c r="E171" s="189">
        <v>8.3236636497254768E-3</v>
      </c>
      <c r="F171" s="188">
        <v>1304</v>
      </c>
      <c r="G171" s="189">
        <v>3.0830039525691744E-2</v>
      </c>
      <c r="H171" s="188">
        <v>58</v>
      </c>
      <c r="I171" s="189">
        <v>-0.23684210526315785</v>
      </c>
      <c r="J171" s="188">
        <v>18451</v>
      </c>
      <c r="K171" s="189">
        <v>0.14616722574232832</v>
      </c>
      <c r="L171" s="188">
        <v>45360</v>
      </c>
      <c r="M171" s="189">
        <v>-3.8901601830663601E-2</v>
      </c>
    </row>
    <row r="172" spans="3:13" ht="24" customHeight="1" thickBot="1" x14ac:dyDescent="0.25">
      <c r="C172" s="190" t="s">
        <v>53</v>
      </c>
      <c r="D172" s="191">
        <v>47269</v>
      </c>
      <c r="E172" s="189">
        <v>7.9967586471616503E-3</v>
      </c>
      <c r="F172" s="191">
        <v>1109</v>
      </c>
      <c r="G172" s="189">
        <v>-3.6490008688097264E-2</v>
      </c>
      <c r="H172" s="191">
        <v>794</v>
      </c>
      <c r="I172" s="189">
        <v>0.25039370078740153</v>
      </c>
      <c r="J172" s="191">
        <v>8390</v>
      </c>
      <c r="K172" s="189">
        <v>0.13731869323573265</v>
      </c>
      <c r="L172" s="191">
        <v>36976</v>
      </c>
      <c r="M172" s="189">
        <v>-2.0010071294161325E-2</v>
      </c>
    </row>
    <row r="173" spans="3:13" ht="24" customHeight="1" thickBot="1" x14ac:dyDescent="0.25">
      <c r="C173" s="192" t="s">
        <v>54</v>
      </c>
      <c r="D173" s="188">
        <v>28930</v>
      </c>
      <c r="E173" s="189">
        <v>7.5904645022127903E-2</v>
      </c>
      <c r="F173" s="188">
        <v>518</v>
      </c>
      <c r="G173" s="189">
        <v>-0.13810316139767054</v>
      </c>
      <c r="H173" s="188">
        <v>435</v>
      </c>
      <c r="I173" s="189">
        <v>0.44518272425249172</v>
      </c>
      <c r="J173" s="188">
        <v>6654</v>
      </c>
      <c r="K173" s="189">
        <v>0.23542517638321581</v>
      </c>
      <c r="L173" s="188">
        <v>21323</v>
      </c>
      <c r="M173" s="189">
        <v>3.5046842386291965E-2</v>
      </c>
    </row>
    <row r="174" spans="3:13" ht="24" customHeight="1" thickBot="1" x14ac:dyDescent="0.25">
      <c r="C174" s="190" t="s">
        <v>55</v>
      </c>
      <c r="D174" s="191">
        <v>75111</v>
      </c>
      <c r="E174" s="189">
        <v>-6.8147982730385581E-2</v>
      </c>
      <c r="F174" s="191">
        <v>1500</v>
      </c>
      <c r="G174" s="189">
        <v>-5.4820415879016982E-2</v>
      </c>
      <c r="H174" s="191">
        <v>229</v>
      </c>
      <c r="I174" s="189">
        <v>0.31609195402298851</v>
      </c>
      <c r="J174" s="191">
        <v>7795</v>
      </c>
      <c r="K174" s="189">
        <v>0.20833979228026656</v>
      </c>
      <c r="L174" s="191">
        <v>65587</v>
      </c>
      <c r="M174" s="189">
        <v>-9.4002099679522555E-2</v>
      </c>
    </row>
    <row r="175" spans="3:13" ht="24" customHeight="1" thickBot="1" x14ac:dyDescent="0.25">
      <c r="C175" s="192" t="s">
        <v>56</v>
      </c>
      <c r="D175" s="188">
        <v>128685</v>
      </c>
      <c r="E175" s="189">
        <v>0.1196328359507548</v>
      </c>
      <c r="F175" s="188">
        <v>2048</v>
      </c>
      <c r="G175" s="189">
        <v>9.9302200751476111E-2</v>
      </c>
      <c r="H175" s="188">
        <v>324</v>
      </c>
      <c r="I175" s="189">
        <v>0.61194029850746268</v>
      </c>
      <c r="J175" s="188">
        <v>19337</v>
      </c>
      <c r="K175" s="189">
        <v>0.24162064980095033</v>
      </c>
      <c r="L175" s="188">
        <v>106976</v>
      </c>
      <c r="M175" s="189">
        <v>9.9478915074462826E-2</v>
      </c>
    </row>
    <row r="176" spans="3:13" ht="24" customHeight="1" thickBot="1" x14ac:dyDescent="0.25">
      <c r="C176" s="190" t="s">
        <v>57</v>
      </c>
      <c r="D176" s="191">
        <v>142784</v>
      </c>
      <c r="E176" s="189">
        <v>9.8938651109452103E-2</v>
      </c>
      <c r="F176" s="191">
        <v>5236</v>
      </c>
      <c r="G176" s="189">
        <v>0.16020385552847327</v>
      </c>
      <c r="H176" s="191">
        <v>528</v>
      </c>
      <c r="I176" s="189">
        <v>0.46260387811634351</v>
      </c>
      <c r="J176" s="191">
        <v>35490</v>
      </c>
      <c r="K176" s="189">
        <v>0.29431072210065645</v>
      </c>
      <c r="L176" s="191">
        <v>101530</v>
      </c>
      <c r="M176" s="189">
        <v>3.9893480821426852E-2</v>
      </c>
    </row>
    <row r="177" spans="3:18" ht="24" customHeight="1" thickBot="1" x14ac:dyDescent="0.25">
      <c r="C177" s="192" t="s">
        <v>58</v>
      </c>
      <c r="D177" s="188">
        <v>17305</v>
      </c>
      <c r="E177" s="189">
        <v>0.21617822756342675</v>
      </c>
      <c r="F177" s="188">
        <v>2092</v>
      </c>
      <c r="G177" s="189">
        <v>0.17660292463442073</v>
      </c>
      <c r="H177" s="188">
        <v>624</v>
      </c>
      <c r="I177" s="189">
        <v>0.97468354430379756</v>
      </c>
      <c r="J177" s="188">
        <v>2675</v>
      </c>
      <c r="K177" s="189">
        <v>0.24245239201114721</v>
      </c>
      <c r="L177" s="188">
        <v>11914</v>
      </c>
      <c r="M177" s="189">
        <v>0.19354838709677424</v>
      </c>
    </row>
    <row r="178" spans="3:18" ht="24" customHeight="1" thickBot="1" x14ac:dyDescent="0.25">
      <c r="C178" s="190" t="s">
        <v>59</v>
      </c>
      <c r="D178" s="191">
        <v>16423</v>
      </c>
      <c r="E178" s="189">
        <v>1.2577840803995377E-2</v>
      </c>
      <c r="F178" s="191">
        <v>3725</v>
      </c>
      <c r="G178" s="189">
        <v>0.27568493150684925</v>
      </c>
      <c r="H178" s="191">
        <v>514</v>
      </c>
      <c r="I178" s="189">
        <v>0.70198675496688745</v>
      </c>
      <c r="J178" s="191">
        <v>3798</v>
      </c>
      <c r="K178" s="189">
        <v>9.705372616984409E-2</v>
      </c>
      <c r="L178" s="191">
        <v>8386</v>
      </c>
      <c r="M178" s="189">
        <v>-0.12050340849501839</v>
      </c>
    </row>
    <row r="179" spans="3:18" ht="24" customHeight="1" thickBot="1" x14ac:dyDescent="0.25">
      <c r="C179" s="192" t="s">
        <v>60</v>
      </c>
      <c r="D179" s="194">
        <v>54979</v>
      </c>
      <c r="E179" s="195">
        <v>0.19154331288875404</v>
      </c>
      <c r="F179" s="194">
        <v>4783</v>
      </c>
      <c r="G179" s="195">
        <v>5.9827165964990048E-2</v>
      </c>
      <c r="H179" s="194">
        <v>817</v>
      </c>
      <c r="I179" s="195">
        <v>0.76457883369330459</v>
      </c>
      <c r="J179" s="194">
        <v>11364</v>
      </c>
      <c r="K179" s="195">
        <v>0.30695802185163878</v>
      </c>
      <c r="L179" s="194">
        <v>38015</v>
      </c>
      <c r="M179" s="195">
        <v>0.17077302125038507</v>
      </c>
    </row>
    <row r="180" spans="3:18" ht="30.75" customHeight="1" thickTop="1" thickBot="1" x14ac:dyDescent="0.25">
      <c r="C180" s="196" t="s">
        <v>61</v>
      </c>
      <c r="D180" s="197">
        <v>3737989</v>
      </c>
      <c r="E180" s="198">
        <v>1.4403596502821081E-2</v>
      </c>
      <c r="F180" s="197">
        <v>58917</v>
      </c>
      <c r="G180" s="198">
        <v>2.0967993484326097E-2</v>
      </c>
      <c r="H180" s="197">
        <v>20598</v>
      </c>
      <c r="I180" s="198">
        <v>0.20519571704405837</v>
      </c>
      <c r="J180" s="197">
        <v>493522</v>
      </c>
      <c r="K180" s="198">
        <v>0.11548797880780337</v>
      </c>
      <c r="L180" s="197">
        <v>3164952</v>
      </c>
      <c r="M180" s="198">
        <v>-8.6372142711022004E-4</v>
      </c>
    </row>
    <row r="181" spans="3:18" ht="24" customHeight="1" thickBot="1" x14ac:dyDescent="0.25">
      <c r="C181" s="199" t="s">
        <v>8</v>
      </c>
      <c r="D181" s="200">
        <v>4801238</v>
      </c>
      <c r="E181" s="201">
        <v>1.8995330172290936E-2</v>
      </c>
      <c r="F181" s="200">
        <v>197214</v>
      </c>
      <c r="G181" s="201">
        <v>1.0379736459208644E-2</v>
      </c>
      <c r="H181" s="200">
        <v>42816</v>
      </c>
      <c r="I181" s="201">
        <v>0.22734699727676655</v>
      </c>
      <c r="J181" s="200">
        <v>924674</v>
      </c>
      <c r="K181" s="201">
        <v>9.4822564374582585E-2</v>
      </c>
      <c r="L181" s="200">
        <v>3636534</v>
      </c>
      <c r="M181" s="201">
        <v>-1.4902080682399621E-4</v>
      </c>
    </row>
    <row r="182" spans="3:18" ht="18" customHeight="1" x14ac:dyDescent="0.2">
      <c r="C182" s="4"/>
    </row>
    <row r="183" spans="3:18" ht="17.25" hidden="1" customHeight="1" x14ac:dyDescent="0.2">
      <c r="C183" s="157"/>
      <c r="D183" s="158"/>
      <c r="E183" s="158"/>
      <c r="F183" s="158"/>
      <c r="G183" s="158"/>
      <c r="H183" s="158"/>
      <c r="I183" s="158"/>
      <c r="J183" s="158"/>
      <c r="K183" s="158"/>
      <c r="L183" s="158"/>
      <c r="M183" s="159"/>
    </row>
    <row r="184" spans="3:18" ht="21.75" hidden="1" customHeight="1" x14ac:dyDescent="0.2">
      <c r="C184" s="160"/>
      <c r="D184" s="161"/>
      <c r="E184" s="203" t="str">
        <f>$E$1</f>
        <v>INDICADORES TURÍSTICOS DE TENERIFE definitivo</v>
      </c>
      <c r="F184" s="204"/>
      <c r="G184" s="204"/>
      <c r="H184" s="204"/>
      <c r="I184" s="204"/>
      <c r="J184" s="204"/>
      <c r="K184" s="205"/>
      <c r="L184" s="161"/>
      <c r="M184" s="163"/>
    </row>
    <row r="185" spans="3:18" s="1" customFormat="1" ht="21.75" hidden="1" customHeight="1" x14ac:dyDescent="0.2">
      <c r="C185" s="160"/>
      <c r="D185" s="161"/>
      <c r="E185" s="162"/>
      <c r="F185" s="162"/>
      <c r="G185" s="162"/>
      <c r="H185" s="162"/>
      <c r="I185" s="162"/>
      <c r="J185" s="162"/>
      <c r="K185" s="162"/>
      <c r="L185" s="161"/>
      <c r="M185" s="163"/>
    </row>
    <row r="186" spans="3:18" ht="33" hidden="1" customHeight="1" x14ac:dyDescent="0.2">
      <c r="C186" s="206" t="s">
        <v>29</v>
      </c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8"/>
    </row>
    <row r="187" spans="3:18" ht="20.100000000000001" hidden="1" customHeight="1" x14ac:dyDescent="0.2">
      <c r="C187" s="209">
        <f>E3</f>
        <v>0</v>
      </c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1"/>
    </row>
    <row r="188" spans="3:18" ht="17.25" hidden="1" customHeight="1" x14ac:dyDescent="0.2">
      <c r="C188" s="211"/>
      <c r="D188" s="212" t="s">
        <v>24</v>
      </c>
      <c r="E188" s="213"/>
      <c r="F188" s="212" t="s">
        <v>23</v>
      </c>
      <c r="G188" s="213"/>
      <c r="H188" s="212" t="s">
        <v>22</v>
      </c>
      <c r="I188" s="213"/>
      <c r="J188" s="212" t="s">
        <v>21</v>
      </c>
      <c r="K188" s="213"/>
      <c r="L188" s="212" t="s">
        <v>20</v>
      </c>
      <c r="M188" s="213"/>
      <c r="N188" s="212" t="s">
        <v>63</v>
      </c>
      <c r="O188" s="213"/>
      <c r="P188" s="212" t="s">
        <v>64</v>
      </c>
      <c r="Q188" s="213"/>
    </row>
    <row r="189" spans="3:18" ht="28.5" hidden="1" customHeight="1" x14ac:dyDescent="0.2">
      <c r="C189" s="211"/>
      <c r="D189" s="214" t="s">
        <v>35</v>
      </c>
      <c r="E189" s="214" t="s">
        <v>34</v>
      </c>
      <c r="F189" s="214" t="s">
        <v>35</v>
      </c>
      <c r="G189" s="214" t="s">
        <v>34</v>
      </c>
      <c r="H189" s="214" t="s">
        <v>35</v>
      </c>
      <c r="I189" s="214" t="s">
        <v>34</v>
      </c>
      <c r="J189" s="214" t="s">
        <v>35</v>
      </c>
      <c r="K189" s="214" t="s">
        <v>34</v>
      </c>
      <c r="L189" s="214" t="s">
        <v>35</v>
      </c>
      <c r="M189" s="214" t="s">
        <v>34</v>
      </c>
      <c r="N189" s="214" t="s">
        <v>35</v>
      </c>
      <c r="O189" s="214" t="s">
        <v>34</v>
      </c>
      <c r="P189" s="214" t="s">
        <v>35</v>
      </c>
      <c r="Q189" s="214" t="s">
        <v>34</v>
      </c>
    </row>
    <row r="190" spans="3:18" ht="24" hidden="1" customHeight="1" x14ac:dyDescent="0.2">
      <c r="C190" s="215" t="s">
        <v>36</v>
      </c>
      <c r="D190" s="216" t="e">
        <f>VLOOKUP("españa",#REF!,6,FALSE)/VLOOKUP("españa",#REF!,6,FALSE)-1</f>
        <v>#REF!</v>
      </c>
      <c r="E190" s="217" t="e">
        <f>VLOOKUP("españa",#REF!,6,FALSE)</f>
        <v>#REF!</v>
      </c>
      <c r="F190" s="216" t="e">
        <f>VLOOKUP("españa",#REF!,5,FALSE)/VLOOKUP("españa",#REF!,5,FALSE)-1</f>
        <v>#REF!</v>
      </c>
      <c r="G190" s="217" t="e">
        <f>VLOOKUP("españa",#REF!,5,FALSE)</f>
        <v>#REF!</v>
      </c>
      <c r="H190" s="216" t="e">
        <f>VLOOKUP("españa",#REF!,4,FALSE)/VLOOKUP("españa",#REF!,4,FALSE)-1</f>
        <v>#REF!</v>
      </c>
      <c r="I190" s="217" t="e">
        <f>VLOOKUP("españa",#REF!,4,FALSE)</f>
        <v>#REF!</v>
      </c>
      <c r="J190" s="216" t="e">
        <f>VLOOKUP("españa",#REF!,3,FALSE)/VLOOKUP("españa",#REF!,3,FALSE)-1</f>
        <v>#REF!</v>
      </c>
      <c r="K190" s="217" t="e">
        <f>VLOOKUP("españa",#REF!,3,FALSE)</f>
        <v>#REF!</v>
      </c>
      <c r="L190" s="216" t="e">
        <f>VLOOKUP("españa",#REF!,2,FALSE)/VLOOKUP("españa",#REF!,2,FALSE)-1</f>
        <v>#REF!</v>
      </c>
      <c r="M190" s="217" t="e">
        <f>VLOOKUP("españa",#REF!,2,FALSE)</f>
        <v>#REF!</v>
      </c>
      <c r="N190" s="216" t="e">
        <f>VLOOKUP("españa",#REF!,7,FALSE)/VLOOKUP("españa",#REF!,7,FALSE)-1</f>
        <v>#REF!</v>
      </c>
      <c r="O190" s="217" t="e">
        <f>VLOOKUP("españa",#REF!,7,FALSE)</f>
        <v>#REF!</v>
      </c>
      <c r="P190" s="216" t="e">
        <f>VLOOKUP("españa",#REF!,8,FALSE)/VLOOKUP("españa",#REF!,8,FALSE)-1</f>
        <v>#REF!</v>
      </c>
      <c r="Q190" s="217" t="e">
        <f>VLOOKUP("españa",#REF!,8,FALSE)</f>
        <v>#REF!</v>
      </c>
    </row>
    <row r="191" spans="3:18" ht="24" hidden="1" customHeight="1" x14ac:dyDescent="0.2">
      <c r="C191" s="215" t="s">
        <v>41</v>
      </c>
      <c r="D191" s="216" t="e">
        <f>VLOOKUP("holanda",#REF!,6,FALSE)/VLOOKUP("holanda",#REF!,6,FALSE)-1</f>
        <v>#REF!</v>
      </c>
      <c r="E191" s="217" t="e">
        <f>VLOOKUP("holanda",#REF!,6,FALSE)</f>
        <v>#REF!</v>
      </c>
      <c r="F191" s="216" t="e">
        <f>VLOOKUP("holanda",#REF!,5,FALSE)/VLOOKUP("holanda",#REF!,5,FALSE)-1</f>
        <v>#REF!</v>
      </c>
      <c r="G191" s="217" t="e">
        <f>VLOOKUP("holanda",#REF!,5,FALSE)</f>
        <v>#REF!</v>
      </c>
      <c r="H191" s="216" t="e">
        <f>VLOOKUP("holanda",#REF!,4,FALSE)/VLOOKUP("holanda",#REF!,4,FALSE)-1</f>
        <v>#REF!</v>
      </c>
      <c r="I191" s="217" t="e">
        <f>VLOOKUP("holanda",#REF!,4,FALSE)</f>
        <v>#REF!</v>
      </c>
      <c r="J191" s="216" t="e">
        <f>VLOOKUP("holanda",#REF!,3,FALSE)/VLOOKUP("holanda",#REF!,3,FALSE)-1</f>
        <v>#REF!</v>
      </c>
      <c r="K191" s="217" t="e">
        <f>VLOOKUP("holanda",#REF!,3,FALSE)</f>
        <v>#REF!</v>
      </c>
      <c r="L191" s="216" t="e">
        <f>VLOOKUP("holanda",#REF!,2,FALSE)/VLOOKUP("holanda",#REF!,2,FALSE)-1</f>
        <v>#REF!</v>
      </c>
      <c r="M191" s="217" t="e">
        <f>VLOOKUP("holanda",#REF!,2,FALSE)</f>
        <v>#REF!</v>
      </c>
      <c r="N191" s="216" t="e">
        <f>VLOOKUP("holanda",#REF!,7,FALSE)/VLOOKUP("holanda",#REF!,7,FALSE)-1</f>
        <v>#REF!</v>
      </c>
      <c r="O191" s="217" t="e">
        <f>VLOOKUP("holanda",#REF!,7,FALSE)</f>
        <v>#REF!</v>
      </c>
      <c r="P191" s="216" t="e">
        <f>VLOOKUP("holanda",#REF!,8,FALSE)/VLOOKUP("holanda",#REF!,8,FALSE)-1</f>
        <v>#REF!</v>
      </c>
      <c r="Q191" s="217" t="e">
        <f>VLOOKUP("holanda",#REF!,8,FALSE)</f>
        <v>#REF!</v>
      </c>
    </row>
    <row r="192" spans="3:18" ht="24" hidden="1" customHeight="1" x14ac:dyDescent="0.2">
      <c r="C192" s="215" t="s">
        <v>42</v>
      </c>
      <c r="D192" s="216" t="e">
        <f>VLOOKUP("belgica",#REF!,6,FALSE)/VLOOKUP("belgica",#REF!,6,FALSE)-1</f>
        <v>#REF!</v>
      </c>
      <c r="E192" s="217" t="e">
        <f>VLOOKUP("belgica",#REF!,6,FALSE)</f>
        <v>#REF!</v>
      </c>
      <c r="F192" s="216" t="e">
        <f>VLOOKUP("belgica",#REF!,5,FALSE)/VLOOKUP("belgica",#REF!,5,FALSE)-1</f>
        <v>#REF!</v>
      </c>
      <c r="G192" s="217" t="e">
        <f>VLOOKUP("belgica",#REF!,5,FALSE)</f>
        <v>#REF!</v>
      </c>
      <c r="H192" s="216" t="e">
        <f>VLOOKUP("belgica",#REF!,4,FALSE)/VLOOKUP("belgica",#REF!,4,FALSE)-1</f>
        <v>#REF!</v>
      </c>
      <c r="I192" s="217" t="e">
        <f>VLOOKUP("belgica",#REF!,4,FALSE)</f>
        <v>#REF!</v>
      </c>
      <c r="J192" s="216" t="e">
        <f>VLOOKUP("belgica",#REF!,3,FALSE)/VLOOKUP("belgica",#REF!,3,FALSE)-1</f>
        <v>#REF!</v>
      </c>
      <c r="K192" s="217" t="e">
        <f>VLOOKUP("belgica",#REF!,3,FALSE)</f>
        <v>#REF!</v>
      </c>
      <c r="L192" s="216" t="e">
        <f>VLOOKUP("belgica",#REF!,2,FALSE)/VLOOKUP("belgica",#REF!,2,FALSE)-1</f>
        <v>#REF!</v>
      </c>
      <c r="M192" s="217" t="e">
        <f>VLOOKUP("belgica",#REF!,2,FALSE)</f>
        <v>#REF!</v>
      </c>
      <c r="N192" s="216" t="e">
        <f>VLOOKUP("belgica",#REF!,7,FALSE)/VLOOKUP("belgica",#REF!,7,FALSE)-1</f>
        <v>#REF!</v>
      </c>
      <c r="O192" s="217" t="e">
        <f>VLOOKUP("belgica",#REF!,7,FALSE)</f>
        <v>#REF!</v>
      </c>
      <c r="P192" s="216" t="e">
        <f>VLOOKUP("belgica",#REF!,8,FALSE)/VLOOKUP("belgica",#REF!,8,FALSE)-1</f>
        <v>#REF!</v>
      </c>
      <c r="Q192" s="217" t="e">
        <f>VLOOKUP("belgica",#REF!,8,FALSE)</f>
        <v>#REF!</v>
      </c>
    </row>
    <row r="193" spans="3:17" ht="24" hidden="1" customHeight="1" x14ac:dyDescent="0.2">
      <c r="C193" s="215" t="s">
        <v>43</v>
      </c>
      <c r="D193" s="216" t="e">
        <f>VLOOKUP("alemania",#REF!,6,FALSE)/VLOOKUP("alemania",#REF!,6,FALSE)-1</f>
        <v>#REF!</v>
      </c>
      <c r="E193" s="217" t="e">
        <f>VLOOKUP("alemania",#REF!,6,FALSE)</f>
        <v>#REF!</v>
      </c>
      <c r="F193" s="216" t="e">
        <f>VLOOKUP("alemania",#REF!,5,FALSE)/VLOOKUP("alemania",#REF!,5,FALSE)-1</f>
        <v>#REF!</v>
      </c>
      <c r="G193" s="217" t="e">
        <f>VLOOKUP("alemania",#REF!,5,FALSE)</f>
        <v>#REF!</v>
      </c>
      <c r="H193" s="216" t="e">
        <f>VLOOKUP("alemania",#REF!,4,FALSE)/VLOOKUP("alemania",#REF!,4,FALSE)-1</f>
        <v>#REF!</v>
      </c>
      <c r="I193" s="217" t="e">
        <f>VLOOKUP("alemania",#REF!,4,FALSE)</f>
        <v>#REF!</v>
      </c>
      <c r="J193" s="216" t="e">
        <f>VLOOKUP("alemania",#REF!,3,FALSE)/VLOOKUP("alemania",#REF!,3,FALSE)-1</f>
        <v>#REF!</v>
      </c>
      <c r="K193" s="217" t="e">
        <f>VLOOKUP("alemania",#REF!,3,FALSE)</f>
        <v>#REF!</v>
      </c>
      <c r="L193" s="216" t="e">
        <f>VLOOKUP("alemania",#REF!,2,FALSE)/VLOOKUP("alemania",#REF!,2,FALSE)-1</f>
        <v>#REF!</v>
      </c>
      <c r="M193" s="217" t="e">
        <f>VLOOKUP("alemania",#REF!,2,FALSE)</f>
        <v>#REF!</v>
      </c>
      <c r="N193" s="216" t="e">
        <f>VLOOKUP("alemania",#REF!,7,FALSE)/VLOOKUP("alemania",#REF!,7,FALSE)-1</f>
        <v>#REF!</v>
      </c>
      <c r="O193" s="217" t="e">
        <f>VLOOKUP("alemania",#REF!,7,FALSE)</f>
        <v>#REF!</v>
      </c>
      <c r="P193" s="216" t="e">
        <f>VLOOKUP("alemania",#REF!,8,FALSE)/VLOOKUP("alemania",#REF!,8,FALSE)-1</f>
        <v>#REF!</v>
      </c>
      <c r="Q193" s="217" t="e">
        <f>VLOOKUP("alemania",#REF!,8,FALSE)</f>
        <v>#REF!</v>
      </c>
    </row>
    <row r="194" spans="3:17" ht="24" hidden="1" customHeight="1" x14ac:dyDescent="0.2">
      <c r="C194" s="215" t="s">
        <v>44</v>
      </c>
      <c r="D194" s="216" t="e">
        <f>VLOOKUP("francia",#REF!,6,FALSE)/VLOOKUP("francia",#REF!,6,FALSE)-1</f>
        <v>#REF!</v>
      </c>
      <c r="E194" s="217" t="e">
        <f>VLOOKUP("francia",#REF!,6,FALSE)</f>
        <v>#REF!</v>
      </c>
      <c r="F194" s="216" t="e">
        <f>VLOOKUP("francia",#REF!,5,FALSE)/VLOOKUP("francia",#REF!,5,FALSE)-1</f>
        <v>#REF!</v>
      </c>
      <c r="G194" s="217" t="e">
        <f>VLOOKUP("francia",#REF!,5,FALSE)</f>
        <v>#REF!</v>
      </c>
      <c r="H194" s="216" t="e">
        <f>VLOOKUP("francia",#REF!,4,FALSE)/VLOOKUP("francia",#REF!,4,FALSE)-1</f>
        <v>#REF!</v>
      </c>
      <c r="I194" s="217" t="e">
        <f>VLOOKUP("francia",#REF!,4,FALSE)</f>
        <v>#REF!</v>
      </c>
      <c r="J194" s="216" t="e">
        <f>VLOOKUP("francia",#REF!,3,FALSE)/VLOOKUP("francia",#REF!,3,FALSE)-1</f>
        <v>#REF!</v>
      </c>
      <c r="K194" s="217" t="e">
        <f>VLOOKUP("francia",#REF!,3,FALSE)</f>
        <v>#REF!</v>
      </c>
      <c r="L194" s="216" t="e">
        <f>VLOOKUP("francia",#REF!,2,FALSE)/VLOOKUP("francia",#REF!,2,FALSE)-1</f>
        <v>#REF!</v>
      </c>
      <c r="M194" s="217" t="e">
        <f>VLOOKUP("francia",#REF!,2,FALSE)</f>
        <v>#REF!</v>
      </c>
      <c r="N194" s="216" t="e">
        <f>VLOOKUP("francia",#REF!,7,FALSE)/VLOOKUP("francia",#REF!,7,FALSE)-1</f>
        <v>#REF!</v>
      </c>
      <c r="O194" s="217" t="e">
        <f>VLOOKUP("francia",#REF!,7,FALSE)</f>
        <v>#REF!</v>
      </c>
      <c r="P194" s="216" t="e">
        <f>VLOOKUP("francia",#REF!,8,FALSE)/VLOOKUP("francia",#REF!,8,FALSE)-1</f>
        <v>#REF!</v>
      </c>
      <c r="Q194" s="217" t="e">
        <f>VLOOKUP("francia",#REF!,8,FALSE)</f>
        <v>#REF!</v>
      </c>
    </row>
    <row r="195" spans="3:17" ht="24" hidden="1" customHeight="1" x14ac:dyDescent="0.2">
      <c r="C195" s="215" t="s">
        <v>45</v>
      </c>
      <c r="D195" s="216" t="e">
        <f>VLOOKUP("reino unido",#REF!,6,FALSE)/VLOOKUP("reino unido",#REF!,6,FALSE)-1</f>
        <v>#REF!</v>
      </c>
      <c r="E195" s="217" t="e">
        <f>VLOOKUP("reino unido",#REF!,6,FALSE)</f>
        <v>#REF!</v>
      </c>
      <c r="F195" s="216" t="e">
        <f>VLOOKUP("reino unido",#REF!,5,FALSE)/VLOOKUP("reino unido",#REF!,5,FALSE)-1</f>
        <v>#REF!</v>
      </c>
      <c r="G195" s="217" t="e">
        <f>VLOOKUP("reino unido",#REF!,5,FALSE)</f>
        <v>#REF!</v>
      </c>
      <c r="H195" s="216" t="e">
        <f>VLOOKUP("reino unido",#REF!,4,FALSE)/VLOOKUP("reino unido",#REF!,4,FALSE)-1</f>
        <v>#REF!</v>
      </c>
      <c r="I195" s="217" t="e">
        <f>VLOOKUP("reino unido",#REF!,4,FALSE)</f>
        <v>#REF!</v>
      </c>
      <c r="J195" s="216" t="e">
        <f>VLOOKUP("reino unido",#REF!,3,FALSE)/VLOOKUP("reino unido",#REF!,3,FALSE)-1</f>
        <v>#REF!</v>
      </c>
      <c r="K195" s="217" t="e">
        <f>VLOOKUP("reino unido",#REF!,3,FALSE)</f>
        <v>#REF!</v>
      </c>
      <c r="L195" s="216" t="e">
        <f>VLOOKUP("reino unido",#REF!,2,FALSE)/VLOOKUP("reino unido",#REF!,2,FALSE)-1</f>
        <v>#REF!</v>
      </c>
      <c r="M195" s="217" t="e">
        <f>VLOOKUP("reino unido",#REF!,2,FALSE)</f>
        <v>#REF!</v>
      </c>
      <c r="N195" s="216" t="e">
        <f>VLOOKUP("reino unido",#REF!,7,FALSE)/VLOOKUP("reino unido",#REF!,7,FALSE)-1</f>
        <v>#REF!</v>
      </c>
      <c r="O195" s="217" t="e">
        <f>VLOOKUP("reino unido",#REF!,7,FALSE)</f>
        <v>#REF!</v>
      </c>
      <c r="P195" s="216" t="e">
        <f>VLOOKUP("reino unido",#REF!,8,FALSE)/VLOOKUP("reino unido",#REF!,8,FALSE)-1</f>
        <v>#REF!</v>
      </c>
      <c r="Q195" s="217" t="e">
        <f>VLOOKUP("reino unido",#REF!,8,FALSE)</f>
        <v>#REF!</v>
      </c>
    </row>
    <row r="196" spans="3:17" ht="24" hidden="1" customHeight="1" x14ac:dyDescent="0.2">
      <c r="C196" s="215" t="s">
        <v>46</v>
      </c>
      <c r="D196" s="216" t="e">
        <f>VLOOKUP("irlanda",#REF!,6,FALSE)/VLOOKUP("irlanda",#REF!,6,FALSE)-1</f>
        <v>#REF!</v>
      </c>
      <c r="E196" s="217" t="e">
        <f>VLOOKUP("irlanda",#REF!,6,FALSE)</f>
        <v>#REF!</v>
      </c>
      <c r="F196" s="216" t="e">
        <f>VLOOKUP("irlanda",#REF!,5,FALSE)/VLOOKUP("irlanda",#REF!,5,FALSE)-1</f>
        <v>#REF!</v>
      </c>
      <c r="G196" s="217" t="e">
        <f>VLOOKUP("irlanda",#REF!,5,FALSE)</f>
        <v>#REF!</v>
      </c>
      <c r="H196" s="216" t="e">
        <f>VLOOKUP("irlanda",#REF!,4,FALSE)/VLOOKUP("irlanda",#REF!,4,FALSE)-1</f>
        <v>#REF!</v>
      </c>
      <c r="I196" s="217" t="e">
        <f>VLOOKUP("irlanda",#REF!,4,FALSE)</f>
        <v>#REF!</v>
      </c>
      <c r="J196" s="216" t="e">
        <f>VLOOKUP("irlanda",#REF!,3,FALSE)/VLOOKUP("irlanda",#REF!,3,FALSE)-1</f>
        <v>#REF!</v>
      </c>
      <c r="K196" s="217" t="e">
        <f>VLOOKUP("irlanda",#REF!,3,FALSE)</f>
        <v>#REF!</v>
      </c>
      <c r="L196" s="216" t="e">
        <f>VLOOKUP("irlanda",#REF!,2,FALSE)/VLOOKUP("irlanda",#REF!,2,FALSE)-1</f>
        <v>#REF!</v>
      </c>
      <c r="M196" s="217" t="e">
        <f>VLOOKUP("irlanda",#REF!,2,FALSE)</f>
        <v>#REF!</v>
      </c>
      <c r="N196" s="216" t="e">
        <f>VLOOKUP("irlanda",#REF!,7,FALSE)/VLOOKUP("irlanda",#REF!,7,FALSE)-1</f>
        <v>#REF!</v>
      </c>
      <c r="O196" s="217" t="e">
        <f>VLOOKUP("irlanda",#REF!,7,FALSE)</f>
        <v>#REF!</v>
      </c>
      <c r="P196" s="216" t="e">
        <f>VLOOKUP("irlanda",#REF!,8,FALSE)/VLOOKUP("irlanda",#REF!,8,FALSE)-1</f>
        <v>#REF!</v>
      </c>
      <c r="Q196" s="217" t="e">
        <f>VLOOKUP("irlanda",#REF!,8,FALSE)</f>
        <v>#REF!</v>
      </c>
    </row>
    <row r="197" spans="3:17" ht="24" hidden="1" customHeight="1" x14ac:dyDescent="0.2">
      <c r="C197" s="215" t="s">
        <v>47</v>
      </c>
      <c r="D197" s="216" t="e">
        <f>VLOOKUP("italia",#REF!,6,FALSE)/VLOOKUP("italia",#REF!,6,FALSE)-1</f>
        <v>#REF!</v>
      </c>
      <c r="E197" s="217" t="e">
        <f>VLOOKUP("italia",#REF!,6,FALSE)</f>
        <v>#REF!</v>
      </c>
      <c r="F197" s="216" t="e">
        <f>VLOOKUP("italia",#REF!,5,FALSE)/VLOOKUP("italia",#REF!,5,FALSE)-1</f>
        <v>#REF!</v>
      </c>
      <c r="G197" s="217" t="e">
        <f>VLOOKUP("italia",#REF!,5,FALSE)</f>
        <v>#REF!</v>
      </c>
      <c r="H197" s="216" t="e">
        <f>VLOOKUP("italia",#REF!,4,FALSE)/VLOOKUP("italia",#REF!,4,FALSE)-1</f>
        <v>#REF!</v>
      </c>
      <c r="I197" s="217" t="e">
        <f>VLOOKUP("italia",#REF!,4,FALSE)</f>
        <v>#REF!</v>
      </c>
      <c r="J197" s="216" t="e">
        <f>VLOOKUP("italia",#REF!,3,FALSE)/VLOOKUP("italia",#REF!,3,FALSE)-1</f>
        <v>#REF!</v>
      </c>
      <c r="K197" s="217" t="e">
        <f>VLOOKUP("italia",#REF!,3,FALSE)</f>
        <v>#REF!</v>
      </c>
      <c r="L197" s="216" t="e">
        <f>VLOOKUP("italia",#REF!,2,FALSE)/VLOOKUP("italia",#REF!,2,FALSE)-1</f>
        <v>#REF!</v>
      </c>
      <c r="M197" s="217" t="e">
        <f>VLOOKUP("italia",#REF!,2,FALSE)</f>
        <v>#REF!</v>
      </c>
      <c r="N197" s="216" t="e">
        <f>VLOOKUP("italia",#REF!,7,FALSE)/VLOOKUP("italia",#REF!,7,FALSE)-1</f>
        <v>#REF!</v>
      </c>
      <c r="O197" s="217" t="e">
        <f>VLOOKUP("italia",#REF!,7,FALSE)</f>
        <v>#REF!</v>
      </c>
      <c r="P197" s="216" t="e">
        <f>VLOOKUP("italia",#REF!,8,FALSE)/VLOOKUP("italia",#REF!,8,FALSE)-1</f>
        <v>#REF!</v>
      </c>
      <c r="Q197" s="217" t="e">
        <f>VLOOKUP("italia",#REF!,8,FALSE)</f>
        <v>#REF!</v>
      </c>
    </row>
    <row r="198" spans="3:17" ht="24" hidden="1" customHeight="1" x14ac:dyDescent="0.2">
      <c r="C198" s="215" t="s">
        <v>48</v>
      </c>
      <c r="D198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98" s="217" t="e">
        <f>(VLOOKUP("suecia",#REF!,6,FALSE)+VLOOKUP("noruega",#REF!,6,FALSE)+VLOOKUP("dinamarca",#REF!,6,FALSE)+VLOOKUP("finlandia",#REF!,6,FALSE))</f>
        <v>#REF!</v>
      </c>
      <c r="F198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98" s="217" t="e">
        <f>(VLOOKUP("suecia",#REF!,5,FALSE)+VLOOKUP("noruega",#REF!,5,FALSE)+VLOOKUP("dinamarca",#REF!,5,FALSE)+VLOOKUP("finlandia",#REF!,5,FALSE))</f>
        <v>#REF!</v>
      </c>
      <c r="H198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98" s="217" t="e">
        <f>(VLOOKUP("suecia",#REF!,4,FALSE)+VLOOKUP("noruega",#REF!,4,FALSE)+VLOOKUP("dinamarca",#REF!,4,FALSE)+VLOOKUP("finlandia",#REF!,4,FALSE))</f>
        <v>#REF!</v>
      </c>
      <c r="J198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98" s="217" t="e">
        <f>(VLOOKUP("suecia",#REF!,3,FALSE)+VLOOKUP("noruega",#REF!,3,FALSE)+VLOOKUP("dinamarca",#REF!,3,FALSE)+VLOOKUP("finlandia",#REF!,3,FALSE))</f>
        <v>#REF!</v>
      </c>
      <c r="L198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98" s="217" t="e">
        <f>(VLOOKUP("suecia",#REF!,2,FALSE)+VLOOKUP("noruega",#REF!,2,FALSE)+VLOOKUP("dinamarca",#REF!,2,FALSE)+VLOOKUP("finlandia",#REF!,2,FALSE))</f>
        <v>#REF!</v>
      </c>
      <c r="N198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198" s="217" t="e">
        <f>(VLOOKUP("suecia",#REF!,7,FALSE)+VLOOKUP("noruega",#REF!,7,FALSE)+VLOOKUP("dinamarca",#REF!,7,FALSE)+VLOOKUP("finlandia",#REF!,7,FALSE))</f>
        <v>#REF!</v>
      </c>
      <c r="P198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198" s="217" t="e">
        <f>(VLOOKUP("suecia",#REF!,8,FALSE)+VLOOKUP("noruega",#REF!,8,FALSE)+VLOOKUP("dinamarca",#REF!,8,FALSE)+VLOOKUP("finlandia",#REF!,8,FALSE))</f>
        <v>#REF!</v>
      </c>
    </row>
    <row r="199" spans="3:17" ht="24" hidden="1" customHeight="1" x14ac:dyDescent="0.2">
      <c r="C199" s="218" t="s">
        <v>49</v>
      </c>
      <c r="D199" s="216" t="e">
        <f>VLOOKUP("suecia",#REF!,6,FALSE)/VLOOKUP("suecia",#REF!,6,FALSE)-1</f>
        <v>#REF!</v>
      </c>
      <c r="E199" s="217" t="e">
        <f>VLOOKUP("suecia",#REF!,6,FALSE)</f>
        <v>#REF!</v>
      </c>
      <c r="F199" s="216" t="e">
        <f>VLOOKUP("suecia",#REF!,5,FALSE)/VLOOKUP("suecia",#REF!,5,FALSE)-1</f>
        <v>#REF!</v>
      </c>
      <c r="G199" s="217" t="e">
        <f>VLOOKUP("suecia",#REF!,5,FALSE)</f>
        <v>#REF!</v>
      </c>
      <c r="H199" s="216" t="e">
        <f>VLOOKUP("suecia",#REF!,4,FALSE)/VLOOKUP("suecia",#REF!,4,FALSE)-1</f>
        <v>#REF!</v>
      </c>
      <c r="I199" s="217" t="e">
        <f>VLOOKUP("suecia",#REF!,4,FALSE)</f>
        <v>#REF!</v>
      </c>
      <c r="J199" s="216" t="e">
        <f>VLOOKUP("suecia",#REF!,3,FALSE)/VLOOKUP("suecia",#REF!,3,FALSE)-1</f>
        <v>#REF!</v>
      </c>
      <c r="K199" s="217" t="e">
        <f>VLOOKUP("suecia",#REF!,3,FALSE)</f>
        <v>#REF!</v>
      </c>
      <c r="L199" s="216" t="e">
        <f>VLOOKUP("suecia",#REF!,2,FALSE)/VLOOKUP("suecia",#REF!,2,FALSE)-1</f>
        <v>#REF!</v>
      </c>
      <c r="M199" s="217" t="e">
        <f>VLOOKUP("suecia",#REF!,2,FALSE)</f>
        <v>#REF!</v>
      </c>
      <c r="N199" s="216" t="e">
        <f>VLOOKUP("suecia",#REF!,7,FALSE)/VLOOKUP("suecia",#REF!,7,FALSE)-1</f>
        <v>#REF!</v>
      </c>
      <c r="O199" s="217" t="e">
        <f>VLOOKUP("suecia",#REF!,7,FALSE)</f>
        <v>#REF!</v>
      </c>
      <c r="P199" s="216" t="e">
        <f>VLOOKUP("suecia",#REF!,8,FALSE)/VLOOKUP("suecia",#REF!,8,FALSE)-1</f>
        <v>#REF!</v>
      </c>
      <c r="Q199" s="217" t="e">
        <f>VLOOKUP("suecia",#REF!,8,FALSE)</f>
        <v>#REF!</v>
      </c>
    </row>
    <row r="200" spans="3:17" ht="24" hidden="1" customHeight="1" x14ac:dyDescent="0.2">
      <c r="C200" s="218" t="s">
        <v>50</v>
      </c>
      <c r="D200" s="216" t="e">
        <f>VLOOKUP("noruega",#REF!,6,FALSE)/VLOOKUP("noruega",#REF!,6,FALSE)-1</f>
        <v>#REF!</v>
      </c>
      <c r="E200" s="217" t="e">
        <f>VLOOKUP("noruega",#REF!,6,FALSE)</f>
        <v>#REF!</v>
      </c>
      <c r="F200" s="216" t="e">
        <f>VLOOKUP("noruega",#REF!,5,FALSE)/VLOOKUP("noruega",#REF!,5,FALSE)-1</f>
        <v>#REF!</v>
      </c>
      <c r="G200" s="217" t="e">
        <f>VLOOKUP("noruega",#REF!,5,FALSE)</f>
        <v>#REF!</v>
      </c>
      <c r="H200" s="216" t="e">
        <f>VLOOKUP("noruega",#REF!,4,FALSE)/VLOOKUP("noruega",#REF!,4,FALSE)-1</f>
        <v>#REF!</v>
      </c>
      <c r="I200" s="217" t="e">
        <f>VLOOKUP("noruega",#REF!,4,FALSE)</f>
        <v>#REF!</v>
      </c>
      <c r="J200" s="216" t="e">
        <f>VLOOKUP("noruega",#REF!,3,FALSE)/VLOOKUP("noruega",#REF!,3,FALSE)-1</f>
        <v>#REF!</v>
      </c>
      <c r="K200" s="217" t="e">
        <f>VLOOKUP("noruega",#REF!,3,FALSE)</f>
        <v>#REF!</v>
      </c>
      <c r="L200" s="216" t="e">
        <f>VLOOKUP("noruega",#REF!,2,FALSE)/VLOOKUP("noruega",#REF!,2,FALSE)-1</f>
        <v>#REF!</v>
      </c>
      <c r="M200" s="217" t="e">
        <f>VLOOKUP("noruega",#REF!,2,FALSE)</f>
        <v>#REF!</v>
      </c>
      <c r="N200" s="216" t="e">
        <f>VLOOKUP("noruega",#REF!,7,FALSE)/VLOOKUP("noruega",#REF!,7,FALSE)-1</f>
        <v>#REF!</v>
      </c>
      <c r="O200" s="217" t="e">
        <f>VLOOKUP("noruega",#REF!,7,FALSE)</f>
        <v>#REF!</v>
      </c>
      <c r="P200" s="216" t="e">
        <f>VLOOKUP("noruega",#REF!,8,FALSE)/VLOOKUP("noruega",#REF!,8,FALSE)-1</f>
        <v>#REF!</v>
      </c>
      <c r="Q200" s="217" t="e">
        <f>VLOOKUP("noruega",#REF!,8,FALSE)</f>
        <v>#REF!</v>
      </c>
    </row>
    <row r="201" spans="3:17" ht="24" hidden="1" customHeight="1" x14ac:dyDescent="0.2">
      <c r="C201" s="218" t="s">
        <v>51</v>
      </c>
      <c r="D201" s="216" t="e">
        <f>VLOOKUP("dinamarca",#REF!,6,FALSE)/VLOOKUP("dinamarca",#REF!,6,FALSE)-1</f>
        <v>#REF!</v>
      </c>
      <c r="E201" s="217" t="e">
        <f>VLOOKUP("dinamarca",#REF!,6,FALSE)</f>
        <v>#REF!</v>
      </c>
      <c r="F201" s="216" t="e">
        <f>VLOOKUP("dinamarca",#REF!,5,FALSE)/VLOOKUP("dinamarca",#REF!,5,FALSE)-1</f>
        <v>#REF!</v>
      </c>
      <c r="G201" s="217" t="e">
        <f>VLOOKUP("dinamarca",#REF!,5,FALSE)</f>
        <v>#REF!</v>
      </c>
      <c r="H201" s="216" t="e">
        <f>VLOOKUP("dinamarca",#REF!,4,FALSE)/VLOOKUP("dinamarca",#REF!,4,FALSE)-1</f>
        <v>#REF!</v>
      </c>
      <c r="I201" s="217" t="e">
        <f>VLOOKUP("dinamarca",#REF!,4,FALSE)</f>
        <v>#REF!</v>
      </c>
      <c r="J201" s="216" t="e">
        <f>VLOOKUP("dinamarca",#REF!,3,FALSE)/VLOOKUP("dinamarca",#REF!,3,FALSE)-1</f>
        <v>#REF!</v>
      </c>
      <c r="K201" s="217" t="e">
        <f>VLOOKUP("dinamarca",#REF!,3,FALSE)</f>
        <v>#REF!</v>
      </c>
      <c r="L201" s="216" t="e">
        <f>VLOOKUP("dinamarca",#REF!,2,FALSE)/VLOOKUP("dinamarca",#REF!,2,FALSE)-1</f>
        <v>#REF!</v>
      </c>
      <c r="M201" s="217" t="e">
        <f>VLOOKUP("dinamarca",#REF!,2,FALSE)</f>
        <v>#REF!</v>
      </c>
      <c r="N201" s="216" t="e">
        <f>VLOOKUP("dinamarca",#REF!,7,FALSE)/VLOOKUP("dinamarca",#REF!,7,FALSE)-1</f>
        <v>#REF!</v>
      </c>
      <c r="O201" s="217" t="e">
        <f>VLOOKUP("dinamarca",#REF!,7,FALSE)</f>
        <v>#REF!</v>
      </c>
      <c r="P201" s="216" t="e">
        <f>VLOOKUP("dinamarca",#REF!,8,FALSE)/VLOOKUP("dinamarca",#REF!,8,FALSE)-1</f>
        <v>#REF!</v>
      </c>
      <c r="Q201" s="217" t="e">
        <f>VLOOKUP("dinamarca",#REF!,8,FALSE)</f>
        <v>#REF!</v>
      </c>
    </row>
    <row r="202" spans="3:17" ht="24" hidden="1" customHeight="1" x14ac:dyDescent="0.2">
      <c r="C202" s="218" t="s">
        <v>52</v>
      </c>
      <c r="D202" s="216" t="s">
        <v>38</v>
      </c>
      <c r="E202" s="217" t="e">
        <f>VLOOKUP("finlandia",#REF!,6,FALSE)</f>
        <v>#REF!</v>
      </c>
      <c r="F202" s="216" t="e">
        <f>VLOOKUP("finlandia",#REF!,5,FALSE)/VLOOKUP("finlandia",#REF!,5,FALSE)-1</f>
        <v>#REF!</v>
      </c>
      <c r="G202" s="217" t="e">
        <f>VLOOKUP("finlandia",#REF!,5,FALSE)</f>
        <v>#REF!</v>
      </c>
      <c r="H202" s="216" t="e">
        <f>VLOOKUP("finlandia",#REF!,4,FALSE)/VLOOKUP("finlandia",#REF!,4,FALSE)-1</f>
        <v>#REF!</v>
      </c>
      <c r="I202" s="217" t="e">
        <f>VLOOKUP("finlandia",#REF!,4,FALSE)</f>
        <v>#REF!</v>
      </c>
      <c r="J202" s="216" t="e">
        <f>VLOOKUP("finlandia",#REF!,3,FALSE)/VLOOKUP("finlandia",#REF!,3,FALSE)-1</f>
        <v>#REF!</v>
      </c>
      <c r="K202" s="217" t="e">
        <f>VLOOKUP("finlandia",#REF!,3,FALSE)</f>
        <v>#REF!</v>
      </c>
      <c r="L202" s="216" t="s">
        <v>38</v>
      </c>
      <c r="M202" s="217" t="e">
        <f>VLOOKUP("finlandia",#REF!,2,FALSE)</f>
        <v>#REF!</v>
      </c>
      <c r="N202" s="216" t="e">
        <f>VLOOKUP("finlandia",#REF!,7,FALSE)/VLOOKUP("finlandia",#REF!,7,FALSE)-1</f>
        <v>#REF!</v>
      </c>
      <c r="O202" s="217" t="e">
        <f>VLOOKUP("finlandia",#REF!,7,FALSE)</f>
        <v>#REF!</v>
      </c>
      <c r="P202" s="216" t="e">
        <f>VLOOKUP("finlandia",#REF!,8,FALSE)/VLOOKUP("finlandia",#REF!,8,FALSE)-1</f>
        <v>#REF!</v>
      </c>
      <c r="Q202" s="217" t="e">
        <f>VLOOKUP("finlandia",#REF!,8,FALSE)</f>
        <v>#REF!</v>
      </c>
    </row>
    <row r="203" spans="3:17" ht="24" hidden="1" customHeight="1" x14ac:dyDescent="0.2">
      <c r="C203" s="215" t="s">
        <v>53</v>
      </c>
      <c r="D203" s="216" t="e">
        <f>VLOOKUP("suiza",#REF!,6,FALSE)/VLOOKUP("suiza",#REF!,6,FALSE)-1</f>
        <v>#REF!</v>
      </c>
      <c r="E203" s="217" t="e">
        <f>VLOOKUP("suiza",#REF!,6,FALSE)</f>
        <v>#REF!</v>
      </c>
      <c r="F203" s="216" t="e">
        <f>VLOOKUP("suiza",#REF!,5,FALSE)/VLOOKUP("suiza",#REF!,5,FALSE)-1</f>
        <v>#REF!</v>
      </c>
      <c r="G203" s="217" t="e">
        <f>VLOOKUP("suiza",#REF!,5,FALSE)</f>
        <v>#REF!</v>
      </c>
      <c r="H203" s="216" t="e">
        <f>VLOOKUP("suiza",#REF!,4,FALSE)/VLOOKUP("suiza",#REF!,4,FALSE)-1</f>
        <v>#REF!</v>
      </c>
      <c r="I203" s="217" t="e">
        <f>VLOOKUP("suiza",#REF!,4,FALSE)</f>
        <v>#REF!</v>
      </c>
      <c r="J203" s="216" t="e">
        <f>VLOOKUP("suiza",#REF!,3,FALSE)/VLOOKUP("suiza",#REF!,3,FALSE)-1</f>
        <v>#REF!</v>
      </c>
      <c r="K203" s="217" t="e">
        <f>VLOOKUP("suiza",#REF!,3,FALSE)</f>
        <v>#REF!</v>
      </c>
      <c r="L203" s="216" t="e">
        <f>VLOOKUP("suiza",#REF!,2,FALSE)/VLOOKUP("suiza",#REF!,2,FALSE)-1</f>
        <v>#REF!</v>
      </c>
      <c r="M203" s="217" t="e">
        <f>VLOOKUP("suiza",#REF!,2,FALSE)</f>
        <v>#REF!</v>
      </c>
      <c r="N203" s="216" t="e">
        <f>VLOOKUP("suiza",#REF!,7,FALSE)/VLOOKUP("suiza",#REF!,7,FALSE)-1</f>
        <v>#REF!</v>
      </c>
      <c r="O203" s="217" t="e">
        <f>VLOOKUP("suiza",#REF!,7,FALSE)</f>
        <v>#REF!</v>
      </c>
      <c r="P203" s="216" t="e">
        <f>VLOOKUP("suiza",#REF!,8,FALSE)/VLOOKUP("suiza",#REF!,8,FALSE)-1</f>
        <v>#REF!</v>
      </c>
      <c r="Q203" s="217" t="e">
        <f>VLOOKUP("suiza",#REF!,8,FALSE)</f>
        <v>#REF!</v>
      </c>
    </row>
    <row r="204" spans="3:17" ht="24" hidden="1" customHeight="1" x14ac:dyDescent="0.2">
      <c r="C204" s="215" t="s">
        <v>54</v>
      </c>
      <c r="D204" s="216" t="e">
        <f>VLOOKUP("austria",#REF!,6,FALSE)/VLOOKUP("austria",#REF!,6,FALSE)-1</f>
        <v>#REF!</v>
      </c>
      <c r="E204" s="217" t="e">
        <f>VLOOKUP("austria",#REF!,6,FALSE)</f>
        <v>#REF!</v>
      </c>
      <c r="F204" s="216" t="e">
        <f>VLOOKUP("austria",#REF!,5,FALSE)/VLOOKUP("austria",#REF!,5,FALSE)-1</f>
        <v>#REF!</v>
      </c>
      <c r="G204" s="217" t="e">
        <f>VLOOKUP("austria",#REF!,5,FALSE)</f>
        <v>#REF!</v>
      </c>
      <c r="H204" s="216" t="e">
        <f>VLOOKUP("austria",#REF!,4,FALSE)/VLOOKUP("austria",#REF!,4,FALSE)-1</f>
        <v>#REF!</v>
      </c>
      <c r="I204" s="217" t="e">
        <f>VLOOKUP("austria",#REF!,4,FALSE)</f>
        <v>#REF!</v>
      </c>
      <c r="J204" s="216" t="e">
        <f>VLOOKUP("austria",#REF!,3,FALSE)/VLOOKUP("austria",#REF!,3,FALSE)-1</f>
        <v>#REF!</v>
      </c>
      <c r="K204" s="217" t="e">
        <f>VLOOKUP("austria",#REF!,3,FALSE)</f>
        <v>#REF!</v>
      </c>
      <c r="L204" s="216" t="e">
        <f>VLOOKUP("austria",#REF!,2,FALSE)/VLOOKUP("austria",#REF!,2,FALSE)-1</f>
        <v>#REF!</v>
      </c>
      <c r="M204" s="217" t="e">
        <f>VLOOKUP("austria",#REF!,2,FALSE)</f>
        <v>#REF!</v>
      </c>
      <c r="N204" s="216" t="e">
        <f>VLOOKUP("austria",#REF!,7,FALSE)/VLOOKUP("austria",#REF!,7,FALSE)-1</f>
        <v>#REF!</v>
      </c>
      <c r="O204" s="217" t="e">
        <f>VLOOKUP("austria",#REF!,7,FALSE)</f>
        <v>#REF!</v>
      </c>
      <c r="P204" s="216" t="e">
        <f>VLOOKUP("austria",#REF!,8,FALSE)/VLOOKUP("austria",#REF!,8,FALSE)-1</f>
        <v>#REF!</v>
      </c>
      <c r="Q204" s="217" t="e">
        <f>VLOOKUP("austria",#REF!,8,FALSE)</f>
        <v>#REF!</v>
      </c>
    </row>
    <row r="205" spans="3:17" ht="24" hidden="1" customHeight="1" x14ac:dyDescent="0.2">
      <c r="C205" s="215" t="s">
        <v>55</v>
      </c>
      <c r="D205" s="216" t="e">
        <f>VLOOKUP("rusia",#REF!,6,FALSE)/VLOOKUP("rusia",#REF!,6,FALSE)-1</f>
        <v>#REF!</v>
      </c>
      <c r="E205" s="217" t="e">
        <f>VLOOKUP("rusia",#REF!,6,FALSE)</f>
        <v>#REF!</v>
      </c>
      <c r="F205" s="216" t="e">
        <f>VLOOKUP("rusia",#REF!,5,FALSE)/VLOOKUP("rusia",#REF!,5,FALSE)-1</f>
        <v>#REF!</v>
      </c>
      <c r="G205" s="217" t="e">
        <f>VLOOKUP("rusia",#REF!,5,FALSE)</f>
        <v>#REF!</v>
      </c>
      <c r="H205" s="216" t="e">
        <f>VLOOKUP("rusia",#REF!,4,FALSE)/VLOOKUP("rusia",#REF!,4,FALSE)-1</f>
        <v>#REF!</v>
      </c>
      <c r="I205" s="217" t="e">
        <f>VLOOKUP("rusia",#REF!,4,FALSE)</f>
        <v>#REF!</v>
      </c>
      <c r="J205" s="216" t="e">
        <f>VLOOKUP("rusia",#REF!,3,FALSE)/VLOOKUP("rusia",#REF!,3,FALSE)-1</f>
        <v>#REF!</v>
      </c>
      <c r="K205" s="217" t="e">
        <f>VLOOKUP("rusia",#REF!,3,FALSE)</f>
        <v>#REF!</v>
      </c>
      <c r="L205" s="216" t="e">
        <f>VLOOKUP("rusia",#REF!,2,FALSE)/VLOOKUP("rusia",#REF!,2,FALSE)-1</f>
        <v>#REF!</v>
      </c>
      <c r="M205" s="217" t="e">
        <f>VLOOKUP("rusia",#REF!,2,FALSE)</f>
        <v>#REF!</v>
      </c>
      <c r="N205" s="216" t="e">
        <f>VLOOKUP("rusia",#REF!,7,FALSE)/VLOOKUP("rusia",#REF!,7,FALSE)-1</f>
        <v>#REF!</v>
      </c>
      <c r="O205" s="217" t="e">
        <f>VLOOKUP("rusia",#REF!,7,FALSE)</f>
        <v>#REF!</v>
      </c>
      <c r="P205" s="216" t="e">
        <f>VLOOKUP("rusia",#REF!,8,FALSE)/VLOOKUP("rusia",#REF!,8,FALSE)-1</f>
        <v>#REF!</v>
      </c>
      <c r="Q205" s="217" t="e">
        <f>VLOOKUP("rusia",#REF!,8,FALSE)</f>
        <v>#REF!</v>
      </c>
    </row>
    <row r="206" spans="3:17" ht="24" hidden="1" customHeight="1" x14ac:dyDescent="0.2">
      <c r="C206" s="215" t="s">
        <v>56</v>
      </c>
      <c r="D206" s="216" t="e">
        <f>VLOOKUP("paises del este",#REF!,6,FALSE)/VLOOKUP("paises del este",#REF!,6,FALSE)-1</f>
        <v>#REF!</v>
      </c>
      <c r="E206" s="217" t="e">
        <f>VLOOKUP("paises del este",#REF!,6,FALSE)</f>
        <v>#REF!</v>
      </c>
      <c r="F206" s="216" t="e">
        <f>VLOOKUP("paises del este",#REF!,5,FALSE)/VLOOKUP("paises del este",#REF!,5,FALSE)-1</f>
        <v>#REF!</v>
      </c>
      <c r="G206" s="217" t="e">
        <f>VLOOKUP("paises del este",#REF!,5,FALSE)</f>
        <v>#REF!</v>
      </c>
      <c r="H206" s="216" t="e">
        <f>VLOOKUP("paises del este",#REF!,4,FALSE)/VLOOKUP("paises del este",#REF!,4,FALSE)-1</f>
        <v>#REF!</v>
      </c>
      <c r="I206" s="217" t="e">
        <f>VLOOKUP("paises del este",#REF!,4,FALSE)</f>
        <v>#REF!</v>
      </c>
      <c r="J206" s="216" t="e">
        <f>VLOOKUP("paises del este",#REF!,3,FALSE)/VLOOKUP("paises del este",#REF!,3,FALSE)-1</f>
        <v>#REF!</v>
      </c>
      <c r="K206" s="217" t="e">
        <f>VLOOKUP("paises del este",#REF!,3,FALSE)</f>
        <v>#REF!</v>
      </c>
      <c r="L206" s="216" t="e">
        <f>VLOOKUP("paises del este",#REF!,2,FALSE)/VLOOKUP("paises del este",#REF!,2,FALSE)-1</f>
        <v>#REF!</v>
      </c>
      <c r="M206" s="217" t="e">
        <f>VLOOKUP("paises del este",#REF!,2,FALSE)</f>
        <v>#REF!</v>
      </c>
      <c r="N206" s="216" t="e">
        <f>VLOOKUP("paises del este",#REF!,7,FALSE)/VLOOKUP("paises del este",#REF!,7,FALSE)-1</f>
        <v>#REF!</v>
      </c>
      <c r="O206" s="217" t="e">
        <f>VLOOKUP("paises del este",#REF!,7,FALSE)</f>
        <v>#REF!</v>
      </c>
      <c r="P206" s="216" t="e">
        <f>VLOOKUP("paises del este",#REF!,8,FALSE)/VLOOKUP("paises del este",#REF!,8,FALSE)-1</f>
        <v>#REF!</v>
      </c>
      <c r="Q206" s="217" t="e">
        <f>VLOOKUP("paises del este",#REF!,8,FALSE)</f>
        <v>#REF!</v>
      </c>
    </row>
    <row r="207" spans="3:17" ht="24" hidden="1" customHeight="1" x14ac:dyDescent="0.2">
      <c r="C207" s="215" t="s">
        <v>57</v>
      </c>
      <c r="D207" s="216" t="e">
        <f>VLOOKUP("resto de europa",#REF!,6,FALSE)/VLOOKUP("resto de europa",#REF!,6,FALSE)-1</f>
        <v>#REF!</v>
      </c>
      <c r="E207" s="217" t="e">
        <f>VLOOKUP("resto de europa",#REF!,6,FALSE)</f>
        <v>#REF!</v>
      </c>
      <c r="F207" s="216" t="e">
        <f>VLOOKUP("resto de europa",#REF!,5,FALSE)/VLOOKUP("resto de europa",#REF!,5,FALSE)-1</f>
        <v>#REF!</v>
      </c>
      <c r="G207" s="217" t="e">
        <f>VLOOKUP("resto de europa",#REF!,5,FALSE)</f>
        <v>#REF!</v>
      </c>
      <c r="H207" s="216" t="e">
        <f>VLOOKUP("resto de europa",#REF!,4,FALSE)/VLOOKUP("resto de europa",#REF!,4,FALSE)-1</f>
        <v>#REF!</v>
      </c>
      <c r="I207" s="217" t="e">
        <f>VLOOKUP("resto de europa",#REF!,4,FALSE)</f>
        <v>#REF!</v>
      </c>
      <c r="J207" s="216" t="e">
        <f>VLOOKUP("resto de europa",#REF!,3,FALSE)/VLOOKUP("resto de europa",#REF!,3,FALSE)-1</f>
        <v>#REF!</v>
      </c>
      <c r="K207" s="217" t="e">
        <f>VLOOKUP("resto de europa",#REF!,3,FALSE)</f>
        <v>#REF!</v>
      </c>
      <c r="L207" s="216" t="e">
        <f>VLOOKUP("resto de europa",#REF!,2,FALSE)/VLOOKUP("resto de europa",#REF!,2,FALSE)-1</f>
        <v>#REF!</v>
      </c>
      <c r="M207" s="217" t="e">
        <f>VLOOKUP("resto de europa",#REF!,2,FALSE)</f>
        <v>#REF!</v>
      </c>
      <c r="N207" s="216" t="e">
        <f>VLOOKUP("resto de europa",#REF!,7,FALSE)/VLOOKUP("resto de europa",#REF!,7,FALSE)-1</f>
        <v>#REF!</v>
      </c>
      <c r="O207" s="217" t="e">
        <f>VLOOKUP("resto de europa",#REF!,7,FALSE)</f>
        <v>#REF!</v>
      </c>
      <c r="P207" s="216" t="e">
        <f>VLOOKUP("resto de europa",#REF!,8,FALSE)/VLOOKUP("resto de europa",#REF!,8,FALSE)-1</f>
        <v>#REF!</v>
      </c>
      <c r="Q207" s="217" t="e">
        <f>VLOOKUP("resto de europa",#REF!,8,FALSE)</f>
        <v>#REF!</v>
      </c>
    </row>
    <row r="208" spans="3:17" ht="24" hidden="1" customHeight="1" x14ac:dyDescent="0.2">
      <c r="C208" s="215" t="s">
        <v>58</v>
      </c>
      <c r="D208" s="216" t="e">
        <f>VLOOKUP("usa",#REF!,6,FALSE)/VLOOKUP("usa",#REF!,6,FALSE)-1</f>
        <v>#REF!</v>
      </c>
      <c r="E208" s="217" t="e">
        <f>VLOOKUP("usa",#REF!,6,FALSE)</f>
        <v>#REF!</v>
      </c>
      <c r="F208" s="216" t="e">
        <f>VLOOKUP("usa",#REF!,5,FALSE)/VLOOKUP("usa",#REF!,5,FALSE)-1</f>
        <v>#REF!</v>
      </c>
      <c r="G208" s="217" t="e">
        <f>VLOOKUP("usa",#REF!,5,FALSE)</f>
        <v>#REF!</v>
      </c>
      <c r="H208" s="216" t="e">
        <f>VLOOKUP("usa",#REF!,4,FALSE)/VLOOKUP("usa",#REF!,4,FALSE)-1</f>
        <v>#REF!</v>
      </c>
      <c r="I208" s="217" t="e">
        <f>VLOOKUP("usa",#REF!,4,FALSE)</f>
        <v>#REF!</v>
      </c>
      <c r="J208" s="216" t="e">
        <f>VLOOKUP("usa",#REF!,3,FALSE)/VLOOKUP("usa",#REF!,3,FALSE)-1</f>
        <v>#REF!</v>
      </c>
      <c r="K208" s="217" t="e">
        <f>VLOOKUP("usa",#REF!,3,FALSE)</f>
        <v>#REF!</v>
      </c>
      <c r="L208" s="216" t="e">
        <f>VLOOKUP("usa",#REF!,2,FALSE)/VLOOKUP("usa",#REF!,2,FALSE)-1</f>
        <v>#REF!</v>
      </c>
      <c r="M208" s="217" t="e">
        <f>VLOOKUP("usa",#REF!,2,FALSE)</f>
        <v>#REF!</v>
      </c>
      <c r="N208" s="216" t="e">
        <f>VLOOKUP("usa",#REF!,7,FALSE)/VLOOKUP("usa",#REF!,7,FALSE)-1</f>
        <v>#REF!</v>
      </c>
      <c r="O208" s="217" t="e">
        <f>VLOOKUP("usa",#REF!,7,FALSE)</f>
        <v>#REF!</v>
      </c>
      <c r="P208" s="216" t="e">
        <f>VLOOKUP("usa",#REF!,8,FALSE)/VLOOKUP("usa",#REF!,8,FALSE)-1</f>
        <v>#REF!</v>
      </c>
      <c r="Q208" s="217" t="e">
        <f>VLOOKUP("usa",#REF!,8,FALSE)</f>
        <v>#REF!</v>
      </c>
    </row>
    <row r="209" spans="3:18" ht="24" hidden="1" customHeight="1" x14ac:dyDescent="0.2">
      <c r="C209" s="215" t="s">
        <v>59</v>
      </c>
      <c r="D209" s="216" t="e">
        <f>VLOOKUP("resto de america",#REF!,6,FALSE)/VLOOKUP("resto de america",#REF!,6,FALSE)-1</f>
        <v>#REF!</v>
      </c>
      <c r="E209" s="217" t="e">
        <f>VLOOKUP("resto de america",#REF!,6,FALSE)</f>
        <v>#REF!</v>
      </c>
      <c r="F209" s="216" t="e">
        <f>VLOOKUP("resto de america",#REF!,5,FALSE)/VLOOKUP("resto de america",#REF!,5,FALSE)-1</f>
        <v>#REF!</v>
      </c>
      <c r="G209" s="217" t="e">
        <f>VLOOKUP("resto de america",#REF!,5,FALSE)</f>
        <v>#REF!</v>
      </c>
      <c r="H209" s="216" t="e">
        <f>VLOOKUP("resto de america",#REF!,4,FALSE)/VLOOKUP("resto de america",#REF!,4,FALSE)-1</f>
        <v>#REF!</v>
      </c>
      <c r="I209" s="217" t="e">
        <f>VLOOKUP("resto de america",#REF!,4,FALSE)</f>
        <v>#REF!</v>
      </c>
      <c r="J209" s="216" t="e">
        <f>VLOOKUP("resto de america",#REF!,3,FALSE)/VLOOKUP("resto de america",#REF!,3,FALSE)-1</f>
        <v>#REF!</v>
      </c>
      <c r="K209" s="217" t="e">
        <f>VLOOKUP("resto de america",#REF!,3,FALSE)</f>
        <v>#REF!</v>
      </c>
      <c r="L209" s="216" t="e">
        <f>VLOOKUP("resto de america",#REF!,2,FALSE)/VLOOKUP("resto de america",#REF!,2,FALSE)-1</f>
        <v>#REF!</v>
      </c>
      <c r="M209" s="217" t="e">
        <f>VLOOKUP("resto de america",#REF!,2,FALSE)</f>
        <v>#REF!</v>
      </c>
      <c r="N209" s="216" t="e">
        <f>VLOOKUP("resto de america",#REF!,7,FALSE)/VLOOKUP("resto de america",#REF!,7,FALSE)-1</f>
        <v>#REF!</v>
      </c>
      <c r="O209" s="217" t="e">
        <f>VLOOKUP("resto de america",#REF!,7,FALSE)</f>
        <v>#REF!</v>
      </c>
      <c r="P209" s="216" t="e">
        <f>VLOOKUP("resto de america",#REF!,8,FALSE)/VLOOKUP("resto de america",#REF!,8,FALSE)-1</f>
        <v>#REF!</v>
      </c>
      <c r="Q209" s="217" t="e">
        <f>VLOOKUP("resto de america",#REF!,8,FALSE)</f>
        <v>#REF!</v>
      </c>
    </row>
    <row r="210" spans="3:18" ht="24" hidden="1" customHeight="1" x14ac:dyDescent="0.2">
      <c r="C210" s="215" t="s">
        <v>60</v>
      </c>
      <c r="D210" s="216" t="e">
        <f>VLOOKUP("resto del mundo",#REF!,6,FALSE)/VLOOKUP("resto del mundo",#REF!,6,FALSE)-1</f>
        <v>#REF!</v>
      </c>
      <c r="E210" s="217" t="e">
        <f>VLOOKUP("resto del mundo",#REF!,6,FALSE)</f>
        <v>#REF!</v>
      </c>
      <c r="F210" s="216" t="e">
        <f>VLOOKUP("resto del mundo",#REF!,5,FALSE)/VLOOKUP("resto del mundo",#REF!,5,FALSE)-1</f>
        <v>#REF!</v>
      </c>
      <c r="G210" s="217" t="e">
        <f>VLOOKUP("resto del mundo",#REF!,5,FALSE)</f>
        <v>#REF!</v>
      </c>
      <c r="H210" s="216" t="e">
        <f>VLOOKUP("resto del mundo",#REF!,4,FALSE)/VLOOKUP("resto del mundo",#REF!,4,FALSE)-1</f>
        <v>#REF!</v>
      </c>
      <c r="I210" s="217" t="e">
        <f>VLOOKUP("resto del mundo",#REF!,4,FALSE)</f>
        <v>#REF!</v>
      </c>
      <c r="J210" s="216" t="e">
        <f>VLOOKUP("resto del mundo",#REF!,3,FALSE)/VLOOKUP("resto del mundo",#REF!,3,FALSE)-1</f>
        <v>#REF!</v>
      </c>
      <c r="K210" s="217" t="e">
        <f>VLOOKUP("resto del mundo",#REF!,3,FALSE)</f>
        <v>#REF!</v>
      </c>
      <c r="L210" s="216" t="e">
        <f>VLOOKUP("resto del mundo",#REF!,2,FALSE)/VLOOKUP("resto del mundo",#REF!,2,FALSE)-1</f>
        <v>#REF!</v>
      </c>
      <c r="M210" s="217" t="e">
        <f>VLOOKUP("resto del mundo",#REF!,2,FALSE)</f>
        <v>#REF!</v>
      </c>
      <c r="N210" s="216" t="e">
        <f>VLOOKUP("resto del mundo",#REF!,7,FALSE)/VLOOKUP("resto del mundo",#REF!,7,FALSE)-1</f>
        <v>#REF!</v>
      </c>
      <c r="O210" s="217" t="e">
        <f>VLOOKUP("resto del mundo",#REF!,7,FALSE)</f>
        <v>#REF!</v>
      </c>
      <c r="P210" s="216" t="e">
        <f>VLOOKUP("resto del mundo",#REF!,8,FALSE)/VLOOKUP("resto del mundo",#REF!,8,FALSE)-1</f>
        <v>#REF!</v>
      </c>
      <c r="Q210" s="217" t="e">
        <f>VLOOKUP("resto del mundo",#REF!,8,FALSE)</f>
        <v>#REF!</v>
      </c>
    </row>
    <row r="211" spans="3:18" ht="24" hidden="1" customHeight="1" x14ac:dyDescent="0.2">
      <c r="C211" s="215" t="s">
        <v>61</v>
      </c>
      <c r="D211" s="216" t="e">
        <f>(VLOOKUP("total",#REF!,6,FALSE)-VLOOKUP("españa",#REF!,6,FALSE))/(VLOOKUP("total",#REF!,6,FALSE)-VLOOKUP("españa",#REF!,6,FALSE))-1</f>
        <v>#REF!</v>
      </c>
      <c r="E211" s="217" t="e">
        <f>VLOOKUP("total",#REF!,6,FALSE)-VLOOKUP("españa",#REF!,6,FALSE)</f>
        <v>#REF!</v>
      </c>
      <c r="F211" s="216" t="e">
        <f>(VLOOKUP("total",#REF!,5,FALSE)-VLOOKUP("españa",#REF!,5,FALSE))/(VLOOKUP("total",#REF!,5,FALSE)-VLOOKUP("españa",#REF!,5,FALSE))-1</f>
        <v>#REF!</v>
      </c>
      <c r="G211" s="217" t="e">
        <f>VLOOKUP("total",#REF!,5,FALSE)-VLOOKUP("españa",#REF!,5,FALSE)</f>
        <v>#REF!</v>
      </c>
      <c r="H211" s="216" t="e">
        <f>(VLOOKUP("total",#REF!,4,FALSE)-VLOOKUP("españa",#REF!,4,FALSE))/(VLOOKUP("total",#REF!,4,FALSE)-VLOOKUP("españa",#REF!,4,FALSE))-1</f>
        <v>#REF!</v>
      </c>
      <c r="I211" s="217" t="e">
        <f>VLOOKUP("total",#REF!,4,FALSE)-VLOOKUP("españa",#REF!,4,FALSE)</f>
        <v>#REF!</v>
      </c>
      <c r="J211" s="216" t="e">
        <f>(VLOOKUP("total",#REF!,3,FALSE)-VLOOKUP("españa",#REF!,3,FALSE))/(VLOOKUP("total",#REF!,3,FALSE)-VLOOKUP("españa",#REF!,3,FALSE))-1</f>
        <v>#REF!</v>
      </c>
      <c r="K211" s="217" t="e">
        <f>VLOOKUP("total",#REF!,3,FALSE)-VLOOKUP("españa",#REF!,3,FALSE)</f>
        <v>#REF!</v>
      </c>
      <c r="L211" s="216" t="e">
        <f>(VLOOKUP("total",#REF!,2,FALSE)-VLOOKUP("españa",#REF!,2,FALSE))/(VLOOKUP("total",#REF!,2,FALSE)-VLOOKUP("españa",#REF!,2,FALSE))-1</f>
        <v>#REF!</v>
      </c>
      <c r="M211" s="217" t="e">
        <f>VLOOKUP("total",#REF!,2,FALSE)-VLOOKUP("españa",#REF!,2,FALSE)</f>
        <v>#REF!</v>
      </c>
      <c r="N211" s="216" t="e">
        <f>(VLOOKUP("total",#REF!,7,FALSE)-VLOOKUP("españa",#REF!,7,FALSE))/(VLOOKUP("total",#REF!,7,FALSE)-VLOOKUP("españa",#REF!,7,FALSE))-1</f>
        <v>#REF!</v>
      </c>
      <c r="O211" s="217" t="e">
        <f>VLOOKUP("total",#REF!,7,FALSE)-VLOOKUP("españa",#REF!,7,FALSE)</f>
        <v>#REF!</v>
      </c>
      <c r="P211" s="216" t="e">
        <f>(VLOOKUP("total",#REF!,8,FALSE)-VLOOKUP("españa",#REF!,8,FALSE))/(VLOOKUP("total",#REF!,8,FALSE)-VLOOKUP("españa",#REF!,8,FALSE))-1</f>
        <v>#REF!</v>
      </c>
      <c r="Q211" s="217" t="e">
        <f>VLOOKUP("total",#REF!,8,FALSE)-VLOOKUP("españa",#REF!,8,FALSE)</f>
        <v>#REF!</v>
      </c>
    </row>
    <row r="212" spans="3:18" ht="24" hidden="1" customHeight="1" x14ac:dyDescent="0.2">
      <c r="C212" s="215" t="s">
        <v>8</v>
      </c>
      <c r="D212" s="216" t="e">
        <f>VLOOKUP("total",#REF!,6,FALSE)/VLOOKUP("total",#REF!,6,FALSE)-1</f>
        <v>#REF!</v>
      </c>
      <c r="E212" s="217" t="e">
        <f>VLOOKUP("total",#REF!,6,FALSE)</f>
        <v>#REF!</v>
      </c>
      <c r="F212" s="216" t="e">
        <f>VLOOKUP("total",#REF!,5,FALSE)/VLOOKUP("total",#REF!,5,FALSE)-1</f>
        <v>#REF!</v>
      </c>
      <c r="G212" s="217" t="e">
        <f>VLOOKUP("total",#REF!,5,FALSE)</f>
        <v>#REF!</v>
      </c>
      <c r="H212" s="216" t="e">
        <f>VLOOKUP("total",#REF!,4,FALSE)/VLOOKUP("total",#REF!,4,FALSE)-1</f>
        <v>#REF!</v>
      </c>
      <c r="I212" s="217" t="e">
        <f>VLOOKUP("total",#REF!,4,FALSE)</f>
        <v>#REF!</v>
      </c>
      <c r="J212" s="216" t="e">
        <f>VLOOKUP("total",#REF!,3,FALSE)/VLOOKUP("total",#REF!,3,FALSE)-1</f>
        <v>#REF!</v>
      </c>
      <c r="K212" s="217" t="e">
        <f>VLOOKUP("total",#REF!,3,FALSE)</f>
        <v>#REF!</v>
      </c>
      <c r="L212" s="216" t="e">
        <f>VLOOKUP("total",#REF!,2,FALSE)/VLOOKUP("total",#REF!,2,FALSE)-1</f>
        <v>#REF!</v>
      </c>
      <c r="M212" s="217" t="e">
        <f>VLOOKUP("total",#REF!,2,FALSE)</f>
        <v>#REF!</v>
      </c>
      <c r="N212" s="216" t="e">
        <f>VLOOKUP("total",#REF!,7,FALSE)/VLOOKUP("total",#REF!,7,FALSE)-1</f>
        <v>#REF!</v>
      </c>
      <c r="O212" s="217" t="e">
        <f>VLOOKUP("total",#REF!,7,FALSE)</f>
        <v>#REF!</v>
      </c>
      <c r="P212" s="216" t="e">
        <f>VLOOKUP("total",#REF!,8,FALSE)/VLOOKUP("total",#REF!,8,FALSE)-1</f>
        <v>#REF!</v>
      </c>
      <c r="Q212" s="217" t="e">
        <f>VLOOKUP("total",#REF!,8,FALSE)</f>
        <v>#REF!</v>
      </c>
    </row>
    <row r="213" spans="3:18" hidden="1" x14ac:dyDescent="0.2">
      <c r="C213" s="160"/>
      <c r="D213" s="161"/>
      <c r="E213" s="161"/>
      <c r="F213" s="161"/>
      <c r="G213" s="161"/>
      <c r="H213" s="161"/>
      <c r="I213" s="161"/>
      <c r="J213" s="161"/>
      <c r="K213" s="161"/>
      <c r="L213" s="161"/>
      <c r="M213" s="163"/>
    </row>
    <row r="214" spans="3:18" ht="35.25" hidden="1" customHeight="1" x14ac:dyDescent="0.2">
      <c r="C214" s="206" t="s">
        <v>29</v>
      </c>
      <c r="D214" s="207"/>
      <c r="E214" s="207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8"/>
    </row>
    <row r="215" spans="3:18" ht="20.100000000000001" hidden="1" customHeight="1" x14ac:dyDescent="0.2">
      <c r="C215" s="219" t="str">
        <f>I2</f>
        <v>acumulado octubre 2017</v>
      </c>
      <c r="D215" s="220"/>
      <c r="E215" s="220"/>
      <c r="F215" s="220"/>
      <c r="G215" s="220"/>
      <c r="H215" s="220"/>
      <c r="I215" s="220"/>
      <c r="J215" s="220"/>
      <c r="K215" s="220"/>
      <c r="L215" s="220"/>
      <c r="M215" s="220"/>
      <c r="N215" s="220"/>
      <c r="O215" s="220"/>
      <c r="P215" s="220"/>
      <c r="Q215" s="220"/>
      <c r="R215" s="221"/>
    </row>
    <row r="216" spans="3:18" ht="13.5" hidden="1" thickBot="1" x14ac:dyDescent="0.25">
      <c r="C216" s="211"/>
      <c r="D216" s="212" t="s">
        <v>24</v>
      </c>
      <c r="E216" s="213"/>
      <c r="F216" s="212" t="s">
        <v>23</v>
      </c>
      <c r="G216" s="213"/>
      <c r="H216" s="212" t="s">
        <v>22</v>
      </c>
      <c r="I216" s="213"/>
      <c r="J216" s="212" t="s">
        <v>21</v>
      </c>
      <c r="K216" s="213"/>
      <c r="L216" s="212" t="s">
        <v>20</v>
      </c>
      <c r="M216" s="213"/>
      <c r="N216" s="212" t="s">
        <v>63</v>
      </c>
      <c r="O216" s="213"/>
      <c r="P216" s="212" t="s">
        <v>64</v>
      </c>
      <c r="Q216" s="213"/>
    </row>
    <row r="217" spans="3:18" ht="28.5" hidden="1" customHeight="1" x14ac:dyDescent="0.2">
      <c r="C217" s="211"/>
      <c r="D217" s="214" t="s">
        <v>65</v>
      </c>
      <c r="E217" s="214" t="s">
        <v>66</v>
      </c>
      <c r="F217" s="214" t="s">
        <v>65</v>
      </c>
      <c r="G217" s="214" t="s">
        <v>66</v>
      </c>
      <c r="H217" s="214" t="s">
        <v>65</v>
      </c>
      <c r="I217" s="214" t="s">
        <v>66</v>
      </c>
      <c r="J217" s="214" t="s">
        <v>65</v>
      </c>
      <c r="K217" s="214" t="s">
        <v>66</v>
      </c>
      <c r="L217" s="214" t="s">
        <v>65</v>
      </c>
      <c r="M217" s="214" t="s">
        <v>66</v>
      </c>
      <c r="N217" s="214" t="s">
        <v>65</v>
      </c>
      <c r="O217" s="214" t="s">
        <v>66</v>
      </c>
      <c r="P217" s="214" t="s">
        <v>65</v>
      </c>
      <c r="Q217" s="214" t="s">
        <v>66</v>
      </c>
    </row>
    <row r="218" spans="3:18" ht="24" hidden="1" customHeight="1" x14ac:dyDescent="0.2">
      <c r="C218" s="215" t="s">
        <v>36</v>
      </c>
      <c r="D218" s="216" t="e">
        <f>VLOOKUP("españa",#REF!,6,FALSE)/VLOOKUP("españa",#REF!,6,FALSE)-1</f>
        <v>#REF!</v>
      </c>
      <c r="E218" s="217" t="e">
        <f>VLOOKUP("españa",#REF!,6,FALSE)</f>
        <v>#REF!</v>
      </c>
      <c r="F218" s="216" t="e">
        <f>VLOOKUP("españa",#REF!,5,FALSE)/VLOOKUP("españa",#REF!,5,FALSE)-1</f>
        <v>#REF!</v>
      </c>
      <c r="G218" s="217" t="e">
        <f>VLOOKUP("españa",#REF!,5,FALSE)</f>
        <v>#REF!</v>
      </c>
      <c r="H218" s="216" t="e">
        <f>VLOOKUP("españa",#REF!,4,FALSE)/VLOOKUP("españa",#REF!,4,FALSE)-1</f>
        <v>#REF!</v>
      </c>
      <c r="I218" s="217" t="e">
        <f>VLOOKUP("españa",#REF!,4,FALSE)</f>
        <v>#REF!</v>
      </c>
      <c r="J218" s="216" t="e">
        <f>VLOOKUP("españa",#REF!,3,FALSE)/VLOOKUP("españa",#REF!,3,FALSE)-1</f>
        <v>#REF!</v>
      </c>
      <c r="K218" s="217" t="e">
        <f>VLOOKUP("españa",#REF!,3,FALSE)</f>
        <v>#REF!</v>
      </c>
      <c r="L218" s="216" t="e">
        <f>VLOOKUP("españa",#REF!,2,FALSE)/VLOOKUP("españa",#REF!,2,FALSE)-1</f>
        <v>#REF!</v>
      </c>
      <c r="M218" s="217" t="e">
        <f>VLOOKUP("españa",#REF!,2,FALSE)</f>
        <v>#REF!</v>
      </c>
      <c r="N218" s="216" t="e">
        <f>VLOOKUP("españa",#REF!,7,FALSE)/VLOOKUP("españa",#REF!,7,FALSE)-1</f>
        <v>#REF!</v>
      </c>
      <c r="O218" s="217" t="e">
        <f>VLOOKUP("españa",#REF!,7,FALSE)</f>
        <v>#REF!</v>
      </c>
      <c r="P218" s="216" t="e">
        <f>VLOOKUP("españa",#REF!,8,FALSE)/VLOOKUP("españa",#REF!,8,FALSE)-1</f>
        <v>#REF!</v>
      </c>
      <c r="Q218" s="217" t="e">
        <f>VLOOKUP("españa",#REF!,8,FALSE)</f>
        <v>#REF!</v>
      </c>
    </row>
    <row r="219" spans="3:18" ht="24" hidden="1" customHeight="1" x14ac:dyDescent="0.2">
      <c r="C219" s="215" t="s">
        <v>41</v>
      </c>
      <c r="D219" s="216" t="e">
        <f>VLOOKUP("holanda",#REF!,6,FALSE)/VLOOKUP("holanda",#REF!,6,FALSE)-1</f>
        <v>#REF!</v>
      </c>
      <c r="E219" s="217" t="e">
        <f>VLOOKUP("holanda",#REF!,6,FALSE)</f>
        <v>#REF!</v>
      </c>
      <c r="F219" s="216" t="e">
        <f>VLOOKUP("holanda",#REF!,5,FALSE)/VLOOKUP("holanda",#REF!,5,FALSE)-1</f>
        <v>#REF!</v>
      </c>
      <c r="G219" s="217" t="e">
        <f>VLOOKUP("holanda",#REF!,5,FALSE)</f>
        <v>#REF!</v>
      </c>
      <c r="H219" s="216" t="e">
        <f>VLOOKUP("holanda",#REF!,4,FALSE)/VLOOKUP("holanda",#REF!,4,FALSE)-1</f>
        <v>#REF!</v>
      </c>
      <c r="I219" s="217" t="e">
        <f>VLOOKUP("holanda",#REF!,4,FALSE)</f>
        <v>#REF!</v>
      </c>
      <c r="J219" s="216" t="e">
        <f>VLOOKUP("holanda",#REF!,3,FALSE)/VLOOKUP("holanda",#REF!,3,FALSE)-1</f>
        <v>#REF!</v>
      </c>
      <c r="K219" s="217" t="e">
        <f>VLOOKUP("holanda",#REF!,3,FALSE)</f>
        <v>#REF!</v>
      </c>
      <c r="L219" s="216" t="e">
        <f>VLOOKUP("holanda",#REF!,2,FALSE)/VLOOKUP("holanda",#REF!,2,FALSE)-1</f>
        <v>#REF!</v>
      </c>
      <c r="M219" s="217" t="e">
        <f>VLOOKUP("holanda",#REF!,2,FALSE)</f>
        <v>#REF!</v>
      </c>
      <c r="N219" s="216" t="e">
        <f>VLOOKUP("holanda",#REF!,7,FALSE)/VLOOKUP("holanda",#REF!,7,FALSE)-1</f>
        <v>#REF!</v>
      </c>
      <c r="O219" s="217" t="e">
        <f>VLOOKUP("holanda",#REF!,7,FALSE)</f>
        <v>#REF!</v>
      </c>
      <c r="P219" s="216" t="e">
        <f>VLOOKUP("holanda",#REF!,8,FALSE)/VLOOKUP("holanda",#REF!,8,FALSE)-1</f>
        <v>#REF!</v>
      </c>
      <c r="Q219" s="217" t="e">
        <f>VLOOKUP("holanda",#REF!,8,FALSE)</f>
        <v>#REF!</v>
      </c>
    </row>
    <row r="220" spans="3:18" ht="24" hidden="1" customHeight="1" x14ac:dyDescent="0.2">
      <c r="C220" s="215" t="s">
        <v>42</v>
      </c>
      <c r="D220" s="216" t="e">
        <f>VLOOKUP("belgica",#REF!,6,FALSE)/VLOOKUP("belgica",#REF!,6,FALSE)-1</f>
        <v>#REF!</v>
      </c>
      <c r="E220" s="217" t="e">
        <f>VLOOKUP("belgica",#REF!,6,FALSE)</f>
        <v>#REF!</v>
      </c>
      <c r="F220" s="216" t="e">
        <f>VLOOKUP("belgica",#REF!,5,FALSE)/VLOOKUP("belgica",#REF!,5,FALSE)-1</f>
        <v>#REF!</v>
      </c>
      <c r="G220" s="217" t="e">
        <f>VLOOKUP("belgica",#REF!,5,FALSE)</f>
        <v>#REF!</v>
      </c>
      <c r="H220" s="216" t="e">
        <f>VLOOKUP("belgica",#REF!,4,FALSE)/VLOOKUP("belgica",#REF!,4,FALSE)-1</f>
        <v>#REF!</v>
      </c>
      <c r="I220" s="217" t="e">
        <f>VLOOKUP("belgica",#REF!,4,FALSE)</f>
        <v>#REF!</v>
      </c>
      <c r="J220" s="216" t="e">
        <f>VLOOKUP("belgica",#REF!,3,FALSE)/VLOOKUP("belgica",#REF!,3,FALSE)-1</f>
        <v>#REF!</v>
      </c>
      <c r="K220" s="217" t="e">
        <f>VLOOKUP("belgica",#REF!,3,FALSE)</f>
        <v>#REF!</v>
      </c>
      <c r="L220" s="216" t="e">
        <f>VLOOKUP("belgica",#REF!,2,FALSE)/VLOOKUP("belgica",#REF!,2,FALSE)-1</f>
        <v>#REF!</v>
      </c>
      <c r="M220" s="217" t="e">
        <f>VLOOKUP("belgica",#REF!,2,FALSE)</f>
        <v>#REF!</v>
      </c>
      <c r="N220" s="216" t="e">
        <f>VLOOKUP("belgica",#REF!,7,FALSE)/VLOOKUP("belgica",#REF!,7,FALSE)-1</f>
        <v>#REF!</v>
      </c>
      <c r="O220" s="217" t="e">
        <f>VLOOKUP("belgica",#REF!,7,FALSE)</f>
        <v>#REF!</v>
      </c>
      <c r="P220" s="216" t="e">
        <f>VLOOKUP("belgica",#REF!,8,FALSE)/VLOOKUP("belgica",#REF!,8,FALSE)-1</f>
        <v>#REF!</v>
      </c>
      <c r="Q220" s="217" t="e">
        <f>VLOOKUP("belgica",#REF!,8,FALSE)</f>
        <v>#REF!</v>
      </c>
    </row>
    <row r="221" spans="3:18" ht="24" hidden="1" customHeight="1" x14ac:dyDescent="0.2">
      <c r="C221" s="215" t="s">
        <v>43</v>
      </c>
      <c r="D221" s="216" t="e">
        <f>VLOOKUP("alemania",#REF!,6,FALSE)/VLOOKUP("alemania",#REF!,6,FALSE)-1</f>
        <v>#REF!</v>
      </c>
      <c r="E221" s="217" t="e">
        <f>VLOOKUP("alemania",#REF!,6,FALSE)</f>
        <v>#REF!</v>
      </c>
      <c r="F221" s="216" t="e">
        <f>VLOOKUP("alemania",#REF!,5,FALSE)/VLOOKUP("alemania",#REF!,5,FALSE)-1</f>
        <v>#REF!</v>
      </c>
      <c r="G221" s="217" t="e">
        <f>VLOOKUP("alemania",#REF!,5,FALSE)</f>
        <v>#REF!</v>
      </c>
      <c r="H221" s="216" t="e">
        <f>VLOOKUP("alemania",#REF!,4,FALSE)/VLOOKUP("alemania",#REF!,4,FALSE)-1</f>
        <v>#REF!</v>
      </c>
      <c r="I221" s="217" t="e">
        <f>VLOOKUP("alemania",#REF!,4,FALSE)</f>
        <v>#REF!</v>
      </c>
      <c r="J221" s="216" t="e">
        <f>VLOOKUP("alemania",#REF!,3,FALSE)/VLOOKUP("alemania",#REF!,3,FALSE)-1</f>
        <v>#REF!</v>
      </c>
      <c r="K221" s="217" t="e">
        <f>VLOOKUP("alemania",#REF!,3,FALSE)</f>
        <v>#REF!</v>
      </c>
      <c r="L221" s="216" t="e">
        <f>VLOOKUP("alemania",#REF!,2,FALSE)/VLOOKUP("alemania",#REF!,2,FALSE)-1</f>
        <v>#REF!</v>
      </c>
      <c r="M221" s="217" t="e">
        <f>VLOOKUP("alemania",#REF!,2,FALSE)</f>
        <v>#REF!</v>
      </c>
      <c r="N221" s="216" t="e">
        <f>VLOOKUP("alemania",#REF!,7,FALSE)/VLOOKUP("alemania",#REF!,7,FALSE)-1</f>
        <v>#REF!</v>
      </c>
      <c r="O221" s="217" t="e">
        <f>VLOOKUP("alemania",#REF!,7,FALSE)</f>
        <v>#REF!</v>
      </c>
      <c r="P221" s="216" t="e">
        <f>VLOOKUP("alemania",#REF!,8,FALSE)/VLOOKUP("alemania",#REF!,8,FALSE)-1</f>
        <v>#REF!</v>
      </c>
      <c r="Q221" s="217" t="e">
        <f>VLOOKUP("alemania",#REF!,8,FALSE)</f>
        <v>#REF!</v>
      </c>
    </row>
    <row r="222" spans="3:18" ht="24" hidden="1" customHeight="1" x14ac:dyDescent="0.2">
      <c r="C222" s="215" t="s">
        <v>44</v>
      </c>
      <c r="D222" s="216" t="e">
        <f>VLOOKUP("francia",#REF!,6,FALSE)/VLOOKUP("francia",#REF!,6,FALSE)-1</f>
        <v>#REF!</v>
      </c>
      <c r="E222" s="217" t="e">
        <f>VLOOKUP("francia",#REF!,6,FALSE)</f>
        <v>#REF!</v>
      </c>
      <c r="F222" s="216" t="e">
        <f>VLOOKUP("francia",#REF!,5,FALSE)/VLOOKUP("francia",#REF!,5,FALSE)-1</f>
        <v>#REF!</v>
      </c>
      <c r="G222" s="217" t="e">
        <f>VLOOKUP("francia",#REF!,5,FALSE)</f>
        <v>#REF!</v>
      </c>
      <c r="H222" s="216" t="e">
        <f>VLOOKUP("francia",#REF!,4,FALSE)/VLOOKUP("francia",#REF!,4,FALSE)-1</f>
        <v>#REF!</v>
      </c>
      <c r="I222" s="217" t="e">
        <f>VLOOKUP("francia",#REF!,4,FALSE)</f>
        <v>#REF!</v>
      </c>
      <c r="J222" s="216" t="e">
        <f>VLOOKUP("francia",#REF!,3,FALSE)/VLOOKUP("francia",#REF!,3,FALSE)-1</f>
        <v>#REF!</v>
      </c>
      <c r="K222" s="217" t="e">
        <f>VLOOKUP("francia",#REF!,3,FALSE)</f>
        <v>#REF!</v>
      </c>
      <c r="L222" s="216" t="e">
        <f>VLOOKUP("francia",#REF!,2,FALSE)/VLOOKUP("francia",#REF!,2,FALSE)-1</f>
        <v>#REF!</v>
      </c>
      <c r="M222" s="217" t="e">
        <f>VLOOKUP("francia",#REF!,2,FALSE)</f>
        <v>#REF!</v>
      </c>
      <c r="N222" s="216" t="e">
        <f>VLOOKUP("francia",#REF!,7,FALSE)/VLOOKUP("francia",#REF!,7,FALSE)-1</f>
        <v>#REF!</v>
      </c>
      <c r="O222" s="217" t="e">
        <f>VLOOKUP("francia",#REF!,7,FALSE)</f>
        <v>#REF!</v>
      </c>
      <c r="P222" s="216" t="e">
        <f>VLOOKUP("francia",#REF!,8,FALSE)/VLOOKUP("francia",#REF!,8,FALSE)-1</f>
        <v>#REF!</v>
      </c>
      <c r="Q222" s="217" t="e">
        <f>VLOOKUP("francia",#REF!,8,FALSE)</f>
        <v>#REF!</v>
      </c>
    </row>
    <row r="223" spans="3:18" ht="24" hidden="1" customHeight="1" x14ac:dyDescent="0.2">
      <c r="C223" s="215" t="s">
        <v>45</v>
      </c>
      <c r="D223" s="216" t="e">
        <f>VLOOKUP("reino unido",#REF!,6,FALSE)/VLOOKUP("reino unido",#REF!,6,FALSE)-1</f>
        <v>#REF!</v>
      </c>
      <c r="E223" s="217" t="e">
        <f>VLOOKUP("reino unido",#REF!,6,FALSE)</f>
        <v>#REF!</v>
      </c>
      <c r="F223" s="216" t="e">
        <f>VLOOKUP("reino unido",#REF!,5,FALSE)/VLOOKUP("reino unido",#REF!,5,FALSE)-1</f>
        <v>#REF!</v>
      </c>
      <c r="G223" s="217" t="e">
        <f>VLOOKUP("reino unido",#REF!,5,FALSE)</f>
        <v>#REF!</v>
      </c>
      <c r="H223" s="216" t="e">
        <f>VLOOKUP("reino unido",#REF!,4,FALSE)/VLOOKUP("reino unido",#REF!,4,FALSE)-1</f>
        <v>#REF!</v>
      </c>
      <c r="I223" s="217" t="e">
        <f>VLOOKUP("reino unido",#REF!,4,FALSE)</f>
        <v>#REF!</v>
      </c>
      <c r="J223" s="216" t="e">
        <f>VLOOKUP("reino unido",#REF!,3,FALSE)/VLOOKUP("reino unido",#REF!,3,FALSE)-1</f>
        <v>#REF!</v>
      </c>
      <c r="K223" s="217" t="e">
        <f>VLOOKUP("reino unido",#REF!,3,FALSE)</f>
        <v>#REF!</v>
      </c>
      <c r="L223" s="216" t="e">
        <f>VLOOKUP("reino unido",#REF!,2,FALSE)/VLOOKUP("reino unido",#REF!,2,FALSE)-1</f>
        <v>#REF!</v>
      </c>
      <c r="M223" s="217" t="e">
        <f>VLOOKUP("reino unido",#REF!,2,FALSE)</f>
        <v>#REF!</v>
      </c>
      <c r="N223" s="216" t="e">
        <f>VLOOKUP("reino unido",#REF!,7,FALSE)/VLOOKUP("reino unido",#REF!,7,FALSE)-1</f>
        <v>#REF!</v>
      </c>
      <c r="O223" s="217" t="e">
        <f>VLOOKUP("reino unido",#REF!,7,FALSE)</f>
        <v>#REF!</v>
      </c>
      <c r="P223" s="216" t="e">
        <f>VLOOKUP("reino unido",#REF!,8,FALSE)/VLOOKUP("reino unido",#REF!,8,FALSE)-1</f>
        <v>#REF!</v>
      </c>
      <c r="Q223" s="217" t="e">
        <f>VLOOKUP("reino unido",#REF!,8,FALSE)</f>
        <v>#REF!</v>
      </c>
    </row>
    <row r="224" spans="3:18" ht="24" hidden="1" customHeight="1" x14ac:dyDescent="0.2">
      <c r="C224" s="215" t="s">
        <v>46</v>
      </c>
      <c r="D224" s="216" t="e">
        <f>VLOOKUP("irlanda",#REF!,6,FALSE)/VLOOKUP("irlanda",#REF!,6,FALSE)-1</f>
        <v>#REF!</v>
      </c>
      <c r="E224" s="217" t="e">
        <f>VLOOKUP("irlanda",#REF!,6,FALSE)</f>
        <v>#REF!</v>
      </c>
      <c r="F224" s="216" t="e">
        <f>VLOOKUP("irlanda",#REF!,5,FALSE)/VLOOKUP("irlanda",#REF!,5,FALSE)-1</f>
        <v>#REF!</v>
      </c>
      <c r="G224" s="217" t="e">
        <f>VLOOKUP("irlanda",#REF!,5,FALSE)</f>
        <v>#REF!</v>
      </c>
      <c r="H224" s="216" t="e">
        <f>VLOOKUP("irlanda",#REF!,4,FALSE)/VLOOKUP("irlanda",#REF!,4,FALSE)-1</f>
        <v>#REF!</v>
      </c>
      <c r="I224" s="217" t="e">
        <f>VLOOKUP("irlanda",#REF!,4,FALSE)</f>
        <v>#REF!</v>
      </c>
      <c r="J224" s="216" t="e">
        <f>VLOOKUP("irlanda",#REF!,3,FALSE)/VLOOKUP("irlanda",#REF!,3,FALSE)-1</f>
        <v>#REF!</v>
      </c>
      <c r="K224" s="217" t="e">
        <f>VLOOKUP("irlanda",#REF!,3,FALSE)</f>
        <v>#REF!</v>
      </c>
      <c r="L224" s="216" t="e">
        <f>VLOOKUP("irlanda",#REF!,2,FALSE)/VLOOKUP("irlanda",#REF!,2,FALSE)-1</f>
        <v>#REF!</v>
      </c>
      <c r="M224" s="217" t="e">
        <f>VLOOKUP("irlanda",#REF!,2,FALSE)</f>
        <v>#REF!</v>
      </c>
      <c r="N224" s="216" t="e">
        <f>VLOOKUP("irlanda",#REF!,7,FALSE)/VLOOKUP("irlanda",#REF!,7,FALSE)-1</f>
        <v>#REF!</v>
      </c>
      <c r="O224" s="217" t="e">
        <f>VLOOKUP("irlanda",#REF!,7,FALSE)</f>
        <v>#REF!</v>
      </c>
      <c r="P224" s="216" t="e">
        <f>VLOOKUP("irlanda",#REF!,8,FALSE)/VLOOKUP("irlanda",#REF!,8,FALSE)-1</f>
        <v>#REF!</v>
      </c>
      <c r="Q224" s="217" t="e">
        <f>VLOOKUP("irlanda",#REF!,8,FALSE)</f>
        <v>#REF!</v>
      </c>
    </row>
    <row r="225" spans="3:17" ht="24" hidden="1" customHeight="1" x14ac:dyDescent="0.2">
      <c r="C225" s="215" t="s">
        <v>47</v>
      </c>
      <c r="D225" s="216" t="e">
        <f>VLOOKUP("italia",#REF!,6,FALSE)/VLOOKUP("italia",#REF!,6,FALSE)-1</f>
        <v>#REF!</v>
      </c>
      <c r="E225" s="217" t="e">
        <f>VLOOKUP("italia",#REF!,6,FALSE)</f>
        <v>#REF!</v>
      </c>
      <c r="F225" s="216" t="e">
        <f>VLOOKUP("italia",#REF!,5,FALSE)/VLOOKUP("italia",#REF!,5,FALSE)-1</f>
        <v>#REF!</v>
      </c>
      <c r="G225" s="217" t="e">
        <f>VLOOKUP("italia",#REF!,5,FALSE)</f>
        <v>#REF!</v>
      </c>
      <c r="H225" s="216" t="e">
        <f>VLOOKUP("italia",#REF!,4,FALSE)/VLOOKUP("italia",#REF!,4,FALSE)-1</f>
        <v>#REF!</v>
      </c>
      <c r="I225" s="217" t="e">
        <f>VLOOKUP("italia",#REF!,4,FALSE)</f>
        <v>#REF!</v>
      </c>
      <c r="J225" s="216" t="e">
        <f>VLOOKUP("italia",#REF!,3,FALSE)/VLOOKUP("italia",#REF!,3,FALSE)-1</f>
        <v>#REF!</v>
      </c>
      <c r="K225" s="217" t="e">
        <f>VLOOKUP("italia",#REF!,3,FALSE)</f>
        <v>#REF!</v>
      </c>
      <c r="L225" s="216" t="e">
        <f>VLOOKUP("italia",#REF!,2,FALSE)/VLOOKUP("italia",#REF!,2,FALSE)-1</f>
        <v>#REF!</v>
      </c>
      <c r="M225" s="217" t="e">
        <f>VLOOKUP("italia",#REF!,2,FALSE)</f>
        <v>#REF!</v>
      </c>
      <c r="N225" s="216" t="e">
        <f>VLOOKUP("italia",#REF!,7,FALSE)/VLOOKUP("italia",#REF!,7,FALSE)-1</f>
        <v>#REF!</v>
      </c>
      <c r="O225" s="217" t="e">
        <f>VLOOKUP("italia",#REF!,7,FALSE)</f>
        <v>#REF!</v>
      </c>
      <c r="P225" s="216" t="e">
        <f>VLOOKUP("italia",#REF!,8,FALSE)/VLOOKUP("italia",#REF!,8,FALSE)-1</f>
        <v>#REF!</v>
      </c>
      <c r="Q225" s="217" t="e">
        <f>VLOOKUP("italia",#REF!,8,FALSE)</f>
        <v>#REF!</v>
      </c>
    </row>
    <row r="226" spans="3:17" ht="24" hidden="1" customHeight="1" x14ac:dyDescent="0.2">
      <c r="C226" s="215" t="s">
        <v>48</v>
      </c>
      <c r="D226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26" s="217" t="e">
        <f>(VLOOKUP("suecia",#REF!,6,FALSE)+VLOOKUP("noruega",#REF!,6,FALSE)+VLOOKUP("dinamarca",#REF!,6,FALSE)+VLOOKUP("finlandia",#REF!,6,FALSE))</f>
        <v>#REF!</v>
      </c>
      <c r="F226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26" s="217" t="e">
        <f>(VLOOKUP("suecia",#REF!,5,FALSE)+VLOOKUP("noruega",#REF!,5,FALSE)+VLOOKUP("dinamarca",#REF!,5,FALSE)+VLOOKUP("finlandia",#REF!,5,FALSE))</f>
        <v>#REF!</v>
      </c>
      <c r="H226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26" s="217" t="e">
        <f>(VLOOKUP("suecia",#REF!,4,FALSE)+VLOOKUP("noruega",#REF!,4,FALSE)+VLOOKUP("dinamarca",#REF!,4,FALSE)+VLOOKUP("finlandia",#REF!,4,FALSE))</f>
        <v>#REF!</v>
      </c>
      <c r="J226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26" s="217" t="e">
        <f>(VLOOKUP("suecia",#REF!,3,FALSE)+VLOOKUP("noruega",#REF!,3,FALSE)+VLOOKUP("dinamarca",#REF!,3,FALSE)+VLOOKUP("finlandia",#REF!,3,FALSE))</f>
        <v>#REF!</v>
      </c>
      <c r="L226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26" s="217" t="e">
        <f>(VLOOKUP("suecia",#REF!,2,FALSE)+VLOOKUP("noruega",#REF!,2,FALSE)+VLOOKUP("dinamarca",#REF!,2,FALSE)+VLOOKUP("finlandia",#REF!,2,FALSE))</f>
        <v>#REF!</v>
      </c>
      <c r="N226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226" s="217" t="e">
        <f>(VLOOKUP("suecia",#REF!,7,FALSE)+VLOOKUP("noruega",#REF!,7,FALSE)+VLOOKUP("dinamarca",#REF!,7,FALSE)+VLOOKUP("finlandia",#REF!,7,FALSE))</f>
        <v>#REF!</v>
      </c>
      <c r="P226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226" s="217" t="e">
        <f>(VLOOKUP("suecia",#REF!,8,FALSE)+VLOOKUP("noruega",#REF!,8,FALSE)+VLOOKUP("dinamarca",#REF!,8,FALSE)+VLOOKUP("finlandia",#REF!,8,FALSE))</f>
        <v>#REF!</v>
      </c>
    </row>
    <row r="227" spans="3:17" ht="24" hidden="1" customHeight="1" x14ac:dyDescent="0.2">
      <c r="C227" s="218" t="s">
        <v>49</v>
      </c>
      <c r="D227" s="216" t="e">
        <f>VLOOKUP("suecia",#REF!,6,FALSE)/VLOOKUP("suecia",#REF!,6,FALSE)-1</f>
        <v>#REF!</v>
      </c>
      <c r="E227" s="217" t="e">
        <f>VLOOKUP("suecia",#REF!,6,FALSE)</f>
        <v>#REF!</v>
      </c>
      <c r="F227" s="216" t="e">
        <f>VLOOKUP("suecia",#REF!,5,FALSE)/VLOOKUP("suecia",#REF!,5,FALSE)-1</f>
        <v>#REF!</v>
      </c>
      <c r="G227" s="217" t="e">
        <f>VLOOKUP("suecia",#REF!,5,FALSE)</f>
        <v>#REF!</v>
      </c>
      <c r="H227" s="216" t="e">
        <f>VLOOKUP("suecia",#REF!,4,FALSE)/VLOOKUP("suecia",#REF!,4,FALSE)-1</f>
        <v>#REF!</v>
      </c>
      <c r="I227" s="217" t="e">
        <f>VLOOKUP("suecia",#REF!,4,FALSE)</f>
        <v>#REF!</v>
      </c>
      <c r="J227" s="216" t="e">
        <f>VLOOKUP("suecia",#REF!,3,FALSE)/VLOOKUP("suecia",#REF!,3,FALSE)-1</f>
        <v>#REF!</v>
      </c>
      <c r="K227" s="217" t="e">
        <f>VLOOKUP("suecia",#REF!,3,FALSE)</f>
        <v>#REF!</v>
      </c>
      <c r="L227" s="216" t="e">
        <f>VLOOKUP("suecia",#REF!,2,FALSE)/VLOOKUP("suecia",#REF!,2,FALSE)-1</f>
        <v>#REF!</v>
      </c>
      <c r="M227" s="217" t="e">
        <f>VLOOKUP("suecia",#REF!,2,FALSE)</f>
        <v>#REF!</v>
      </c>
      <c r="N227" s="216" t="e">
        <f>VLOOKUP("suecia",#REF!,7,FALSE)/VLOOKUP("suecia",#REF!,7,FALSE)-1</f>
        <v>#REF!</v>
      </c>
      <c r="O227" s="217" t="e">
        <f>VLOOKUP("suecia",#REF!,7,FALSE)</f>
        <v>#REF!</v>
      </c>
      <c r="P227" s="216" t="e">
        <f>VLOOKUP("suecia",#REF!,8,FALSE)/VLOOKUP("suecia",#REF!,8,FALSE)-1</f>
        <v>#REF!</v>
      </c>
      <c r="Q227" s="217" t="e">
        <f>VLOOKUP("suecia",#REF!,8,FALSE)</f>
        <v>#REF!</v>
      </c>
    </row>
    <row r="228" spans="3:17" ht="24" hidden="1" customHeight="1" x14ac:dyDescent="0.2">
      <c r="C228" s="218" t="s">
        <v>50</v>
      </c>
      <c r="D228" s="216" t="e">
        <f>VLOOKUP("noruega",#REF!,6,FALSE)/VLOOKUP("noruega",#REF!,6,FALSE)-1</f>
        <v>#REF!</v>
      </c>
      <c r="E228" s="217" t="e">
        <f>VLOOKUP("noruega",#REF!,6,FALSE)</f>
        <v>#REF!</v>
      </c>
      <c r="F228" s="216" t="e">
        <f>VLOOKUP("noruega",#REF!,5,FALSE)/VLOOKUP("noruega",#REF!,5,FALSE)-1</f>
        <v>#REF!</v>
      </c>
      <c r="G228" s="217" t="e">
        <f>VLOOKUP("noruega",#REF!,5,FALSE)</f>
        <v>#REF!</v>
      </c>
      <c r="H228" s="216" t="e">
        <f>VLOOKUP("noruega",#REF!,4,FALSE)/VLOOKUP("noruega",#REF!,4,FALSE)-1</f>
        <v>#REF!</v>
      </c>
      <c r="I228" s="217" t="e">
        <f>VLOOKUP("noruega",#REF!,4,FALSE)</f>
        <v>#REF!</v>
      </c>
      <c r="J228" s="216" t="e">
        <f>VLOOKUP("noruega",#REF!,3,FALSE)/VLOOKUP("noruega",#REF!,3,FALSE)-1</f>
        <v>#REF!</v>
      </c>
      <c r="K228" s="217" t="e">
        <f>VLOOKUP("noruega",#REF!,3,FALSE)</f>
        <v>#REF!</v>
      </c>
      <c r="L228" s="216" t="e">
        <f>VLOOKUP("noruega",#REF!,2,FALSE)/VLOOKUP("noruega",#REF!,2,FALSE)-1</f>
        <v>#REF!</v>
      </c>
      <c r="M228" s="217" t="e">
        <f>VLOOKUP("noruega",#REF!,2,FALSE)</f>
        <v>#REF!</v>
      </c>
      <c r="N228" s="216" t="e">
        <f>VLOOKUP("noruega",#REF!,7,FALSE)/VLOOKUP("noruega",#REF!,7,FALSE)-1</f>
        <v>#REF!</v>
      </c>
      <c r="O228" s="217" t="e">
        <f>VLOOKUP("noruega",#REF!,7,FALSE)</f>
        <v>#REF!</v>
      </c>
      <c r="P228" s="216" t="e">
        <f>VLOOKUP("noruega",#REF!,8,FALSE)/VLOOKUP("noruega",#REF!,8,FALSE)-1</f>
        <v>#REF!</v>
      </c>
      <c r="Q228" s="217" t="e">
        <f>VLOOKUP("noruega",#REF!,8,FALSE)</f>
        <v>#REF!</v>
      </c>
    </row>
    <row r="229" spans="3:17" ht="24" hidden="1" customHeight="1" x14ac:dyDescent="0.2">
      <c r="C229" s="218" t="s">
        <v>51</v>
      </c>
      <c r="D229" s="216" t="e">
        <f>VLOOKUP("dinamarca",#REF!,6,FALSE)/VLOOKUP("dinamarca",#REF!,6,FALSE)-1</f>
        <v>#REF!</v>
      </c>
      <c r="E229" s="217" t="e">
        <f>VLOOKUP("dinamarca",#REF!,6,FALSE)</f>
        <v>#REF!</v>
      </c>
      <c r="F229" s="216" t="e">
        <f>VLOOKUP("dinamarca",#REF!,5,FALSE)/VLOOKUP("dinamarca",#REF!,5,FALSE)-1</f>
        <v>#REF!</v>
      </c>
      <c r="G229" s="217" t="e">
        <f>VLOOKUP("dinamarca",#REF!,5,FALSE)</f>
        <v>#REF!</v>
      </c>
      <c r="H229" s="216" t="e">
        <f>VLOOKUP("dinamarca",#REF!,4,FALSE)/VLOOKUP("dinamarca",#REF!,4,FALSE)-1</f>
        <v>#REF!</v>
      </c>
      <c r="I229" s="217" t="e">
        <f>VLOOKUP("dinamarca",#REF!,4,FALSE)</f>
        <v>#REF!</v>
      </c>
      <c r="J229" s="216" t="e">
        <f>VLOOKUP("dinamarca",#REF!,3,FALSE)/VLOOKUP("dinamarca",#REF!,3,FALSE)-1</f>
        <v>#REF!</v>
      </c>
      <c r="K229" s="217" t="e">
        <f>VLOOKUP("dinamarca",#REF!,3,FALSE)</f>
        <v>#REF!</v>
      </c>
      <c r="L229" s="216" t="e">
        <f>VLOOKUP("dinamarca",#REF!,2,FALSE)/VLOOKUP("dinamarca",#REF!,2,FALSE)-1</f>
        <v>#REF!</v>
      </c>
      <c r="M229" s="217" t="e">
        <f>VLOOKUP("dinamarca",#REF!,2,FALSE)</f>
        <v>#REF!</v>
      </c>
      <c r="N229" s="216" t="e">
        <f>VLOOKUP("dinamarca",#REF!,7,FALSE)/VLOOKUP("dinamarca",#REF!,7,FALSE)-1</f>
        <v>#REF!</v>
      </c>
      <c r="O229" s="217" t="e">
        <f>VLOOKUP("dinamarca",#REF!,7,FALSE)</f>
        <v>#REF!</v>
      </c>
      <c r="P229" s="216" t="e">
        <f>VLOOKUP("dinamarca",#REF!,8,FALSE)/VLOOKUP("dinamarca",#REF!,8,FALSE)-1</f>
        <v>#REF!</v>
      </c>
      <c r="Q229" s="217" t="e">
        <f>VLOOKUP("dinamarca",#REF!,8,FALSE)</f>
        <v>#REF!</v>
      </c>
    </row>
    <row r="230" spans="3:17" ht="24" hidden="1" customHeight="1" x14ac:dyDescent="0.2">
      <c r="C230" s="218" t="s">
        <v>52</v>
      </c>
      <c r="D230" s="216" t="s">
        <v>38</v>
      </c>
      <c r="E230" s="217" t="e">
        <f>VLOOKUP("finlandia",#REF!,6,FALSE)</f>
        <v>#REF!</v>
      </c>
      <c r="F230" s="216" t="e">
        <f>VLOOKUP("finlandia",#REF!,5,FALSE)/VLOOKUP("finlandia",#REF!,5,FALSE)-1</f>
        <v>#REF!</v>
      </c>
      <c r="G230" s="217" t="e">
        <f>VLOOKUP("finlandia",#REF!,5,FALSE)</f>
        <v>#REF!</v>
      </c>
      <c r="H230" s="216" t="e">
        <f>VLOOKUP("finlandia",#REF!,4,FALSE)/VLOOKUP("finlandia",#REF!,4,FALSE)-1</f>
        <v>#REF!</v>
      </c>
      <c r="I230" s="217" t="e">
        <f>VLOOKUP("finlandia",#REF!,4,FALSE)</f>
        <v>#REF!</v>
      </c>
      <c r="J230" s="216" t="e">
        <f>VLOOKUP("finlandia",#REF!,3,FALSE)/VLOOKUP("finlandia",#REF!,3,FALSE)-1</f>
        <v>#REF!</v>
      </c>
      <c r="K230" s="217" t="e">
        <f>VLOOKUP("finlandia",#REF!,3,FALSE)</f>
        <v>#REF!</v>
      </c>
      <c r="L230" s="216" t="s">
        <v>38</v>
      </c>
      <c r="M230" s="217" t="e">
        <f>VLOOKUP("finlandia",#REF!,2,FALSE)</f>
        <v>#REF!</v>
      </c>
      <c r="N230" s="216" t="e">
        <f>VLOOKUP("finlandia",#REF!,7,FALSE)/VLOOKUP("finlandia",#REF!,7,FALSE)-1</f>
        <v>#REF!</v>
      </c>
      <c r="O230" s="217" t="e">
        <f>VLOOKUP("finlandia",#REF!,7,FALSE)</f>
        <v>#REF!</v>
      </c>
      <c r="P230" s="216" t="e">
        <f>VLOOKUP("finlandia",#REF!,8,FALSE)/VLOOKUP("finlandia",#REF!,8,FALSE)-1</f>
        <v>#REF!</v>
      </c>
      <c r="Q230" s="217" t="e">
        <f>VLOOKUP("finlandia",#REF!,8,FALSE)</f>
        <v>#REF!</v>
      </c>
    </row>
    <row r="231" spans="3:17" ht="24" hidden="1" customHeight="1" x14ac:dyDescent="0.2">
      <c r="C231" s="215" t="s">
        <v>53</v>
      </c>
      <c r="D231" s="216" t="e">
        <f>VLOOKUP("suiza",#REF!,6,FALSE)/VLOOKUP("suiza",#REF!,6,FALSE)-1</f>
        <v>#REF!</v>
      </c>
      <c r="E231" s="217" t="e">
        <f>VLOOKUP("suiza",#REF!,6,FALSE)</f>
        <v>#REF!</v>
      </c>
      <c r="F231" s="216" t="e">
        <f>VLOOKUP("suiza",#REF!,5,FALSE)/VLOOKUP("suiza",#REF!,5,FALSE)-1</f>
        <v>#REF!</v>
      </c>
      <c r="G231" s="217" t="e">
        <f>VLOOKUP("suiza",#REF!,5,FALSE)</f>
        <v>#REF!</v>
      </c>
      <c r="H231" s="216" t="e">
        <f>VLOOKUP("suiza",#REF!,4,FALSE)/VLOOKUP("suiza",#REF!,4,FALSE)-1</f>
        <v>#REF!</v>
      </c>
      <c r="I231" s="217" t="e">
        <f>VLOOKUP("suiza",#REF!,4,FALSE)</f>
        <v>#REF!</v>
      </c>
      <c r="J231" s="216" t="e">
        <f>VLOOKUP("suiza",#REF!,3,FALSE)/VLOOKUP("suiza",#REF!,3,FALSE)-1</f>
        <v>#REF!</v>
      </c>
      <c r="K231" s="217" t="e">
        <f>VLOOKUP("suiza",#REF!,3,FALSE)</f>
        <v>#REF!</v>
      </c>
      <c r="L231" s="216" t="e">
        <f>VLOOKUP("suiza",#REF!,2,FALSE)/VLOOKUP("suiza",#REF!,2,FALSE)-1</f>
        <v>#REF!</v>
      </c>
      <c r="M231" s="217" t="e">
        <f>VLOOKUP("suiza",#REF!,2,FALSE)</f>
        <v>#REF!</v>
      </c>
      <c r="N231" s="216" t="e">
        <f>VLOOKUP("suiza",#REF!,7,FALSE)/VLOOKUP("suiza",#REF!,7,FALSE)-1</f>
        <v>#REF!</v>
      </c>
      <c r="O231" s="217" t="e">
        <f>VLOOKUP("suiza",#REF!,7,FALSE)</f>
        <v>#REF!</v>
      </c>
      <c r="P231" s="216" t="e">
        <f>VLOOKUP("suiza",#REF!,8,FALSE)/VLOOKUP("suiza",#REF!,8,FALSE)-1</f>
        <v>#REF!</v>
      </c>
      <c r="Q231" s="217" t="e">
        <f>VLOOKUP("suiza",#REF!,8,FALSE)</f>
        <v>#REF!</v>
      </c>
    </row>
    <row r="232" spans="3:17" ht="24" hidden="1" customHeight="1" x14ac:dyDescent="0.2">
      <c r="C232" s="215" t="s">
        <v>54</v>
      </c>
      <c r="D232" s="216" t="e">
        <f>VLOOKUP("austria",#REF!,6,FALSE)/VLOOKUP("austria",#REF!,6,FALSE)-1</f>
        <v>#REF!</v>
      </c>
      <c r="E232" s="217" t="e">
        <f>VLOOKUP("austria",#REF!,6,FALSE)</f>
        <v>#REF!</v>
      </c>
      <c r="F232" s="216" t="e">
        <f>VLOOKUP("austria",#REF!,5,FALSE)/VLOOKUP("austria",#REF!,5,FALSE)-1</f>
        <v>#REF!</v>
      </c>
      <c r="G232" s="217" t="e">
        <f>VLOOKUP("austria",#REF!,5,FALSE)</f>
        <v>#REF!</v>
      </c>
      <c r="H232" s="216" t="e">
        <f>VLOOKUP("austria",#REF!,4,FALSE)/VLOOKUP("austria",#REF!,4,FALSE)-1</f>
        <v>#REF!</v>
      </c>
      <c r="I232" s="217" t="e">
        <f>VLOOKUP("austria",#REF!,4,FALSE)</f>
        <v>#REF!</v>
      </c>
      <c r="J232" s="216" t="e">
        <f>VLOOKUP("austria",#REF!,3,FALSE)/VLOOKUP("austria",#REF!,3,FALSE)-1</f>
        <v>#REF!</v>
      </c>
      <c r="K232" s="217" t="e">
        <f>VLOOKUP("austria",#REF!,3,FALSE)</f>
        <v>#REF!</v>
      </c>
      <c r="L232" s="216" t="e">
        <f>VLOOKUP("austria",#REF!,2,FALSE)/VLOOKUP("austria",#REF!,2,FALSE)-1</f>
        <v>#REF!</v>
      </c>
      <c r="M232" s="217" t="e">
        <f>VLOOKUP("austria",#REF!,2,FALSE)</f>
        <v>#REF!</v>
      </c>
      <c r="N232" s="216" t="e">
        <f>VLOOKUP("austria",#REF!,7,FALSE)/VLOOKUP("austria",#REF!,7,FALSE)-1</f>
        <v>#REF!</v>
      </c>
      <c r="O232" s="217" t="e">
        <f>VLOOKUP("austria",#REF!,7,FALSE)</f>
        <v>#REF!</v>
      </c>
      <c r="P232" s="216" t="e">
        <f>VLOOKUP("austria",#REF!,8,FALSE)/VLOOKUP("austria",#REF!,8,FALSE)-1</f>
        <v>#REF!</v>
      </c>
      <c r="Q232" s="217" t="e">
        <f>VLOOKUP("austria",#REF!,8,FALSE)</f>
        <v>#REF!</v>
      </c>
    </row>
    <row r="233" spans="3:17" ht="24" hidden="1" customHeight="1" x14ac:dyDescent="0.2">
      <c r="C233" s="215" t="s">
        <v>55</v>
      </c>
      <c r="D233" s="216" t="e">
        <f>VLOOKUP("rusia",#REF!,6,FALSE)/VLOOKUP("rusia",#REF!,6,FALSE)-1</f>
        <v>#REF!</v>
      </c>
      <c r="E233" s="217" t="e">
        <f>VLOOKUP("rusia",#REF!,6,FALSE)</f>
        <v>#REF!</v>
      </c>
      <c r="F233" s="216" t="e">
        <f>VLOOKUP("rusia",#REF!,5,FALSE)/VLOOKUP("rusia",#REF!,5,FALSE)-1</f>
        <v>#REF!</v>
      </c>
      <c r="G233" s="217" t="e">
        <f>VLOOKUP("rusia",#REF!,5,FALSE)</f>
        <v>#REF!</v>
      </c>
      <c r="H233" s="216" t="e">
        <f>VLOOKUP("rusia",#REF!,4,FALSE)/VLOOKUP("rusia",#REF!,4,FALSE)-1</f>
        <v>#REF!</v>
      </c>
      <c r="I233" s="217" t="e">
        <f>VLOOKUP("rusia",#REF!,4,FALSE)</f>
        <v>#REF!</v>
      </c>
      <c r="J233" s="216" t="e">
        <f>VLOOKUP("rusia",#REF!,3,FALSE)/VLOOKUP("rusia",#REF!,3,FALSE)-1</f>
        <v>#REF!</v>
      </c>
      <c r="K233" s="217" t="e">
        <f>VLOOKUP("rusia",#REF!,3,FALSE)</f>
        <v>#REF!</v>
      </c>
      <c r="L233" s="216" t="e">
        <f>VLOOKUP("rusia",#REF!,2,FALSE)/VLOOKUP("rusia",#REF!,2,FALSE)-1</f>
        <v>#REF!</v>
      </c>
      <c r="M233" s="217" t="e">
        <f>VLOOKUP("rusia",#REF!,2,FALSE)</f>
        <v>#REF!</v>
      </c>
      <c r="N233" s="216" t="e">
        <f>VLOOKUP("rusia",#REF!,7,FALSE)/VLOOKUP("rusia",#REF!,7,FALSE)-1</f>
        <v>#REF!</v>
      </c>
      <c r="O233" s="217" t="e">
        <f>VLOOKUP("rusia",#REF!,7,FALSE)</f>
        <v>#REF!</v>
      </c>
      <c r="P233" s="216" t="e">
        <f>VLOOKUP("rusia",#REF!,8,FALSE)/VLOOKUP("rusia",#REF!,8,FALSE)-1</f>
        <v>#REF!</v>
      </c>
      <c r="Q233" s="217" t="e">
        <f>VLOOKUP("rusia",#REF!,8,FALSE)</f>
        <v>#REF!</v>
      </c>
    </row>
    <row r="234" spans="3:17" ht="24" hidden="1" customHeight="1" x14ac:dyDescent="0.2">
      <c r="C234" s="215" t="s">
        <v>56</v>
      </c>
      <c r="D234" s="216" t="e">
        <f>VLOOKUP("paises del este",#REF!,6,FALSE)/VLOOKUP("paises del este",#REF!,6,FALSE)-1</f>
        <v>#REF!</v>
      </c>
      <c r="E234" s="217" t="e">
        <f>VLOOKUP("paises del este",#REF!,6,FALSE)</f>
        <v>#REF!</v>
      </c>
      <c r="F234" s="216" t="e">
        <f>VLOOKUP("paises del este",#REF!,5,FALSE)/VLOOKUP("paises del este",#REF!,5,FALSE)-1</f>
        <v>#REF!</v>
      </c>
      <c r="G234" s="217" t="e">
        <f>VLOOKUP("paises del este",#REF!,5,FALSE)</f>
        <v>#REF!</v>
      </c>
      <c r="H234" s="216" t="e">
        <f>VLOOKUP("paises del este",#REF!,4,FALSE)/VLOOKUP("paises del este",#REF!,4,FALSE)-1</f>
        <v>#REF!</v>
      </c>
      <c r="I234" s="217" t="e">
        <f>VLOOKUP("paises del este",#REF!,4,FALSE)</f>
        <v>#REF!</v>
      </c>
      <c r="J234" s="216" t="e">
        <f>VLOOKUP("paises del este",#REF!,3,FALSE)/VLOOKUP("paises del este",#REF!,3,FALSE)-1</f>
        <v>#REF!</v>
      </c>
      <c r="K234" s="217" t="e">
        <f>VLOOKUP("paises del este",#REF!,3,FALSE)</f>
        <v>#REF!</v>
      </c>
      <c r="L234" s="216" t="e">
        <f>VLOOKUP("paises del este",#REF!,2,FALSE)/VLOOKUP("paises del este",#REF!,2,FALSE)-1</f>
        <v>#REF!</v>
      </c>
      <c r="M234" s="217" t="e">
        <f>VLOOKUP("paises del este",#REF!,2,FALSE)</f>
        <v>#REF!</v>
      </c>
      <c r="N234" s="216" t="e">
        <f>VLOOKUP("paises del este",#REF!,7,FALSE)/VLOOKUP("paises del este",#REF!,7,FALSE)-1</f>
        <v>#REF!</v>
      </c>
      <c r="O234" s="217" t="e">
        <f>VLOOKUP("paises del este",#REF!,7,FALSE)</f>
        <v>#REF!</v>
      </c>
      <c r="P234" s="216" t="e">
        <f>VLOOKUP("paises del este",#REF!,8,FALSE)/VLOOKUP("paises del este",#REF!,8,FALSE)-1</f>
        <v>#REF!</v>
      </c>
      <c r="Q234" s="217" t="e">
        <f>VLOOKUP("paises del este",#REF!,8,FALSE)</f>
        <v>#REF!</v>
      </c>
    </row>
    <row r="235" spans="3:17" ht="24" hidden="1" customHeight="1" x14ac:dyDescent="0.2">
      <c r="C235" s="215" t="s">
        <v>57</v>
      </c>
      <c r="D235" s="216" t="e">
        <f>VLOOKUP("resto de europa",#REF!,6,FALSE)/VLOOKUP("resto de europa",#REF!,6,FALSE)-1</f>
        <v>#REF!</v>
      </c>
      <c r="E235" s="217" t="e">
        <f>VLOOKUP("resto de europa",#REF!,6,FALSE)</f>
        <v>#REF!</v>
      </c>
      <c r="F235" s="216" t="e">
        <f>VLOOKUP("resto de europa",#REF!,5,FALSE)/VLOOKUP("resto de europa",#REF!,5,FALSE)-1</f>
        <v>#REF!</v>
      </c>
      <c r="G235" s="217" t="e">
        <f>VLOOKUP("resto de europa",#REF!,5,FALSE)</f>
        <v>#REF!</v>
      </c>
      <c r="H235" s="216" t="e">
        <f>VLOOKUP("resto de europa",#REF!,4,FALSE)/VLOOKUP("resto de europa",#REF!,4,FALSE)-1</f>
        <v>#REF!</v>
      </c>
      <c r="I235" s="217" t="e">
        <f>VLOOKUP("resto de europa",#REF!,4,FALSE)</f>
        <v>#REF!</v>
      </c>
      <c r="J235" s="216" t="e">
        <f>VLOOKUP("resto de europa",#REF!,3,FALSE)/VLOOKUP("resto de europa",#REF!,3,FALSE)-1</f>
        <v>#REF!</v>
      </c>
      <c r="K235" s="217" t="e">
        <f>VLOOKUP("resto de europa",#REF!,3,FALSE)</f>
        <v>#REF!</v>
      </c>
      <c r="L235" s="216" t="e">
        <f>VLOOKUP("resto de europa",#REF!,2,FALSE)/VLOOKUP("resto de europa",#REF!,2,FALSE)-1</f>
        <v>#REF!</v>
      </c>
      <c r="M235" s="217" t="e">
        <f>VLOOKUP("resto de europa",#REF!,2,FALSE)</f>
        <v>#REF!</v>
      </c>
      <c r="N235" s="216" t="e">
        <f>VLOOKUP("resto de europa",#REF!,7,FALSE)/VLOOKUP("resto de europa",#REF!,7,FALSE)-1</f>
        <v>#REF!</v>
      </c>
      <c r="O235" s="217" t="e">
        <f>VLOOKUP("resto de europa",#REF!,7,FALSE)</f>
        <v>#REF!</v>
      </c>
      <c r="P235" s="216" t="e">
        <f>VLOOKUP("resto de europa",#REF!,8,FALSE)/VLOOKUP("resto de europa",#REF!,8,FALSE)-1</f>
        <v>#REF!</v>
      </c>
      <c r="Q235" s="217" t="e">
        <f>VLOOKUP("resto de europa",#REF!,8,FALSE)</f>
        <v>#REF!</v>
      </c>
    </row>
    <row r="236" spans="3:17" ht="24" hidden="1" customHeight="1" x14ac:dyDescent="0.2">
      <c r="C236" s="215" t="s">
        <v>58</v>
      </c>
      <c r="D236" s="216" t="e">
        <f>VLOOKUP("usa",#REF!,6,FALSE)/VLOOKUP("usa",#REF!,6,FALSE)-1</f>
        <v>#REF!</v>
      </c>
      <c r="E236" s="217" t="e">
        <f>VLOOKUP("usa",#REF!,6,FALSE)</f>
        <v>#REF!</v>
      </c>
      <c r="F236" s="216" t="e">
        <f>VLOOKUP("usa",#REF!,5,FALSE)/VLOOKUP("usa",#REF!,5,FALSE)-1</f>
        <v>#REF!</v>
      </c>
      <c r="G236" s="217" t="e">
        <f>VLOOKUP("usa",#REF!,5,FALSE)</f>
        <v>#REF!</v>
      </c>
      <c r="H236" s="216" t="e">
        <f>VLOOKUP("usa",#REF!,4,FALSE)/VLOOKUP("usa",#REF!,4,FALSE)-1</f>
        <v>#REF!</v>
      </c>
      <c r="I236" s="217" t="e">
        <f>VLOOKUP("usa",#REF!,4,FALSE)</f>
        <v>#REF!</v>
      </c>
      <c r="J236" s="216" t="e">
        <f>VLOOKUP("usa",#REF!,3,FALSE)/VLOOKUP("usa",#REF!,3,FALSE)-1</f>
        <v>#REF!</v>
      </c>
      <c r="K236" s="217" t="e">
        <f>VLOOKUP("usa",#REF!,3,FALSE)</f>
        <v>#REF!</v>
      </c>
      <c r="L236" s="216" t="e">
        <f>VLOOKUP("usa",#REF!,2,FALSE)/VLOOKUP("usa",#REF!,2,FALSE)-1</f>
        <v>#REF!</v>
      </c>
      <c r="M236" s="217" t="e">
        <f>VLOOKUP("usa",#REF!,2,FALSE)</f>
        <v>#REF!</v>
      </c>
      <c r="N236" s="216" t="e">
        <f>VLOOKUP("usa",#REF!,7,FALSE)/VLOOKUP("usa",#REF!,7,FALSE)-1</f>
        <v>#REF!</v>
      </c>
      <c r="O236" s="217" t="e">
        <f>VLOOKUP("usa",#REF!,7,FALSE)</f>
        <v>#REF!</v>
      </c>
      <c r="P236" s="216" t="e">
        <f>VLOOKUP("usa",#REF!,8,FALSE)/VLOOKUP("usa",#REF!,8,FALSE)-1</f>
        <v>#REF!</v>
      </c>
      <c r="Q236" s="217" t="e">
        <f>VLOOKUP("usa",#REF!,8,FALSE)</f>
        <v>#REF!</v>
      </c>
    </row>
    <row r="237" spans="3:17" ht="24" hidden="1" customHeight="1" x14ac:dyDescent="0.2">
      <c r="C237" s="215" t="s">
        <v>59</v>
      </c>
      <c r="D237" s="216" t="e">
        <f>VLOOKUP("resto de america",#REF!,6,FALSE)/VLOOKUP("resto de america",#REF!,6,FALSE)-1</f>
        <v>#REF!</v>
      </c>
      <c r="E237" s="217" t="e">
        <f>VLOOKUP("resto de america",#REF!,6,FALSE)</f>
        <v>#REF!</v>
      </c>
      <c r="F237" s="216" t="e">
        <f>VLOOKUP("resto de america",#REF!,5,FALSE)/VLOOKUP("resto de america",#REF!,5,FALSE)-1</f>
        <v>#REF!</v>
      </c>
      <c r="G237" s="217" t="e">
        <f>VLOOKUP("resto de america",#REF!,5,FALSE)</f>
        <v>#REF!</v>
      </c>
      <c r="H237" s="216" t="e">
        <f>VLOOKUP("resto de america",#REF!,4,FALSE)/VLOOKUP("resto de america",#REF!,4,FALSE)-1</f>
        <v>#REF!</v>
      </c>
      <c r="I237" s="217" t="e">
        <f>VLOOKUP("resto de america",#REF!,4,FALSE)</f>
        <v>#REF!</v>
      </c>
      <c r="J237" s="216" t="e">
        <f>VLOOKUP("resto de america",#REF!,3,FALSE)/VLOOKUP("resto de america",#REF!,3,FALSE)-1</f>
        <v>#REF!</v>
      </c>
      <c r="K237" s="217" t="e">
        <f>VLOOKUP("resto de america",#REF!,3,FALSE)</f>
        <v>#REF!</v>
      </c>
      <c r="L237" s="216" t="e">
        <f>VLOOKUP("resto de america",#REF!,2,FALSE)/VLOOKUP("resto de america",#REF!,2,FALSE)-1</f>
        <v>#REF!</v>
      </c>
      <c r="M237" s="217" t="e">
        <f>VLOOKUP("resto de america",#REF!,2,FALSE)</f>
        <v>#REF!</v>
      </c>
      <c r="N237" s="216" t="e">
        <f>VLOOKUP("resto de america",#REF!,7,FALSE)/VLOOKUP("resto de america",#REF!,7,FALSE)-1</f>
        <v>#REF!</v>
      </c>
      <c r="O237" s="217" t="e">
        <f>VLOOKUP("resto de america",#REF!,7,FALSE)</f>
        <v>#REF!</v>
      </c>
      <c r="P237" s="216" t="e">
        <f>VLOOKUP("resto de america",#REF!,8,FALSE)/VLOOKUP("resto de america",#REF!,8,FALSE)-1</f>
        <v>#REF!</v>
      </c>
      <c r="Q237" s="217" t="e">
        <f>VLOOKUP("resto de america",#REF!,8,FALSE)</f>
        <v>#REF!</v>
      </c>
    </row>
    <row r="238" spans="3:17" ht="24" hidden="1" customHeight="1" x14ac:dyDescent="0.2">
      <c r="C238" s="215" t="s">
        <v>60</v>
      </c>
      <c r="D238" s="216" t="e">
        <f>VLOOKUP("resto del mundo",#REF!,6,FALSE)/VLOOKUP("resto del mundo",#REF!,6,FALSE)-1</f>
        <v>#REF!</v>
      </c>
      <c r="E238" s="217" t="e">
        <f>VLOOKUP("resto del mundo",#REF!,6,FALSE)</f>
        <v>#REF!</v>
      </c>
      <c r="F238" s="216" t="e">
        <f>VLOOKUP("resto del mundo",#REF!,5,FALSE)/VLOOKUP("resto del mundo",#REF!,5,FALSE)-1</f>
        <v>#REF!</v>
      </c>
      <c r="G238" s="217" t="e">
        <f>VLOOKUP("resto del mundo",#REF!,5,FALSE)</f>
        <v>#REF!</v>
      </c>
      <c r="H238" s="216" t="e">
        <f>VLOOKUP("resto del mundo",#REF!,4,FALSE)/VLOOKUP("resto del mundo",#REF!,4,FALSE)-1</f>
        <v>#REF!</v>
      </c>
      <c r="I238" s="217" t="e">
        <f>VLOOKUP("resto del mundo",#REF!,4,FALSE)</f>
        <v>#REF!</v>
      </c>
      <c r="J238" s="216" t="e">
        <f>VLOOKUP("resto del mundo",#REF!,3,FALSE)/VLOOKUP("resto del mundo",#REF!,3,FALSE)-1</f>
        <v>#REF!</v>
      </c>
      <c r="K238" s="217" t="e">
        <f>VLOOKUP("resto del mundo",#REF!,3,FALSE)</f>
        <v>#REF!</v>
      </c>
      <c r="L238" s="216" t="e">
        <f>VLOOKUP("resto del mundo",#REF!,2,FALSE)/VLOOKUP("resto del mundo",#REF!,2,FALSE)-1</f>
        <v>#REF!</v>
      </c>
      <c r="M238" s="217" t="e">
        <f>VLOOKUP("resto del mundo",#REF!,2,FALSE)</f>
        <v>#REF!</v>
      </c>
      <c r="N238" s="216" t="e">
        <f>VLOOKUP("resto del mundo",#REF!,7,FALSE)/VLOOKUP("resto del mundo",#REF!,7,FALSE)-1</f>
        <v>#REF!</v>
      </c>
      <c r="O238" s="217" t="e">
        <f>VLOOKUP("resto del mundo",#REF!,7,FALSE)</f>
        <v>#REF!</v>
      </c>
      <c r="P238" s="216" t="e">
        <f>VLOOKUP("resto del mundo",#REF!,8,FALSE)/VLOOKUP("resto del mundo",#REF!,8,FALSE)-1</f>
        <v>#REF!</v>
      </c>
      <c r="Q238" s="217" t="e">
        <f>VLOOKUP("resto del mundo",#REF!,8,FALSE)</f>
        <v>#REF!</v>
      </c>
    </row>
    <row r="239" spans="3:17" ht="24" hidden="1" customHeight="1" x14ac:dyDescent="0.2">
      <c r="C239" s="215" t="s">
        <v>61</v>
      </c>
      <c r="D239" s="216" t="e">
        <f>(VLOOKUP("total",#REF!,6,FALSE)-VLOOKUP("españa",#REF!,6,FALSE))/(VLOOKUP("total",#REF!,6,FALSE)-VLOOKUP("españa",#REF!,6,FALSE))-1</f>
        <v>#REF!</v>
      </c>
      <c r="E239" s="217" t="e">
        <f>VLOOKUP("total",#REF!,6,FALSE)-VLOOKUP("españa",#REF!,6,FALSE)</f>
        <v>#REF!</v>
      </c>
      <c r="F239" s="216" t="e">
        <f>(VLOOKUP("total",#REF!,5,FALSE)-VLOOKUP("españa",#REF!,5,FALSE))/(VLOOKUP("total",#REF!,5,FALSE)-VLOOKUP("españa",#REF!,5,FALSE))-1</f>
        <v>#REF!</v>
      </c>
      <c r="G239" s="217" t="e">
        <f>VLOOKUP("total",#REF!,5,FALSE)-VLOOKUP("españa",#REF!,5,FALSE)</f>
        <v>#REF!</v>
      </c>
      <c r="H239" s="216" t="e">
        <f>(VLOOKUP("total",#REF!,4,FALSE)-VLOOKUP("españa",#REF!,4,FALSE))/(VLOOKUP("total",#REF!,4,FALSE)-VLOOKUP("españa",#REF!,4,FALSE))-1</f>
        <v>#REF!</v>
      </c>
      <c r="I239" s="217" t="e">
        <f>VLOOKUP("total",#REF!,4,FALSE)-VLOOKUP("españa",#REF!,4,FALSE)</f>
        <v>#REF!</v>
      </c>
      <c r="J239" s="216" t="e">
        <f>(VLOOKUP("total",#REF!,3,FALSE)-VLOOKUP("españa",#REF!,3,FALSE))/(VLOOKUP("total",#REF!,3,FALSE)-VLOOKUP("españa",#REF!,3,FALSE))-1</f>
        <v>#REF!</v>
      </c>
      <c r="K239" s="217" t="e">
        <f>VLOOKUP("total",#REF!,3,FALSE)-VLOOKUP("españa",#REF!,3,FALSE)</f>
        <v>#REF!</v>
      </c>
      <c r="L239" s="216" t="e">
        <f>(VLOOKUP("total",#REF!,2,FALSE)-VLOOKUP("españa",#REF!,2,FALSE))/(VLOOKUP("total",#REF!,2,FALSE)-VLOOKUP("españa",#REF!,2,FALSE))-1</f>
        <v>#REF!</v>
      </c>
      <c r="M239" s="217" t="e">
        <f>VLOOKUP("total",#REF!,2,FALSE)-VLOOKUP("españa",#REF!,2,FALSE)</f>
        <v>#REF!</v>
      </c>
      <c r="N239" s="216" t="e">
        <f>(VLOOKUP("total",#REF!,7,FALSE)-VLOOKUP("españa",#REF!,7,FALSE))/(VLOOKUP("total",#REF!,7,FALSE)-VLOOKUP("españa",#REF!,7,FALSE))-1</f>
        <v>#REF!</v>
      </c>
      <c r="O239" s="217" t="e">
        <f>VLOOKUP("total",#REF!,7,FALSE)-VLOOKUP("españa",#REF!,7,FALSE)</f>
        <v>#REF!</v>
      </c>
      <c r="P239" s="216" t="e">
        <f>(VLOOKUP("total",#REF!,8,FALSE)-VLOOKUP("españa",#REF!,8,FALSE))/(VLOOKUP("total",#REF!,8,FALSE)-VLOOKUP("españa",#REF!,8,FALSE))-1</f>
        <v>#REF!</v>
      </c>
      <c r="Q239" s="217" t="e">
        <f>VLOOKUP("total",#REF!,8,FALSE)-VLOOKUP("españa",#REF!,8,FALSE)</f>
        <v>#REF!</v>
      </c>
    </row>
    <row r="240" spans="3:17" ht="24" hidden="1" customHeight="1" x14ac:dyDescent="0.2">
      <c r="C240" s="215" t="s">
        <v>8</v>
      </c>
      <c r="D240" s="216" t="e">
        <f>VLOOKUP("total",#REF!,6,FALSE)/VLOOKUP("total",#REF!,6,FALSE)-1</f>
        <v>#REF!</v>
      </c>
      <c r="E240" s="217" t="e">
        <f>VLOOKUP("total",#REF!,6,FALSE)</f>
        <v>#REF!</v>
      </c>
      <c r="F240" s="216" t="e">
        <f>VLOOKUP("total",#REF!,5,FALSE)/VLOOKUP("total",#REF!,5,FALSE)-1</f>
        <v>#REF!</v>
      </c>
      <c r="G240" s="217" t="e">
        <f>VLOOKUP("total",#REF!,5,FALSE)</f>
        <v>#REF!</v>
      </c>
      <c r="H240" s="216" t="e">
        <f>VLOOKUP("total",#REF!,4,FALSE)/VLOOKUP("total",#REF!,4,FALSE)-1</f>
        <v>#REF!</v>
      </c>
      <c r="I240" s="217" t="e">
        <f>VLOOKUP("total",#REF!,4,FALSE)</f>
        <v>#REF!</v>
      </c>
      <c r="J240" s="216" t="e">
        <f>VLOOKUP("total",#REF!,3,FALSE)/VLOOKUP("total",#REF!,3,FALSE)-1</f>
        <v>#REF!</v>
      </c>
      <c r="K240" s="217" t="e">
        <f>VLOOKUP("total",#REF!,3,FALSE)</f>
        <v>#REF!</v>
      </c>
      <c r="L240" s="216" t="e">
        <f>VLOOKUP("total",#REF!,2,FALSE)/VLOOKUP("total",#REF!,2,FALSE)-1</f>
        <v>#REF!</v>
      </c>
      <c r="M240" s="217" t="e">
        <f>VLOOKUP("total",#REF!,2,FALSE)</f>
        <v>#REF!</v>
      </c>
      <c r="N240" s="216" t="e">
        <f>VLOOKUP("total",#REF!,7,FALSE)/VLOOKUP("total",#REF!,7,FALSE)-1</f>
        <v>#REF!</v>
      </c>
      <c r="O240" s="217" t="e">
        <f>VLOOKUP("total",#REF!,7,FALSE)</f>
        <v>#REF!</v>
      </c>
      <c r="P240" s="216" t="e">
        <f>VLOOKUP("total",#REF!,8,FALSE)/VLOOKUP("total",#REF!,8,FALSE)-1</f>
        <v>#REF!</v>
      </c>
      <c r="Q240" s="217" t="e">
        <f>VLOOKUP("total",#REF!,8,FALSE)</f>
        <v>#REF!</v>
      </c>
    </row>
    <row r="241" spans="3:13" ht="18" customHeight="1" thickBot="1" x14ac:dyDescent="0.25">
      <c r="C241" s="4"/>
    </row>
    <row r="242" spans="3:13" ht="50.25" customHeight="1" thickBot="1" x14ac:dyDescent="0.25">
      <c r="C242" s="2"/>
      <c r="D242" s="2"/>
      <c r="E242" s="3" t="str">
        <f>$E$1</f>
        <v>INDICADORES TURÍSTICOS DE TENERIFE definitivo</v>
      </c>
      <c r="F242" s="3"/>
      <c r="G242" s="3"/>
      <c r="H242" s="3"/>
      <c r="I242" s="3"/>
      <c r="J242" s="3"/>
      <c r="K242" s="3"/>
      <c r="L242" s="2"/>
      <c r="M242" s="2"/>
    </row>
    <row r="243" spans="3:13" ht="5.25" customHeight="1" thickBot="1" x14ac:dyDescent="0.25">
      <c r="C243" s="4"/>
    </row>
    <row r="244" spans="3:13" ht="28.5" customHeight="1" thickBot="1" x14ac:dyDescent="0.25">
      <c r="C244" s="222" t="s">
        <v>67</v>
      </c>
      <c r="D244" s="223"/>
      <c r="E244" s="223"/>
      <c r="F244" s="223"/>
      <c r="G244" s="223"/>
      <c r="H244" s="223"/>
      <c r="I244" s="223"/>
      <c r="J244" s="223"/>
      <c r="K244" s="223"/>
      <c r="L244" s="223"/>
      <c r="M244" s="224"/>
    </row>
    <row r="245" spans="3:13" ht="5.25" customHeight="1" thickBot="1" x14ac:dyDescent="0.25">
      <c r="C245" s="225"/>
      <c r="D245" s="226"/>
      <c r="E245" s="226"/>
      <c r="F245" s="226"/>
      <c r="G245" s="227"/>
      <c r="H245" s="227"/>
      <c r="I245" s="227"/>
      <c r="J245" s="226"/>
      <c r="K245" s="226"/>
      <c r="L245" s="226"/>
      <c r="M245" s="228"/>
    </row>
    <row r="246" spans="3:13" ht="32.25" customHeight="1" thickTop="1" thickBot="1" x14ac:dyDescent="0.25">
      <c r="C246" s="175"/>
      <c r="D246" s="176" t="s">
        <v>7</v>
      </c>
      <c r="E246" s="177"/>
      <c r="F246" s="176" t="s">
        <v>30</v>
      </c>
      <c r="G246" s="177"/>
      <c r="H246" s="176" t="s">
        <v>31</v>
      </c>
      <c r="I246" s="177"/>
      <c r="J246" s="176" t="s">
        <v>32</v>
      </c>
      <c r="K246" s="177"/>
      <c r="L246" s="176" t="s">
        <v>33</v>
      </c>
      <c r="M246" s="229"/>
    </row>
    <row r="247" spans="3:13" ht="31.5" customHeight="1" thickBot="1" x14ac:dyDescent="0.25">
      <c r="C247" s="178"/>
      <c r="D247" s="230" t="s">
        <v>68</v>
      </c>
      <c r="E247" s="231" t="s">
        <v>69</v>
      </c>
      <c r="F247" s="230" t="s">
        <v>68</v>
      </c>
      <c r="G247" s="231" t="s">
        <v>69</v>
      </c>
      <c r="H247" s="230" t="s">
        <v>68</v>
      </c>
      <c r="I247" s="231" t="s">
        <v>69</v>
      </c>
      <c r="J247" s="230" t="s">
        <v>68</v>
      </c>
      <c r="K247" s="231" t="s">
        <v>69</v>
      </c>
      <c r="L247" s="230" t="s">
        <v>68</v>
      </c>
      <c r="M247" s="232" t="s">
        <v>69</v>
      </c>
    </row>
    <row r="248" spans="3:13" ht="18.75" thickBot="1" x14ac:dyDescent="0.25">
      <c r="C248" s="181" t="s">
        <v>36</v>
      </c>
      <c r="D248" s="233">
        <v>0.19147948969735029</v>
      </c>
      <c r="E248" s="234">
        <v>0.22145309189005002</v>
      </c>
      <c r="F248" s="233">
        <v>0.65672310756972108</v>
      </c>
      <c r="G248" s="234">
        <v>0.70125346070765771</v>
      </c>
      <c r="H248" s="233">
        <v>0.46512946512946513</v>
      </c>
      <c r="I248" s="234">
        <v>0.5189181614349776</v>
      </c>
      <c r="J248" s="233">
        <v>0.41631342461108051</v>
      </c>
      <c r="K248" s="234">
        <v>0.46627460056192777</v>
      </c>
      <c r="L248" s="233">
        <v>0.10731509774325369</v>
      </c>
      <c r="M248" s="235">
        <v>0.12967897454004279</v>
      </c>
    </row>
    <row r="249" spans="3:13" ht="26.25" thickBot="1" x14ac:dyDescent="0.25">
      <c r="C249" s="236" t="s">
        <v>70</v>
      </c>
      <c r="D249" s="237">
        <v>4.5866381148171625E-2</v>
      </c>
      <c r="E249" s="238">
        <v>5.8248998057417421E-2</v>
      </c>
      <c r="F249" s="237"/>
      <c r="G249" s="238"/>
      <c r="H249" s="237"/>
      <c r="I249" s="238"/>
      <c r="J249" s="237"/>
      <c r="K249" s="238"/>
      <c r="L249" s="237"/>
      <c r="M249" s="239"/>
    </row>
    <row r="250" spans="3:13" ht="26.25" thickBot="1" x14ac:dyDescent="0.25">
      <c r="C250" s="236" t="s">
        <v>39</v>
      </c>
      <c r="D250" s="237">
        <v>2.6854219535912528E-2</v>
      </c>
      <c r="E250" s="238">
        <v>2.8081037764520048E-2</v>
      </c>
      <c r="F250" s="237"/>
      <c r="G250" s="238"/>
      <c r="H250" s="237"/>
      <c r="I250" s="238"/>
      <c r="J250" s="237"/>
      <c r="K250" s="238"/>
      <c r="L250" s="237"/>
      <c r="M250" s="239"/>
    </row>
    <row r="251" spans="3:13" ht="18.75" thickBot="1" x14ac:dyDescent="0.25">
      <c r="C251" s="236" t="s">
        <v>40</v>
      </c>
      <c r="D251" s="237">
        <v>0.11875888901326613</v>
      </c>
      <c r="E251" s="238">
        <v>0.13512305606810376</v>
      </c>
      <c r="F251" s="237"/>
      <c r="G251" s="238"/>
      <c r="H251" s="237"/>
      <c r="I251" s="238"/>
      <c r="J251" s="237"/>
      <c r="K251" s="238"/>
      <c r="L251" s="237"/>
      <c r="M251" s="239"/>
    </row>
    <row r="252" spans="3:13" ht="18.75" thickBot="1" x14ac:dyDescent="0.25">
      <c r="C252" s="240" t="s">
        <v>41</v>
      </c>
      <c r="D252" s="241">
        <v>3.3386864846595213E-2</v>
      </c>
      <c r="E252" s="242">
        <v>3.0400492539632486E-2</v>
      </c>
      <c r="F252" s="241">
        <v>5.5776892430278889E-3</v>
      </c>
      <c r="G252" s="242">
        <v>6.754084395631142E-3</v>
      </c>
      <c r="H252" s="241">
        <v>1.6065016065016063E-2</v>
      </c>
      <c r="I252" s="242">
        <v>1.8637892376681613E-2</v>
      </c>
      <c r="J252" s="241">
        <v>1.6563519986435505E-2</v>
      </c>
      <c r="K252" s="242">
        <v>1.3282519028327822E-2</v>
      </c>
      <c r="L252" s="241">
        <v>3.9270856890412903E-2</v>
      </c>
      <c r="M252" s="243">
        <v>3.6174005247854135E-2</v>
      </c>
    </row>
    <row r="253" spans="3:13" ht="24" customHeight="1" thickBot="1" x14ac:dyDescent="0.25">
      <c r="C253" s="244" t="s">
        <v>42</v>
      </c>
      <c r="D253" s="237">
        <v>2.6507098758642208E-2</v>
      </c>
      <c r="E253" s="238">
        <v>2.6927221687406456E-2</v>
      </c>
      <c r="F253" s="237">
        <v>6.4243027888446214E-3</v>
      </c>
      <c r="G253" s="238">
        <v>7.7175048424554041E-3</v>
      </c>
      <c r="H253" s="237">
        <v>1.0395010395010396E-2</v>
      </c>
      <c r="I253" s="238">
        <v>1.2635463378176382E-2</v>
      </c>
      <c r="J253" s="237">
        <v>1.0459497265906489E-2</v>
      </c>
      <c r="K253" s="238">
        <v>1.0240365793782458E-2</v>
      </c>
      <c r="L253" s="237">
        <v>3.1773788925060879E-2</v>
      </c>
      <c r="M253" s="239">
        <v>3.2380282983742209E-2</v>
      </c>
    </row>
    <row r="254" spans="3:13" ht="24" customHeight="1" thickBot="1" x14ac:dyDescent="0.25">
      <c r="C254" s="240" t="s">
        <v>43</v>
      </c>
      <c r="D254" s="241">
        <v>0.11899995400156395</v>
      </c>
      <c r="E254" s="242">
        <v>0.10661500221401231</v>
      </c>
      <c r="F254" s="241">
        <v>3.2021912350597606E-2</v>
      </c>
      <c r="G254" s="242">
        <v>3.4576652773129699E-2</v>
      </c>
      <c r="H254" s="241">
        <v>0.20903420903420902</v>
      </c>
      <c r="I254" s="242">
        <v>0.1882240284005979</v>
      </c>
      <c r="J254" s="241">
        <v>0.20815141367470646</v>
      </c>
      <c r="K254" s="242">
        <v>0.20059934636423216</v>
      </c>
      <c r="L254" s="241">
        <v>0.10021773315592113</v>
      </c>
      <c r="M254" s="243">
        <v>8.5663161680875247E-2</v>
      </c>
    </row>
    <row r="255" spans="3:13" ht="24" customHeight="1" thickBot="1" x14ac:dyDescent="0.25">
      <c r="C255" s="244" t="s">
        <v>44</v>
      </c>
      <c r="D255" s="237">
        <v>3.5728785221302475E-2</v>
      </c>
      <c r="E255" s="238">
        <v>3.3538849771663055E-2</v>
      </c>
      <c r="F255" s="237">
        <v>2.305776892430279E-2</v>
      </c>
      <c r="G255" s="238">
        <v>2.7021408216455222E-2</v>
      </c>
      <c r="H255" s="237">
        <v>5.3865053865053865E-2</v>
      </c>
      <c r="I255" s="238">
        <v>7.1421898355754854E-2</v>
      </c>
      <c r="J255" s="237">
        <v>3.8065363909965663E-2</v>
      </c>
      <c r="K255" s="238">
        <v>3.4405639176617923E-2</v>
      </c>
      <c r="L255" s="237">
        <v>3.55657117612719E-2</v>
      </c>
      <c r="M255" s="239">
        <v>3.3225868368066958E-2</v>
      </c>
    </row>
    <row r="256" spans="3:13" ht="24" customHeight="1" thickBot="1" x14ac:dyDescent="0.25">
      <c r="C256" s="240" t="s">
        <v>45</v>
      </c>
      <c r="D256" s="241">
        <v>0.35440395026569099</v>
      </c>
      <c r="E256" s="242">
        <v>0.36750292320439021</v>
      </c>
      <c r="F256" s="241">
        <v>4.233067729083665E-2</v>
      </c>
      <c r="G256" s="242">
        <v>4.4662143661200526E-2</v>
      </c>
      <c r="H256" s="241">
        <v>3.6288036288036285E-2</v>
      </c>
      <c r="I256" s="242">
        <v>4.3908819133034377E-2</v>
      </c>
      <c r="J256" s="241">
        <v>9.1517951761264885E-2</v>
      </c>
      <c r="K256" s="242">
        <v>0.1001747642953084</v>
      </c>
      <c r="L256" s="241">
        <v>0.44054149289211691</v>
      </c>
      <c r="M256" s="243">
        <v>0.45679539913555051</v>
      </c>
    </row>
    <row r="257" spans="3:13" ht="24" customHeight="1" thickBot="1" x14ac:dyDescent="0.25">
      <c r="C257" s="244" t="s">
        <v>46</v>
      </c>
      <c r="D257" s="237">
        <v>1.8073385504892833E-2</v>
      </c>
      <c r="E257" s="238">
        <v>1.9070706346988008E-2</v>
      </c>
      <c r="F257" s="237">
        <v>5.8764940239043823E-3</v>
      </c>
      <c r="G257" s="238">
        <v>4.7055482876469214E-3</v>
      </c>
      <c r="H257" s="237">
        <v>6.2370062370062374E-3</v>
      </c>
      <c r="I257" s="238">
        <v>4.8346412556053812E-3</v>
      </c>
      <c r="J257" s="237">
        <v>8.4778093340680764E-3</v>
      </c>
      <c r="K257" s="238">
        <v>7.4480303328524431E-3</v>
      </c>
      <c r="L257" s="237">
        <v>2.1263167859641004E-2</v>
      </c>
      <c r="M257" s="239">
        <v>2.2972698729064545E-2</v>
      </c>
    </row>
    <row r="258" spans="3:13" ht="24" customHeight="1" thickBot="1" x14ac:dyDescent="0.25">
      <c r="C258" s="240" t="s">
        <v>47</v>
      </c>
      <c r="D258" s="241">
        <v>2.3129213606737371E-2</v>
      </c>
      <c r="E258" s="242">
        <v>2.6417978029833138E-2</v>
      </c>
      <c r="F258" s="241">
        <v>2.9731075697211156E-2</v>
      </c>
      <c r="G258" s="242">
        <v>3.283742533491537E-2</v>
      </c>
      <c r="H258" s="241">
        <v>3.4776034776034775E-2</v>
      </c>
      <c r="I258" s="242">
        <v>3.0292414050822121E-2</v>
      </c>
      <c r="J258" s="241">
        <v>1.6849646051460304E-2</v>
      </c>
      <c r="K258" s="242">
        <v>1.6375500987375009E-2</v>
      </c>
      <c r="L258" s="241">
        <v>2.4176795115203979E-2</v>
      </c>
      <c r="M258" s="243">
        <v>2.8577761131890971E-2</v>
      </c>
    </row>
    <row r="259" spans="3:13" ht="24" customHeight="1" thickBot="1" x14ac:dyDescent="0.25">
      <c r="C259" s="244" t="s">
        <v>48</v>
      </c>
      <c r="D259" s="237">
        <v>8.1025245141665189E-2</v>
      </c>
      <c r="E259" s="238">
        <v>6.1541627388602693E-2</v>
      </c>
      <c r="F259" s="237">
        <v>5.8266932270916338E-2</v>
      </c>
      <c r="G259" s="238">
        <v>3.3932682263936635E-2</v>
      </c>
      <c r="H259" s="237">
        <v>1.6443016443016444E-2</v>
      </c>
      <c r="I259" s="238">
        <v>1.1514387144992526E-2</v>
      </c>
      <c r="J259" s="237">
        <v>7.669238268831334E-2</v>
      </c>
      <c r="K259" s="238">
        <v>4.791634673409223E-2</v>
      </c>
      <c r="L259" s="237">
        <v>8.4200672132785676E-2</v>
      </c>
      <c r="M259" s="239">
        <v>6.7092456718402749E-2</v>
      </c>
    </row>
    <row r="260" spans="3:13" ht="24" customHeight="1" thickBot="1" x14ac:dyDescent="0.25">
      <c r="C260" s="245" t="s">
        <v>49</v>
      </c>
      <c r="D260" s="241">
        <v>2.8907017161416512E-2</v>
      </c>
      <c r="E260" s="242">
        <v>2.2013905580185778E-2</v>
      </c>
      <c r="F260" s="241">
        <v>1.3645418326693227E-2</v>
      </c>
      <c r="G260" s="242">
        <v>1.1743588183394688E-2</v>
      </c>
      <c r="H260" s="241">
        <v>7.3710073710073713E-3</v>
      </c>
      <c r="I260" s="242">
        <v>4.2040358744394619E-3</v>
      </c>
      <c r="J260" s="241">
        <v>1.9477766945021405E-2</v>
      </c>
      <c r="K260" s="242">
        <v>1.3239260539390098E-2</v>
      </c>
      <c r="L260" s="241">
        <v>3.2352306972194322E-2</v>
      </c>
      <c r="M260" s="243">
        <v>2.5011728200533805E-2</v>
      </c>
    </row>
    <row r="261" spans="3:13" ht="24" customHeight="1" thickBot="1" x14ac:dyDescent="0.25">
      <c r="C261" s="236" t="s">
        <v>50</v>
      </c>
      <c r="D261" s="237">
        <v>1.5787463226250308E-2</v>
      </c>
      <c r="E261" s="238">
        <v>1.1426427933795408E-2</v>
      </c>
      <c r="F261" s="237">
        <v>9.4123505976095624E-3</v>
      </c>
      <c r="G261" s="238">
        <v>7.9608952711267954E-3</v>
      </c>
      <c r="H261" s="237">
        <v>3.9690039690039687E-3</v>
      </c>
      <c r="I261" s="238">
        <v>2.218796711509716E-3</v>
      </c>
      <c r="J261" s="237">
        <v>8.6367682590818527E-3</v>
      </c>
      <c r="K261" s="238">
        <v>5.9458793044900151E-3</v>
      </c>
      <c r="L261" s="237">
        <v>1.8062911207998276E-2</v>
      </c>
      <c r="M261" s="239">
        <v>1.3116335499681839E-2</v>
      </c>
    </row>
    <row r="262" spans="3:13" ht="24" customHeight="1" thickBot="1" x14ac:dyDescent="0.25">
      <c r="C262" s="245" t="s">
        <v>51</v>
      </c>
      <c r="D262" s="241">
        <v>1.4991490289330162E-2</v>
      </c>
      <c r="E262" s="242">
        <v>1.4527086555592537E-2</v>
      </c>
      <c r="F262" s="241">
        <v>2.8386454183266931E-2</v>
      </c>
      <c r="G262" s="242">
        <v>7.6160921638423239E-3</v>
      </c>
      <c r="H262" s="241">
        <v>3.78000378000378E-3</v>
      </c>
      <c r="I262" s="242">
        <v>3.7369207772795215E-3</v>
      </c>
      <c r="J262" s="241">
        <v>1.0162773939214107E-2</v>
      </c>
      <c r="K262" s="242">
        <v>8.7771474054639791E-3</v>
      </c>
      <c r="L262" s="241">
        <v>1.5638394665011754E-2</v>
      </c>
      <c r="M262" s="243">
        <v>1.6490977397708918E-2</v>
      </c>
    </row>
    <row r="263" spans="3:13" ht="24" customHeight="1" thickBot="1" x14ac:dyDescent="0.25">
      <c r="C263" s="236" t="s">
        <v>52</v>
      </c>
      <c r="D263" s="237">
        <v>2.1339274464668202E-2</v>
      </c>
      <c r="E263" s="238">
        <v>1.3574207319028968E-2</v>
      </c>
      <c r="F263" s="237">
        <v>6.8227091633466137E-3</v>
      </c>
      <c r="G263" s="238">
        <v>6.6121066455728291E-3</v>
      </c>
      <c r="H263" s="237">
        <v>1.323001323001323E-3</v>
      </c>
      <c r="I263" s="238">
        <v>1.3546337817638267E-3</v>
      </c>
      <c r="J263" s="237">
        <v>3.8415073544995973E-2</v>
      </c>
      <c r="K263" s="238">
        <v>1.9954059484748137E-2</v>
      </c>
      <c r="L263" s="237">
        <v>1.814705928758132E-2</v>
      </c>
      <c r="M263" s="239">
        <v>1.2473415620478181E-2</v>
      </c>
    </row>
    <row r="264" spans="3:13" ht="24" customHeight="1" thickBot="1" x14ac:dyDescent="0.25">
      <c r="C264" s="240" t="s">
        <v>53</v>
      </c>
      <c r="D264" s="241">
        <v>1.6147450986666454E-2</v>
      </c>
      <c r="E264" s="242">
        <v>9.845169100136256E-3</v>
      </c>
      <c r="F264" s="241">
        <v>8.8645418326693225E-3</v>
      </c>
      <c r="G264" s="242">
        <v>5.6233330290952977E-3</v>
      </c>
      <c r="H264" s="241">
        <v>2.7027027027027029E-2</v>
      </c>
      <c r="I264" s="242">
        <v>1.8544469357249627E-2</v>
      </c>
      <c r="J264" s="241">
        <v>1.3426730532830316E-2</v>
      </c>
      <c r="K264" s="242">
        <v>9.0734680546873826E-3</v>
      </c>
      <c r="L264" s="241">
        <v>1.705576388048869E-2</v>
      </c>
      <c r="M264" s="243">
        <v>1.0167923632777805E-2</v>
      </c>
    </row>
    <row r="265" spans="3:13" ht="24" customHeight="1" thickBot="1" x14ac:dyDescent="0.25">
      <c r="C265" s="244" t="s">
        <v>54</v>
      </c>
      <c r="D265" s="237">
        <v>5.9457978428733424E-3</v>
      </c>
      <c r="E265" s="238">
        <v>6.0255292489145504E-3</v>
      </c>
      <c r="F265" s="237">
        <v>2.0418326693227092E-3</v>
      </c>
      <c r="G265" s="238">
        <v>2.6265883760787775E-3</v>
      </c>
      <c r="H265" s="237">
        <v>1.0773010773010773E-2</v>
      </c>
      <c r="I265" s="238">
        <v>1.0159753363228699E-2</v>
      </c>
      <c r="J265" s="237">
        <v>7.2273324572930354E-3</v>
      </c>
      <c r="K265" s="238">
        <v>7.1960496347902069E-3</v>
      </c>
      <c r="L265" s="237">
        <v>5.7667730789256397E-3</v>
      </c>
      <c r="M265" s="239">
        <v>5.8635502926687889E-3</v>
      </c>
    </row>
    <row r="266" spans="3:13" ht="24" customHeight="1" thickBot="1" x14ac:dyDescent="0.25">
      <c r="C266" s="240" t="s">
        <v>55</v>
      </c>
      <c r="D266" s="241">
        <v>1.767339910443045E-2</v>
      </c>
      <c r="E266" s="242">
        <v>1.5644090128421044E-2</v>
      </c>
      <c r="F266" s="241">
        <v>6.1752988047808766E-3</v>
      </c>
      <c r="G266" s="242">
        <v>7.6059508959810153E-3</v>
      </c>
      <c r="H266" s="241">
        <v>1.0773010773010773E-2</v>
      </c>
      <c r="I266" s="242">
        <v>5.3484678624813155E-3</v>
      </c>
      <c r="J266" s="241">
        <v>1.0809206900936797E-2</v>
      </c>
      <c r="K266" s="242">
        <v>8.4299980317387533E-3</v>
      </c>
      <c r="L266" s="241">
        <v>2.0079835490504416E-2</v>
      </c>
      <c r="M266" s="243">
        <v>1.8035580033075451E-2</v>
      </c>
    </row>
    <row r="267" spans="3:13" ht="24" customHeight="1" thickBot="1" x14ac:dyDescent="0.25">
      <c r="C267" s="244" t="s">
        <v>56</v>
      </c>
      <c r="D267" s="237">
        <v>2.8423033616857028E-2</v>
      </c>
      <c r="E267" s="238">
        <v>2.6802462198291358E-2</v>
      </c>
      <c r="F267" s="237">
        <v>9.6115537848605586E-3</v>
      </c>
      <c r="G267" s="238">
        <v>1.0384658289979413E-2</v>
      </c>
      <c r="H267" s="237">
        <v>3.9690039690039687E-3</v>
      </c>
      <c r="I267" s="238">
        <v>7.5672645739910315E-3</v>
      </c>
      <c r="J267" s="237">
        <v>2.1703191895214278E-2</v>
      </c>
      <c r="K267" s="238">
        <v>2.09122350147187E-2</v>
      </c>
      <c r="L267" s="237">
        <v>3.1424048469293843E-2</v>
      </c>
      <c r="M267" s="239">
        <v>2.9417021812528085E-2</v>
      </c>
    </row>
    <row r="268" spans="3:13" ht="24" customHeight="1" thickBot="1" x14ac:dyDescent="0.25">
      <c r="C268" s="240" t="s">
        <v>57</v>
      </c>
      <c r="D268" s="241">
        <v>2.8017047420387707E-2</v>
      </c>
      <c r="E268" s="242">
        <v>2.9738996483823547E-2</v>
      </c>
      <c r="F268" s="241">
        <v>2.5348605577689243E-2</v>
      </c>
      <c r="G268" s="242">
        <v>2.6549839260904397E-2</v>
      </c>
      <c r="H268" s="241">
        <v>8.1270081270081278E-3</v>
      </c>
      <c r="I268" s="242">
        <v>1.2331838565022421E-2</v>
      </c>
      <c r="J268" s="241">
        <v>4.2325463100334873E-2</v>
      </c>
      <c r="K268" s="242">
        <v>3.8381094309994659E-2</v>
      </c>
      <c r="L268" s="241">
        <v>2.4884164909198963E-2</v>
      </c>
      <c r="M268" s="243">
        <v>2.7919441974143512E-2</v>
      </c>
    </row>
    <row r="269" spans="3:13" ht="24" customHeight="1" thickBot="1" x14ac:dyDescent="0.25">
      <c r="C269" s="244" t="s">
        <v>58</v>
      </c>
      <c r="D269" s="237">
        <v>3.8738682884781918E-3</v>
      </c>
      <c r="E269" s="238">
        <v>3.6042787297776114E-3</v>
      </c>
      <c r="F269" s="237">
        <v>1.150398406374502E-2</v>
      </c>
      <c r="G269" s="238">
        <v>1.0607766182928189E-2</v>
      </c>
      <c r="H269" s="237">
        <v>2.8917028917028915E-2</v>
      </c>
      <c r="I269" s="238">
        <v>1.4573991031390135E-2</v>
      </c>
      <c r="J269" s="237">
        <v>2.4585647068797421E-3</v>
      </c>
      <c r="K269" s="238">
        <v>2.8929114477102202E-3</v>
      </c>
      <c r="L269" s="237">
        <v>3.4737379102876284E-3</v>
      </c>
      <c r="M269" s="239">
        <v>3.2761965101934976E-3</v>
      </c>
    </row>
    <row r="270" spans="3:13" ht="24" customHeight="1" thickBot="1" x14ac:dyDescent="0.25">
      <c r="C270" s="240" t="s">
        <v>59</v>
      </c>
      <c r="D270" s="241">
        <v>4.1238597887671823E-3</v>
      </c>
      <c r="E270" s="242">
        <v>3.4205761097450284E-3</v>
      </c>
      <c r="F270" s="241">
        <v>3.1772908366533861E-2</v>
      </c>
      <c r="G270" s="242">
        <v>1.888811139168619E-2</v>
      </c>
      <c r="H270" s="241">
        <v>2.286902286902287E-2</v>
      </c>
      <c r="I270" s="242">
        <v>1.2004857997010463E-2</v>
      </c>
      <c r="J270" s="241">
        <v>5.8814802255097286E-3</v>
      </c>
      <c r="K270" s="242">
        <v>4.1073935246367906E-3</v>
      </c>
      <c r="L270" s="241">
        <v>1.9669613602537064E-3</v>
      </c>
      <c r="M270" s="243">
        <v>2.3060419619340836E-3</v>
      </c>
    </row>
    <row r="271" spans="3:13" ht="24" customHeight="1" thickBot="1" x14ac:dyDescent="0.25">
      <c r="C271" s="244" t="s">
        <v>60</v>
      </c>
      <c r="D271" s="237">
        <v>1.3061555907099159E-2</v>
      </c>
      <c r="E271" s="238">
        <v>1.145100492831224E-2</v>
      </c>
      <c r="F271" s="237">
        <v>4.4671314741035854E-2</v>
      </c>
      <c r="G271" s="238">
        <v>2.4252842090318132E-2</v>
      </c>
      <c r="H271" s="237">
        <v>3.9312039312039311E-2</v>
      </c>
      <c r="I271" s="238">
        <v>1.9081651718983558E-2</v>
      </c>
      <c r="J271" s="237">
        <v>1.3077020897800008E-2</v>
      </c>
      <c r="K271" s="238">
        <v>1.228973670720708E-2</v>
      </c>
      <c r="L271" s="237">
        <v>1.102339842537906E-2</v>
      </c>
      <c r="M271" s="239">
        <v>1.045363524718867E-2</v>
      </c>
    </row>
    <row r="272" spans="3:13" ht="30.75" customHeight="1" thickBot="1" x14ac:dyDescent="0.25">
      <c r="C272" s="246" t="s">
        <v>61</v>
      </c>
      <c r="D272" s="247">
        <v>0.80852051030264971</v>
      </c>
      <c r="E272" s="248">
        <v>0.77854690810994998</v>
      </c>
      <c r="F272" s="247">
        <v>0.34327689243027892</v>
      </c>
      <c r="G272" s="248">
        <v>0.29874653929234229</v>
      </c>
      <c r="H272" s="247">
        <v>0.53487053487053493</v>
      </c>
      <c r="I272" s="248">
        <v>0.4810818385650224</v>
      </c>
      <c r="J272" s="247">
        <v>0.58368657538891955</v>
      </c>
      <c r="K272" s="248">
        <v>0.53372539943807218</v>
      </c>
      <c r="L272" s="247">
        <v>0.89268490225674635</v>
      </c>
      <c r="M272" s="249">
        <v>0.87032102545995715</v>
      </c>
    </row>
    <row r="273" spans="3:18" ht="24" customHeight="1" thickBot="1" x14ac:dyDescent="0.25">
      <c r="C273" s="250" t="s">
        <v>8</v>
      </c>
      <c r="D273" s="251">
        <v>1</v>
      </c>
      <c r="E273" s="252">
        <v>1</v>
      </c>
      <c r="F273" s="251">
        <v>1</v>
      </c>
      <c r="G273" s="252">
        <v>1</v>
      </c>
      <c r="H273" s="251">
        <v>1</v>
      </c>
      <c r="I273" s="252">
        <v>1</v>
      </c>
      <c r="J273" s="251">
        <v>1</v>
      </c>
      <c r="K273" s="252">
        <v>1</v>
      </c>
      <c r="L273" s="251">
        <v>1</v>
      </c>
      <c r="M273" s="253">
        <v>1</v>
      </c>
    </row>
    <row r="274" spans="3:18" ht="18" customHeight="1" x14ac:dyDescent="0.2">
      <c r="C274" s="254"/>
      <c r="D274" s="255"/>
      <c r="E274" s="256"/>
      <c r="F274" s="255"/>
      <c r="G274" s="256"/>
      <c r="H274" s="255"/>
      <c r="I274" s="256"/>
      <c r="J274" s="255"/>
      <c r="K274" s="256"/>
      <c r="L274" s="255"/>
      <c r="M274" s="256"/>
      <c r="N274" s="257"/>
    </row>
    <row r="275" spans="3:18" ht="5.25" customHeight="1" thickBot="1" x14ac:dyDescent="0.25"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</row>
    <row r="276" spans="3:18" ht="20.100000000000001" customHeight="1" thickBot="1" x14ac:dyDescent="0.25">
      <c r="C276" s="27" t="s">
        <v>71</v>
      </c>
      <c r="D276" s="28"/>
      <c r="E276" s="28"/>
      <c r="F276" s="28"/>
      <c r="G276" s="28"/>
      <c r="H276" s="28"/>
      <c r="I276" s="28"/>
      <c r="J276" s="28"/>
      <c r="K276" s="28"/>
      <c r="L276" s="28"/>
      <c r="M276" s="29"/>
    </row>
    <row r="277" spans="3:18" ht="5.25" customHeight="1" x14ac:dyDescent="0.2"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151"/>
    </row>
    <row r="278" spans="3:18" ht="45.75" customHeight="1" x14ac:dyDescent="0.2">
      <c r="C278" s="258" t="s">
        <v>7</v>
      </c>
      <c r="D278" s="259" t="s">
        <v>72</v>
      </c>
      <c r="E278" s="260" t="s">
        <v>73</v>
      </c>
      <c r="F278" s="261">
        <v>1084.4926657529477</v>
      </c>
      <c r="G278" s="262" t="s">
        <v>96</v>
      </c>
      <c r="H278" s="263"/>
      <c r="I278" s="263"/>
      <c r="J278" s="263"/>
      <c r="K278" s="263"/>
      <c r="L278" s="264"/>
      <c r="M278" s="265" t="s">
        <v>97</v>
      </c>
      <c r="O278" s="145"/>
      <c r="R278" s="145"/>
    </row>
    <row r="279" spans="3:18" ht="45.75" customHeight="1" x14ac:dyDescent="0.2">
      <c r="C279" s="258"/>
      <c r="D279" s="266"/>
      <c r="E279" s="267" t="s">
        <v>74</v>
      </c>
      <c r="F279" s="268">
        <v>709.89704057318124</v>
      </c>
      <c r="G279" s="262" t="str">
        <f>CONCATENATE("El gasto medio por turista en origen se situó en ",FIXED(F279,0),"€.")</f>
        <v>El gasto medio por turista en origen se situó en 710€.</v>
      </c>
      <c r="H279" s="263"/>
      <c r="I279" s="263"/>
      <c r="J279" s="263"/>
      <c r="K279" s="263"/>
      <c r="L279" s="264"/>
      <c r="M279" s="265"/>
      <c r="O279" s="145"/>
      <c r="R279" s="145"/>
    </row>
    <row r="280" spans="3:18" ht="45.75" customHeight="1" thickBot="1" x14ac:dyDescent="0.25">
      <c r="C280" s="258"/>
      <c r="D280" s="269"/>
      <c r="E280" s="270" t="s">
        <v>75</v>
      </c>
      <c r="F280" s="271">
        <v>378.79519675076665</v>
      </c>
      <c r="G280" s="262" t="str">
        <f>CONCATENATE("El gasto medio por turista en destino ascendió a ",FIXED(F280,0),"€. ")</f>
        <v xml:space="preserve">El gasto medio por turista en destino ascendió a 379€. </v>
      </c>
      <c r="H280" s="263"/>
      <c r="I280" s="263"/>
      <c r="J280" s="263"/>
      <c r="K280" s="263"/>
      <c r="L280" s="264"/>
      <c r="M280" s="265"/>
      <c r="O280" s="145"/>
      <c r="R280" s="145"/>
    </row>
    <row r="281" spans="3:18" ht="45.75" customHeight="1" thickTop="1" x14ac:dyDescent="0.2">
      <c r="C281" s="258"/>
      <c r="D281" s="272" t="s">
        <v>76</v>
      </c>
      <c r="E281" s="273" t="s">
        <v>73</v>
      </c>
      <c r="F281" s="274">
        <v>120.83351847513541</v>
      </c>
      <c r="G281" s="275" t="str">
        <f>CONCATENATE("El gasto total diario por turista se situó en ",FIXED(F281,0),"€.")</f>
        <v>El gasto total diario por turista se situó en 121€.</v>
      </c>
      <c r="H281" s="276"/>
      <c r="I281" s="276"/>
      <c r="J281" s="276"/>
      <c r="K281" s="276"/>
      <c r="L281" s="277"/>
      <c r="M281" s="265"/>
      <c r="O281" s="145"/>
      <c r="R281" s="145"/>
    </row>
    <row r="282" spans="3:18" ht="45.75" customHeight="1" x14ac:dyDescent="0.2">
      <c r="C282" s="258"/>
      <c r="D282" s="278"/>
      <c r="E282" s="279" t="s">
        <v>74</v>
      </c>
      <c r="F282" s="280">
        <v>79.009876988592808</v>
      </c>
      <c r="G282" s="275" t="str">
        <f>CONCATENATE("La media del gasto diario por turista en origen fue de ",FIXED(F282,0),"€.")</f>
        <v>La media del gasto diario por turista en origen fue de 79€.</v>
      </c>
      <c r="H282" s="276"/>
      <c r="I282" s="276"/>
      <c r="J282" s="276"/>
      <c r="K282" s="276"/>
      <c r="L282" s="277"/>
      <c r="M282" s="265"/>
      <c r="O282" s="145"/>
      <c r="R282" s="145"/>
    </row>
    <row r="283" spans="3:18" ht="45.75" customHeight="1" x14ac:dyDescent="0.2">
      <c r="C283" s="258"/>
      <c r="D283" s="281"/>
      <c r="E283" s="282" t="s">
        <v>75</v>
      </c>
      <c r="F283" s="283">
        <v>41.759159233623578</v>
      </c>
      <c r="G283" s="275" t="str">
        <f>CONCATENATE("El gasto medio en Tenerife, por turista y día  fue de ",FIXED(F283,1),"€.")</f>
        <v>El gasto medio en Tenerife, por turista y día  fue de 41,8€.</v>
      </c>
      <c r="H283" s="276"/>
      <c r="I283" s="276"/>
      <c r="J283" s="276"/>
      <c r="K283" s="276"/>
      <c r="L283" s="277"/>
      <c r="M283" s="265"/>
      <c r="O283" s="145"/>
      <c r="R283" s="145"/>
    </row>
    <row r="284" spans="3:18" ht="5.25" customHeight="1" thickBot="1" x14ac:dyDescent="0.25">
      <c r="C284" s="284"/>
      <c r="D284" s="284"/>
      <c r="E284" s="284"/>
      <c r="F284" s="284"/>
      <c r="G284" s="284"/>
      <c r="H284" s="284"/>
      <c r="I284" s="284"/>
      <c r="J284" s="284"/>
      <c r="K284" s="284"/>
      <c r="L284" s="284"/>
      <c r="M284" s="285"/>
      <c r="N284" s="257"/>
      <c r="O284" s="145"/>
      <c r="R284" s="145"/>
    </row>
    <row r="285" spans="3:18" ht="19.5" customHeight="1" thickBot="1" x14ac:dyDescent="0.25">
      <c r="C285" s="27" t="s">
        <v>77</v>
      </c>
      <c r="D285" s="28"/>
      <c r="E285" s="28"/>
      <c r="F285" s="28"/>
      <c r="G285" s="28"/>
      <c r="H285" s="28"/>
      <c r="I285" s="28"/>
      <c r="J285" s="28"/>
      <c r="K285" s="28"/>
      <c r="L285" s="28"/>
      <c r="M285" s="29"/>
      <c r="N285" s="257"/>
      <c r="O285" s="145"/>
      <c r="P285" s="145"/>
      <c r="Q285" s="145"/>
    </row>
    <row r="286" spans="3:18" ht="5.25" customHeight="1" x14ac:dyDescent="0.2"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151"/>
      <c r="N286" s="257"/>
      <c r="O286" s="145"/>
      <c r="P286" s="145"/>
      <c r="Q286" s="145"/>
    </row>
    <row r="287" spans="3:18" s="145" customFormat="1" ht="47.25" customHeight="1" thickBot="1" x14ac:dyDescent="0.25">
      <c r="C287" s="258" t="s">
        <v>7</v>
      </c>
      <c r="D287" s="286"/>
      <c r="E287" s="287" t="s">
        <v>8</v>
      </c>
      <c r="F287" s="288">
        <v>138165</v>
      </c>
      <c r="G287" s="289">
        <v>1.1656769639679876E-2</v>
      </c>
      <c r="H287" s="290" t="s">
        <v>98</v>
      </c>
      <c r="I287" s="290"/>
      <c r="J287" s="290"/>
      <c r="K287" s="290"/>
      <c r="L287" s="291"/>
      <c r="M287" s="265" t="s">
        <v>78</v>
      </c>
      <c r="Q287" s="292"/>
    </row>
    <row r="288" spans="3:18" s="145" customFormat="1" ht="47.25" customHeight="1" thickTop="1" thickBot="1" x14ac:dyDescent="0.25">
      <c r="C288" s="258"/>
      <c r="D288" s="286"/>
      <c r="E288" s="293" t="s">
        <v>79</v>
      </c>
      <c r="F288" s="294">
        <v>84115</v>
      </c>
      <c r="G288" s="295">
        <v>-5.3331125984438232E-3</v>
      </c>
      <c r="H288" s="296" t="s">
        <v>99</v>
      </c>
      <c r="I288" s="297"/>
      <c r="J288" s="297"/>
      <c r="K288" s="297"/>
      <c r="L288" s="298"/>
      <c r="M288" s="265"/>
      <c r="O288" s="299"/>
      <c r="Q288" s="292"/>
    </row>
    <row r="289" spans="3:20" s="145" customFormat="1" ht="47.25" customHeight="1" thickTop="1" thickBot="1" x14ac:dyDescent="0.25">
      <c r="C289" s="258"/>
      <c r="D289" s="286"/>
      <c r="E289" s="300" t="s">
        <v>80</v>
      </c>
      <c r="F289" s="301">
        <v>52575</v>
      </c>
      <c r="G289" s="295">
        <v>4.0141653147627965E-2</v>
      </c>
      <c r="H289" s="302" t="s">
        <v>100</v>
      </c>
      <c r="I289" s="297"/>
      <c r="J289" s="297"/>
      <c r="K289" s="297"/>
      <c r="L289" s="298"/>
      <c r="M289" s="265"/>
      <c r="O289" s="299"/>
      <c r="Q289" s="292"/>
    </row>
    <row r="290" spans="3:20" s="145" customFormat="1" ht="47.25" customHeight="1" thickTop="1" thickBot="1" x14ac:dyDescent="0.25">
      <c r="C290" s="258"/>
      <c r="D290" s="286"/>
      <c r="E290" s="293" t="s">
        <v>81</v>
      </c>
      <c r="F290" s="294">
        <v>557</v>
      </c>
      <c r="G290" s="295">
        <v>0</v>
      </c>
      <c r="H290" s="296" t="s">
        <v>101</v>
      </c>
      <c r="I290" s="297"/>
      <c r="J290" s="297"/>
      <c r="K290" s="297"/>
      <c r="L290" s="298"/>
      <c r="M290" s="265"/>
      <c r="O290" s="299"/>
      <c r="Q290" s="292"/>
    </row>
    <row r="291" spans="3:20" s="145" customFormat="1" ht="47.25" customHeight="1" thickTop="1" x14ac:dyDescent="0.2">
      <c r="C291" s="258"/>
      <c r="D291" s="286"/>
      <c r="E291" s="303" t="s">
        <v>82</v>
      </c>
      <c r="F291" s="304">
        <v>918</v>
      </c>
      <c r="G291" s="305">
        <v>1.5486725663716783E-2</v>
      </c>
      <c r="H291" s="306" t="s">
        <v>102</v>
      </c>
      <c r="I291" s="307"/>
      <c r="J291" s="307"/>
      <c r="K291" s="307"/>
      <c r="L291" s="308"/>
      <c r="M291" s="265"/>
      <c r="O291" s="299"/>
      <c r="Q291" s="292"/>
    </row>
    <row r="292" spans="3:20" ht="5.25" customHeight="1" x14ac:dyDescent="0.2">
      <c r="C292" s="96" t="s">
        <v>83</v>
      </c>
      <c r="D292" s="96"/>
      <c r="E292" s="96"/>
      <c r="F292" s="96"/>
      <c r="G292" s="96"/>
      <c r="H292" s="96"/>
      <c r="I292" s="96"/>
      <c r="J292" s="96"/>
      <c r="K292" s="96"/>
      <c r="L292" s="96"/>
      <c r="M292" s="96"/>
      <c r="N292" s="309"/>
      <c r="P292" s="145"/>
      <c r="Q292" s="145"/>
      <c r="R292" s="145"/>
    </row>
    <row r="293" spans="3:20" s="1" customFormat="1" ht="18.75" customHeight="1" thickBot="1" x14ac:dyDescent="0.25"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309"/>
      <c r="P293" s="310"/>
      <c r="Q293" s="310"/>
      <c r="R293" s="310"/>
    </row>
    <row r="294" spans="3:20" ht="50.25" customHeight="1" thickBot="1" x14ac:dyDescent="0.25">
      <c r="C294" s="2"/>
      <c r="D294" s="2"/>
      <c r="E294" s="3" t="str">
        <f>E242</f>
        <v>INDICADORES TURÍSTICOS DE TENERIFE definitivo</v>
      </c>
      <c r="F294" s="3"/>
      <c r="G294" s="3"/>
      <c r="H294" s="3"/>
      <c r="I294" s="3"/>
      <c r="J294" s="3"/>
      <c r="K294" s="3"/>
      <c r="L294" s="2"/>
      <c r="M294" s="2"/>
      <c r="O294" s="145"/>
      <c r="P294" s="145"/>
      <c r="Q294" s="145"/>
      <c r="R294" s="145"/>
      <c r="S294" s="145"/>
      <c r="T294" s="145"/>
    </row>
    <row r="295" spans="3:20" ht="5.25" customHeight="1" thickBot="1" x14ac:dyDescent="0.25">
      <c r="C295" s="4"/>
      <c r="O295" s="145"/>
      <c r="P295" s="145"/>
      <c r="Q295" s="145"/>
      <c r="R295" s="145"/>
      <c r="S295" s="145"/>
      <c r="T295" s="145"/>
    </row>
    <row r="296" spans="3:20" ht="18" customHeight="1" thickBot="1" x14ac:dyDescent="0.25">
      <c r="C296" s="222" t="s">
        <v>84</v>
      </c>
      <c r="D296" s="223"/>
      <c r="E296" s="223"/>
      <c r="F296" s="223"/>
      <c r="G296" s="223"/>
      <c r="H296" s="223"/>
      <c r="I296" s="223"/>
      <c r="J296" s="223"/>
      <c r="K296" s="223"/>
      <c r="L296" s="223"/>
      <c r="M296" s="224"/>
      <c r="O296" s="145"/>
      <c r="P296" s="145"/>
      <c r="Q296" s="145"/>
      <c r="R296" s="145"/>
      <c r="S296" s="145"/>
      <c r="T296" s="145"/>
    </row>
    <row r="297" spans="3:20" ht="5.25" customHeight="1" x14ac:dyDescent="0.2"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151"/>
      <c r="N297" s="257"/>
      <c r="O297" s="145"/>
      <c r="P297" s="145"/>
      <c r="Q297" s="145"/>
      <c r="R297" s="145"/>
      <c r="S297" s="145"/>
      <c r="T297" s="145"/>
    </row>
    <row r="298" spans="3:20" ht="27.75" customHeight="1" x14ac:dyDescent="0.2">
      <c r="C298" s="311" t="s">
        <v>7</v>
      </c>
      <c r="D298" s="312"/>
      <c r="E298" s="313" t="s">
        <v>8</v>
      </c>
      <c r="F298" s="35">
        <v>160825</v>
      </c>
      <c r="G298" s="314">
        <v>1.5982816892510909E-2</v>
      </c>
      <c r="H298" s="315" t="s">
        <v>103</v>
      </c>
      <c r="I298" s="315"/>
      <c r="J298" s="315"/>
      <c r="K298" s="315"/>
      <c r="L298" s="316"/>
      <c r="M298" s="265" t="s">
        <v>9</v>
      </c>
      <c r="O298" s="145"/>
      <c r="P298" s="145"/>
      <c r="Q298" s="145"/>
      <c r="R298" s="145"/>
      <c r="S298" s="145"/>
      <c r="T298" s="145"/>
    </row>
    <row r="299" spans="3:20" ht="34.5" customHeight="1" x14ac:dyDescent="0.2">
      <c r="C299" s="317"/>
      <c r="D299" s="318"/>
      <c r="E299" s="319" t="s">
        <v>85</v>
      </c>
      <c r="F299" s="46">
        <v>93428</v>
      </c>
      <c r="G299" s="140">
        <v>9.4431358990427761E-3</v>
      </c>
      <c r="H299" s="320" t="str">
        <f>CONCATENATE("La oferta hotelera estimada por el STDE del Cabildo de Tenerife se sitúa en ",FIXED(F299,0)," plazas, un ",FIXED(F299/F298*100,1),"% del total de plazas. ",IF(G299&gt;0,"Aumentan un ","Disminuyen un"),FIXED(G299*100,1),"% respecto al mismo periodo del año anterior.")</f>
        <v>La oferta hotelera estimada por el STDE del Cabildo de Tenerife se sitúa en 93.428 plazas, un 58,1% del total de plazas. Aumentan un 0,9% respecto al mismo periodo del año anterior.</v>
      </c>
      <c r="I299" s="320"/>
      <c r="J299" s="320"/>
      <c r="K299" s="320"/>
      <c r="L299" s="321"/>
      <c r="M299" s="265"/>
      <c r="O299" s="145"/>
      <c r="P299" s="145"/>
      <c r="Q299" s="145"/>
      <c r="R299" s="145"/>
      <c r="S299" s="145"/>
      <c r="T299" s="145"/>
    </row>
    <row r="300" spans="3:20" ht="41.25" customHeight="1" thickBot="1" x14ac:dyDescent="0.25">
      <c r="C300" s="322"/>
      <c r="D300" s="323"/>
      <c r="E300" s="324" t="s">
        <v>86</v>
      </c>
      <c r="F300" s="325">
        <v>67397</v>
      </c>
      <c r="G300" s="326">
        <v>2.5189759815031687E-2</v>
      </c>
      <c r="H300" s="327" t="s">
        <v>104</v>
      </c>
      <c r="I300" s="327"/>
      <c r="J300" s="327"/>
      <c r="K300" s="327"/>
      <c r="L300" s="328"/>
      <c r="M300" s="265"/>
      <c r="Q300" s="329"/>
    </row>
    <row r="301" spans="3:20" ht="34.5" hidden="1" customHeight="1" x14ac:dyDescent="0.2">
      <c r="C301" s="330" t="s">
        <v>12</v>
      </c>
      <c r="D301" s="331"/>
      <c r="E301" s="332" t="s">
        <v>8</v>
      </c>
      <c r="F301" s="333">
        <v>2943</v>
      </c>
      <c r="G301" s="334">
        <v>4.7330960854092607E-2</v>
      </c>
      <c r="H301" s="335" t="str">
        <f>CONCATENATE("Las plazas estimadas por el STDE  del Cabildo de Tenerife en la zona de Santa Cruz, ascienden a ",FIXED(F302,0),", todas ellas pertenecientes a la tipología hotelera. Se registra un ",IF(G302&gt;0,"incremento ","descenso "),"con respecto al año anterior del ",FIXED(G302*100,1),"%.")</f>
        <v>Las plazas estimadas por el STDE  del Cabildo de Tenerife en la zona de Santa Cruz, ascienden a 2.537, todas ellas pertenecientes a la tipología hotelera. Se registra un descenso con respecto al año anterior del 0,0%.</v>
      </c>
      <c r="I301" s="335"/>
      <c r="J301" s="335"/>
      <c r="K301" s="335"/>
      <c r="L301" s="336"/>
      <c r="M301" s="265"/>
      <c r="Q301" s="329"/>
    </row>
    <row r="302" spans="3:20" ht="48.75" customHeight="1" thickTop="1" thickBot="1" x14ac:dyDescent="0.25">
      <c r="C302" s="337"/>
      <c r="D302" s="338"/>
      <c r="E302" s="339" t="s">
        <v>85</v>
      </c>
      <c r="F302" s="340">
        <v>2537</v>
      </c>
      <c r="G302" s="326">
        <v>0</v>
      </c>
      <c r="H302" s="341"/>
      <c r="I302" s="341"/>
      <c r="J302" s="341"/>
      <c r="K302" s="341"/>
      <c r="L302" s="342"/>
      <c r="M302" s="265"/>
    </row>
    <row r="303" spans="3:20" ht="42" customHeight="1" thickTop="1" x14ac:dyDescent="0.2">
      <c r="C303" s="343" t="s">
        <v>13</v>
      </c>
      <c r="D303" s="344"/>
      <c r="E303" s="345" t="s">
        <v>8</v>
      </c>
      <c r="F303" s="346">
        <v>1418</v>
      </c>
      <c r="G303" s="334">
        <v>0.42799597180261828</v>
      </c>
      <c r="H303" s="347" t="s">
        <v>105</v>
      </c>
      <c r="I303" s="347"/>
      <c r="J303" s="347"/>
      <c r="K303" s="347"/>
      <c r="L303" s="348"/>
      <c r="M303" s="265"/>
    </row>
    <row r="304" spans="3:20" ht="34.5" customHeight="1" x14ac:dyDescent="0.2">
      <c r="C304" s="349"/>
      <c r="D304" s="350"/>
      <c r="E304" s="351" t="s">
        <v>85</v>
      </c>
      <c r="F304" s="79">
        <v>824</v>
      </c>
      <c r="G304" s="140">
        <v>0.42560553633218001</v>
      </c>
      <c r="H304" s="352" t="str">
        <f>CONCATENATE("Las plazas hoteleras estimadas se sitúan en ",FIXED(F304,0)," plazas, registrando un ",IF(G304&gt;0,"incremento del ","descenso del "),FIXED(G304*100,1),"%.")</f>
        <v>Las plazas hoteleras estimadas se sitúan en 824 plazas, registrando un incremento del 42,6%.</v>
      </c>
      <c r="I304" s="352"/>
      <c r="J304" s="352"/>
      <c r="K304" s="352"/>
      <c r="L304" s="353"/>
      <c r="M304" s="265"/>
    </row>
    <row r="305" spans="3:18" ht="34.5" customHeight="1" thickBot="1" x14ac:dyDescent="0.25">
      <c r="C305" s="354"/>
      <c r="D305" s="355"/>
      <c r="E305" s="356" t="s">
        <v>86</v>
      </c>
      <c r="F305" s="357">
        <v>594</v>
      </c>
      <c r="G305" s="326">
        <v>0.43132530120481927</v>
      </c>
      <c r="H305" s="358" t="s">
        <v>106</v>
      </c>
      <c r="I305" s="358"/>
      <c r="J305" s="358"/>
      <c r="K305" s="358"/>
      <c r="L305" s="359"/>
      <c r="M305" s="265"/>
    </row>
    <row r="306" spans="3:18" ht="39.75" customHeight="1" thickTop="1" x14ac:dyDescent="0.2">
      <c r="C306" s="360" t="s">
        <v>14</v>
      </c>
      <c r="D306" s="361"/>
      <c r="E306" s="332" t="s">
        <v>8</v>
      </c>
      <c r="F306" s="333">
        <v>28590</v>
      </c>
      <c r="G306" s="334">
        <v>5.5799697182318475E-2</v>
      </c>
      <c r="H306" s="335" t="s">
        <v>107</v>
      </c>
      <c r="I306" s="335"/>
      <c r="J306" s="335"/>
      <c r="K306" s="335"/>
      <c r="L306" s="336"/>
      <c r="M306" s="265"/>
    </row>
    <row r="307" spans="3:18" ht="34.5" customHeight="1" x14ac:dyDescent="0.2">
      <c r="C307" s="362"/>
      <c r="D307" s="363"/>
      <c r="E307" s="364" t="s">
        <v>85</v>
      </c>
      <c r="F307" s="66">
        <v>19606</v>
      </c>
      <c r="G307" s="140">
        <v>6.369357638888884E-2</v>
      </c>
      <c r="H307" s="365" t="str">
        <f>CONCATENATE("La oferta hotelera asciende a ",FIXED(F307,0),", cifra que se ",IF(G307&gt;0,"incrementa un ","reduce un "),FIXED(G307*100,1),"% respecto al año anterior.")</f>
        <v>La oferta hotelera asciende a 19.606, cifra que se incrementa un 6,4% respecto al año anterior.</v>
      </c>
      <c r="I307" s="365"/>
      <c r="J307" s="365"/>
      <c r="K307" s="365"/>
      <c r="L307" s="366"/>
      <c r="M307" s="265"/>
    </row>
    <row r="308" spans="3:18" ht="34.5" customHeight="1" thickBot="1" x14ac:dyDescent="0.25">
      <c r="C308" s="367"/>
      <c r="D308" s="368"/>
      <c r="E308" s="339" t="s">
        <v>86</v>
      </c>
      <c r="F308" s="340">
        <v>8984</v>
      </c>
      <c r="G308" s="326">
        <v>3.8973054238464311E-2</v>
      </c>
      <c r="H308" s="341" t="str">
        <f>CONCATENATE("Las plazas extrahoteras estimadas ascienden a ",FIXED(F308,0),", las cuales ",IF(G308&gt;0,"se incrementan un ","descienden un "),FIXED(G308*100,1),"%.")</f>
        <v>Las plazas extrahoteras estimadas ascienden a 8.984, las cuales se incrementan un 3,9%.</v>
      </c>
      <c r="I308" s="341"/>
      <c r="J308" s="341"/>
      <c r="K308" s="341"/>
      <c r="L308" s="342"/>
      <c r="M308" s="265"/>
    </row>
    <row r="309" spans="3:18" ht="34.5" customHeight="1" thickTop="1" x14ac:dyDescent="0.2">
      <c r="C309" s="369" t="s">
        <v>15</v>
      </c>
      <c r="D309" s="370"/>
      <c r="E309" s="371" t="s">
        <v>8</v>
      </c>
      <c r="F309" s="372">
        <v>127874</v>
      </c>
      <c r="G309" s="334">
        <v>3.6181551333065443E-3</v>
      </c>
      <c r="H309" s="347" t="str">
        <f>CONCATENATE("Las plazas estimadas para la zona Sur por el STDE del Cabildo ascienden a ",FIXED(F309,0)," experimentando un ",IF(G309&gt;0,"incremento interanual del ","descenso interanual del "),FIXED(G309*100,1),"%.")</f>
        <v>Las plazas estimadas para la zona Sur por el STDE del Cabildo ascienden a 127.874 experimentando un incremento interanual del 0,4%.</v>
      </c>
      <c r="I309" s="347"/>
      <c r="J309" s="347"/>
      <c r="K309" s="347"/>
      <c r="L309" s="348"/>
      <c r="M309" s="265"/>
    </row>
    <row r="310" spans="3:18" ht="34.5" customHeight="1" x14ac:dyDescent="0.2">
      <c r="C310" s="373"/>
      <c r="D310" s="374"/>
      <c r="E310" s="375" t="s">
        <v>85</v>
      </c>
      <c r="F310" s="91">
        <v>70461</v>
      </c>
      <c r="G310" s="140">
        <v>-7.6893827369132195E-3</v>
      </c>
      <c r="H310" s="352" t="str">
        <f>CONCATENATE("Las plazas hoteleras, con un oferta de ",FIXED(F310,0)," plazas, se ",IF(G310&gt;0,"incrementan un ","reducen un "),FIXED(G310*100,1),"% respecto al mismo período del año anterior.")</f>
        <v>Las plazas hoteleras, con un oferta de 70.461 plazas, se reducen un -0,8% respecto al mismo período del año anterior.</v>
      </c>
      <c r="I310" s="352"/>
      <c r="J310" s="352"/>
      <c r="K310" s="352"/>
      <c r="L310" s="353"/>
      <c r="M310" s="265"/>
    </row>
    <row r="311" spans="3:18" ht="34.5" customHeight="1" x14ac:dyDescent="0.2">
      <c r="C311" s="373"/>
      <c r="D311" s="374"/>
      <c r="E311" s="376" t="s">
        <v>86</v>
      </c>
      <c r="F311" s="377">
        <v>57413</v>
      </c>
      <c r="G311" s="378">
        <v>1.785271070453498E-2</v>
      </c>
      <c r="H311" s="379" t="s">
        <v>108</v>
      </c>
      <c r="I311" s="379"/>
      <c r="J311" s="379"/>
      <c r="K311" s="379"/>
      <c r="L311" s="380"/>
      <c r="M311" s="265"/>
    </row>
    <row r="312" spans="3:18" ht="5.25" customHeight="1" thickBot="1" x14ac:dyDescent="0.25">
      <c r="C312" s="284"/>
      <c r="D312" s="284"/>
      <c r="E312" s="284"/>
      <c r="F312" s="284"/>
      <c r="G312" s="284"/>
      <c r="H312" s="284"/>
      <c r="I312" s="284"/>
      <c r="J312" s="284"/>
      <c r="K312" s="284"/>
      <c r="L312" s="284"/>
      <c r="M312" s="285"/>
      <c r="N312" s="257"/>
      <c r="O312" s="145"/>
      <c r="R312" s="145"/>
    </row>
    <row r="313" spans="3:18" ht="19.5" customHeight="1" thickBot="1" x14ac:dyDescent="0.25">
      <c r="C313" s="27" t="s">
        <v>87</v>
      </c>
      <c r="D313" s="28"/>
      <c r="E313" s="28"/>
      <c r="F313" s="28"/>
      <c r="G313" s="28"/>
      <c r="H313" s="28"/>
      <c r="I313" s="28"/>
      <c r="J313" s="28"/>
      <c r="K313" s="28"/>
      <c r="L313" s="28"/>
      <c r="M313" s="29"/>
      <c r="N313" s="257"/>
      <c r="O313" s="145"/>
      <c r="P313" s="145"/>
      <c r="Q313" s="145"/>
    </row>
    <row r="314" spans="3:18" ht="5.25" customHeight="1" x14ac:dyDescent="0.2"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151"/>
      <c r="O314" s="145"/>
      <c r="P314" s="145"/>
      <c r="Q314" s="145"/>
    </row>
    <row r="315" spans="3:18" ht="100.5" customHeight="1" thickBot="1" x14ac:dyDescent="0.25">
      <c r="C315" s="381" t="s">
        <v>88</v>
      </c>
      <c r="D315" s="382"/>
      <c r="E315" s="383" t="s">
        <v>89</v>
      </c>
      <c r="F315" s="384">
        <v>307376</v>
      </c>
      <c r="G315" s="289">
        <v>-0.11610064701653489</v>
      </c>
      <c r="H315" s="385" t="s">
        <v>109</v>
      </c>
      <c r="I315" s="385"/>
      <c r="J315" s="385"/>
      <c r="K315" s="385"/>
      <c r="L315" s="386"/>
      <c r="M315" s="265" t="s">
        <v>111</v>
      </c>
    </row>
    <row r="316" spans="3:18" ht="49.5" hidden="1" customHeight="1" x14ac:dyDescent="0.2">
      <c r="C316" s="381"/>
      <c r="D316" s="382"/>
      <c r="E316" s="387" t="s">
        <v>90</v>
      </c>
      <c r="F316" s="304">
        <v>137</v>
      </c>
      <c r="G316" s="305">
        <v>-0.19411764705882351</v>
      </c>
      <c r="H316" s="388" t="s">
        <v>110</v>
      </c>
      <c r="I316" s="388"/>
      <c r="J316" s="388"/>
      <c r="K316" s="388"/>
      <c r="L316" s="389"/>
      <c r="M316" s="265"/>
    </row>
    <row r="317" spans="3:18" ht="13.5" thickTop="1" x14ac:dyDescent="0.2">
      <c r="C317" s="390"/>
      <c r="D317" s="391"/>
      <c r="E317" s="391"/>
      <c r="F317" s="391"/>
      <c r="G317" s="391"/>
      <c r="H317" s="391"/>
      <c r="I317" s="391"/>
      <c r="J317" s="391"/>
      <c r="K317" s="391"/>
      <c r="L317" s="391"/>
      <c r="M317" s="391"/>
    </row>
    <row r="318" spans="3:18" ht="29.25" customHeight="1" x14ac:dyDescent="0.2"/>
    <row r="319" spans="3:18" ht="18" customHeight="1" x14ac:dyDescent="0.2">
      <c r="C319" s="392" t="s">
        <v>91</v>
      </c>
      <c r="D319" s="392"/>
      <c r="E319" s="392"/>
      <c r="F319" s="392"/>
      <c r="G319" s="392"/>
      <c r="H319" s="392"/>
      <c r="I319" s="392"/>
      <c r="J319" s="392"/>
      <c r="K319" s="392"/>
      <c r="L319" s="392"/>
      <c r="M319" s="392"/>
    </row>
    <row r="321" spans="5:6" ht="6.75" customHeight="1" x14ac:dyDescent="0.2"/>
    <row r="323" spans="5:6" ht="8.25" customHeight="1" x14ac:dyDescent="0.2"/>
    <row r="326" spans="5:6" x14ac:dyDescent="0.2">
      <c r="E326" s="393"/>
      <c r="F326" s="393"/>
    </row>
    <row r="327" spans="5:6" x14ac:dyDescent="0.2">
      <c r="E327" s="393"/>
      <c r="F327" s="393"/>
    </row>
    <row r="330" spans="5:6" ht="21.75" customHeight="1" x14ac:dyDescent="0.2"/>
    <row r="332" spans="5:6" ht="6" customHeight="1" x14ac:dyDescent="0.2"/>
  </sheetData>
  <mergeCells count="162">
    <mergeCell ref="C319:M319"/>
    <mergeCell ref="C309:D311"/>
    <mergeCell ref="H309:L309"/>
    <mergeCell ref="H310:L310"/>
    <mergeCell ref="H311:L311"/>
    <mergeCell ref="C313:M313"/>
    <mergeCell ref="C315:D316"/>
    <mergeCell ref="H315:L315"/>
    <mergeCell ref="M315:M316"/>
    <mergeCell ref="H316:L316"/>
    <mergeCell ref="H303:L303"/>
    <mergeCell ref="H304:L304"/>
    <mergeCell ref="H305:L305"/>
    <mergeCell ref="C306:D308"/>
    <mergeCell ref="H306:L306"/>
    <mergeCell ref="H307:L307"/>
    <mergeCell ref="H308:L308"/>
    <mergeCell ref="E294:K294"/>
    <mergeCell ref="C296:M296"/>
    <mergeCell ref="C298:D300"/>
    <mergeCell ref="H298:L298"/>
    <mergeCell ref="M298:M311"/>
    <mergeCell ref="H299:L299"/>
    <mergeCell ref="H300:L300"/>
    <mergeCell ref="C301:D302"/>
    <mergeCell ref="H301:L302"/>
    <mergeCell ref="C303:D305"/>
    <mergeCell ref="G283:L283"/>
    <mergeCell ref="C285:M285"/>
    <mergeCell ref="C287:D291"/>
    <mergeCell ref="H287:L287"/>
    <mergeCell ref="M287:M291"/>
    <mergeCell ref="H288:L288"/>
    <mergeCell ref="H289:L289"/>
    <mergeCell ref="H290:L290"/>
    <mergeCell ref="H291:L291"/>
    <mergeCell ref="C276:M276"/>
    <mergeCell ref="C278:C283"/>
    <mergeCell ref="D278:D280"/>
    <mergeCell ref="G278:L278"/>
    <mergeCell ref="M278:M283"/>
    <mergeCell ref="G279:L279"/>
    <mergeCell ref="G280:L280"/>
    <mergeCell ref="D281:D283"/>
    <mergeCell ref="G281:L281"/>
    <mergeCell ref="G282:L282"/>
    <mergeCell ref="E242:K242"/>
    <mergeCell ref="C244:M244"/>
    <mergeCell ref="D246:E246"/>
    <mergeCell ref="F246:G246"/>
    <mergeCell ref="H246:I246"/>
    <mergeCell ref="J246:K246"/>
    <mergeCell ref="L246:M246"/>
    <mergeCell ref="P188:Q188"/>
    <mergeCell ref="C214:Q214"/>
    <mergeCell ref="C215:Q215"/>
    <mergeCell ref="D216:E216"/>
    <mergeCell ref="F216:G216"/>
    <mergeCell ref="H216:I216"/>
    <mergeCell ref="J216:K216"/>
    <mergeCell ref="L216:M216"/>
    <mergeCell ref="N216:O216"/>
    <mergeCell ref="P216:Q216"/>
    <mergeCell ref="C183:M183"/>
    <mergeCell ref="E184:K184"/>
    <mergeCell ref="C186:Q186"/>
    <mergeCell ref="C187:Q187"/>
    <mergeCell ref="D188:E188"/>
    <mergeCell ref="F188:G188"/>
    <mergeCell ref="H188:I188"/>
    <mergeCell ref="J188:K188"/>
    <mergeCell ref="L188:M188"/>
    <mergeCell ref="N188:O188"/>
    <mergeCell ref="C151:M151"/>
    <mergeCell ref="G152:I152"/>
    <mergeCell ref="D154:E154"/>
    <mergeCell ref="F154:G154"/>
    <mergeCell ref="H154:I154"/>
    <mergeCell ref="J154:K154"/>
    <mergeCell ref="L154:M154"/>
    <mergeCell ref="C116:M116"/>
    <mergeCell ref="E117:K117"/>
    <mergeCell ref="C119:M119"/>
    <mergeCell ref="G120:I120"/>
    <mergeCell ref="D122:E122"/>
    <mergeCell ref="F122:G122"/>
    <mergeCell ref="H122:I122"/>
    <mergeCell ref="J122:K122"/>
    <mergeCell ref="L122:M122"/>
    <mergeCell ref="C100:M100"/>
    <mergeCell ref="C102:D106"/>
    <mergeCell ref="I102:I106"/>
    <mergeCell ref="M102:M106"/>
    <mergeCell ref="C108:M108"/>
    <mergeCell ref="C110:D114"/>
    <mergeCell ref="I110:I114"/>
    <mergeCell ref="M110:M114"/>
    <mergeCell ref="C86:D90"/>
    <mergeCell ref="I86:I90"/>
    <mergeCell ref="M86:M90"/>
    <mergeCell ref="C92:M92"/>
    <mergeCell ref="C94:D98"/>
    <mergeCell ref="I94:I98"/>
    <mergeCell ref="M94:M98"/>
    <mergeCell ref="I74:I76"/>
    <mergeCell ref="C77:D79"/>
    <mergeCell ref="I77:I79"/>
    <mergeCell ref="C80:D82"/>
    <mergeCell ref="I80:I82"/>
    <mergeCell ref="C84:M84"/>
    <mergeCell ref="C62:G63"/>
    <mergeCell ref="I62:M63"/>
    <mergeCell ref="C64:D64"/>
    <mergeCell ref="C66:M66"/>
    <mergeCell ref="C68:D70"/>
    <mergeCell ref="I68:I70"/>
    <mergeCell ref="M68:M82"/>
    <mergeCell ref="C71:D73"/>
    <mergeCell ref="I71:I73"/>
    <mergeCell ref="C74:D76"/>
    <mergeCell ref="C54:D56"/>
    <mergeCell ref="I54:I56"/>
    <mergeCell ref="C57:D59"/>
    <mergeCell ref="I57:I59"/>
    <mergeCell ref="C60:M60"/>
    <mergeCell ref="E61:K61"/>
    <mergeCell ref="C39:D41"/>
    <mergeCell ref="I39:I41"/>
    <mergeCell ref="C43:M43"/>
    <mergeCell ref="C45:D47"/>
    <mergeCell ref="I45:I47"/>
    <mergeCell ref="M45:M59"/>
    <mergeCell ref="C48:D50"/>
    <mergeCell ref="I48:I50"/>
    <mergeCell ref="C51:D53"/>
    <mergeCell ref="I51:I53"/>
    <mergeCell ref="C25:M25"/>
    <mergeCell ref="C27:D29"/>
    <mergeCell ref="I27:I29"/>
    <mergeCell ref="M27:M41"/>
    <mergeCell ref="C30:D32"/>
    <mergeCell ref="I30:I32"/>
    <mergeCell ref="C33:D35"/>
    <mergeCell ref="I33:I35"/>
    <mergeCell ref="C36:D38"/>
    <mergeCell ref="I36:I38"/>
    <mergeCell ref="C15:D17"/>
    <mergeCell ref="I15:I17"/>
    <mergeCell ref="C18:D20"/>
    <mergeCell ref="I18:I20"/>
    <mergeCell ref="C21:D23"/>
    <mergeCell ref="I21:I23"/>
    <mergeCell ref="E1:K1"/>
    <mergeCell ref="C2:G3"/>
    <mergeCell ref="I2:M3"/>
    <mergeCell ref="C5:D5"/>
    <mergeCell ref="C7:M7"/>
    <mergeCell ref="C9:D11"/>
    <mergeCell ref="I9:I11"/>
    <mergeCell ref="M9:M23"/>
    <mergeCell ref="C12:D14"/>
    <mergeCell ref="I12:I14"/>
  </mergeCells>
  <conditionalFormatting sqref="D190:D212 F190:F212 H190:H212 J190:J212 L190:L212 N190:N212 D218:D240 F218:F240 H218:H240 J218:J240 L218:L240 N218:N240 P190:P212 P218:P240 G9:G10 G15:G23">
    <cfRule type="cellIs" dxfId="257" priority="256" stopIfTrue="1" operator="greaterThan">
      <formula>0</formula>
    </cfRule>
    <cfRule type="cellIs" dxfId="256" priority="257" stopIfTrue="1" operator="lessThan">
      <formula>0</formula>
    </cfRule>
    <cfRule type="cellIs" dxfId="255" priority="258" stopIfTrue="1" operator="equal">
      <formula>0</formula>
    </cfRule>
  </conditionalFormatting>
  <conditionalFormatting sqref="G9:G10 G15:G23">
    <cfRule type="cellIs" dxfId="254" priority="253" operator="equal">
      <formula>0</formula>
    </cfRule>
    <cfRule type="cellIs" dxfId="253" priority="254" operator="lessThan">
      <formula>0</formula>
    </cfRule>
    <cfRule type="cellIs" dxfId="252" priority="255" operator="greaterThan">
      <formula>0</formula>
    </cfRule>
  </conditionalFormatting>
  <conditionalFormatting sqref="G10 G15:G23">
    <cfRule type="cellIs" dxfId="251" priority="250" stopIfTrue="1" operator="greaterThan">
      <formula>0</formula>
    </cfRule>
    <cfRule type="cellIs" dxfId="250" priority="251" stopIfTrue="1" operator="lessThan">
      <formula>0</formula>
    </cfRule>
    <cfRule type="cellIs" dxfId="249" priority="252" stopIfTrue="1" operator="equal">
      <formula>0</formula>
    </cfRule>
  </conditionalFormatting>
  <conditionalFormatting sqref="G10 G15:G23">
    <cfRule type="cellIs" dxfId="248" priority="247" operator="equal">
      <formula>0</formula>
    </cfRule>
    <cfRule type="cellIs" dxfId="247" priority="248" operator="lessThan">
      <formula>0</formula>
    </cfRule>
    <cfRule type="cellIs" dxfId="246" priority="249" operator="greaterThan">
      <formula>0</formula>
    </cfRule>
  </conditionalFormatting>
  <conditionalFormatting sqref="G315:G316 G298:G311 G287:G291 L110:L114 G110:G114 L102:L106 G102:G106 L94:L98 G94:G98 L87:L90 G86:G90 L9:L11 L15:L23">
    <cfRule type="cellIs" dxfId="245" priority="241" operator="equal">
      <formula>0</formula>
    </cfRule>
    <cfRule type="cellIs" dxfId="244" priority="242" operator="lessThan">
      <formula>0</formula>
    </cfRule>
    <cfRule type="cellIs" dxfId="243" priority="243" operator="greaterThan">
      <formula>0</formula>
    </cfRule>
  </conditionalFormatting>
  <conditionalFormatting sqref="G315:G316 G298:G311 G287:G291 L110:L114 G110:G114 L102:L106 G102:G106 L94:L98 G94:G98 L87:L90 G86:G90 L9:L11 L15:L23">
    <cfRule type="cellIs" dxfId="242" priority="244" stopIfTrue="1" operator="greaterThan">
      <formula>0</formula>
    </cfRule>
    <cfRule type="cellIs" dxfId="241" priority="245" stopIfTrue="1" operator="lessThan">
      <formula>0</formula>
    </cfRule>
    <cfRule type="cellIs" dxfId="240" priority="246" stopIfTrue="1" operator="equal">
      <formula>0</formula>
    </cfRule>
  </conditionalFormatting>
  <conditionalFormatting sqref="G27:G28 G33:G41">
    <cfRule type="cellIs" dxfId="239" priority="190" stopIfTrue="1" operator="greaterThan">
      <formula>0</formula>
    </cfRule>
    <cfRule type="cellIs" dxfId="238" priority="191" stopIfTrue="1" operator="lessThan">
      <formula>0</formula>
    </cfRule>
    <cfRule type="cellIs" dxfId="237" priority="192" stopIfTrue="1" operator="equal">
      <formula>0</formula>
    </cfRule>
  </conditionalFormatting>
  <conditionalFormatting sqref="G27:G28 G33:G41">
    <cfRule type="cellIs" dxfId="236" priority="187" operator="equal">
      <formula>0</formula>
    </cfRule>
    <cfRule type="cellIs" dxfId="235" priority="188" operator="lessThan">
      <formula>0</formula>
    </cfRule>
    <cfRule type="cellIs" dxfId="234" priority="189" operator="greaterThan">
      <formula>0</formula>
    </cfRule>
  </conditionalFormatting>
  <conditionalFormatting sqref="G45:G47 G51:G59">
    <cfRule type="cellIs" dxfId="233" priority="232" stopIfTrue="1" operator="greaterThan">
      <formula>0</formula>
    </cfRule>
    <cfRule type="cellIs" dxfId="232" priority="233" stopIfTrue="1" operator="lessThan">
      <formula>0</formula>
    </cfRule>
    <cfRule type="cellIs" dxfId="231" priority="234" stopIfTrue="1" operator="equal">
      <formula>0</formula>
    </cfRule>
  </conditionalFormatting>
  <conditionalFormatting sqref="G45:G47 G51:G59">
    <cfRule type="cellIs" dxfId="230" priority="229" operator="equal">
      <formula>0</formula>
    </cfRule>
    <cfRule type="cellIs" dxfId="229" priority="230" operator="lessThan">
      <formula>0</formula>
    </cfRule>
    <cfRule type="cellIs" dxfId="228" priority="231" operator="greaterThan">
      <formula>0</formula>
    </cfRule>
  </conditionalFormatting>
  <conditionalFormatting sqref="G46:G47 G51:G59">
    <cfRule type="cellIs" dxfId="227" priority="226" stopIfTrue="1" operator="greaterThan">
      <formula>0</formula>
    </cfRule>
    <cfRule type="cellIs" dxfId="226" priority="227" stopIfTrue="1" operator="lessThan">
      <formula>0</formula>
    </cfRule>
    <cfRule type="cellIs" dxfId="225" priority="228" stopIfTrue="1" operator="equal">
      <formula>0</formula>
    </cfRule>
  </conditionalFormatting>
  <conditionalFormatting sqref="G46:G47 G51:G59">
    <cfRule type="cellIs" dxfId="224" priority="223" operator="equal">
      <formula>0</formula>
    </cfRule>
    <cfRule type="cellIs" dxfId="223" priority="224" operator="lessThan">
      <formula>0</formula>
    </cfRule>
    <cfRule type="cellIs" dxfId="222" priority="225" operator="greaterThan">
      <formula>0</formula>
    </cfRule>
  </conditionalFormatting>
  <conditionalFormatting sqref="L27:L29 L33:L41">
    <cfRule type="cellIs" dxfId="221" priority="235" operator="equal">
      <formula>0</formula>
    </cfRule>
    <cfRule type="cellIs" dxfId="220" priority="236" operator="lessThan">
      <formula>0</formula>
    </cfRule>
    <cfRule type="cellIs" dxfId="219" priority="237" operator="greaterThan">
      <formula>0</formula>
    </cfRule>
  </conditionalFormatting>
  <conditionalFormatting sqref="L27:L29 L33:L41">
    <cfRule type="cellIs" dxfId="218" priority="238" stopIfTrue="1" operator="greaterThan">
      <formula>0</formula>
    </cfRule>
    <cfRule type="cellIs" dxfId="217" priority="239" stopIfTrue="1" operator="lessThan">
      <formula>0</formula>
    </cfRule>
    <cfRule type="cellIs" dxfId="216" priority="240" stopIfTrue="1" operator="equal">
      <formula>0</formula>
    </cfRule>
  </conditionalFormatting>
  <conditionalFormatting sqref="L45:L47 L51:L59">
    <cfRule type="cellIs" dxfId="215" priority="217" operator="equal">
      <formula>0</formula>
    </cfRule>
    <cfRule type="cellIs" dxfId="214" priority="218" operator="lessThan">
      <formula>0</formula>
    </cfRule>
    <cfRule type="cellIs" dxfId="213" priority="219" operator="greaterThan">
      <formula>0</formula>
    </cfRule>
  </conditionalFormatting>
  <conditionalFormatting sqref="L45:L47 L51:L59">
    <cfRule type="cellIs" dxfId="212" priority="220" stopIfTrue="1" operator="greaterThan">
      <formula>0</formula>
    </cfRule>
    <cfRule type="cellIs" dxfId="211" priority="221" stopIfTrue="1" operator="lessThan">
      <formula>0</formula>
    </cfRule>
    <cfRule type="cellIs" dxfId="210" priority="222" stopIfTrue="1" operator="equal">
      <formula>0</formula>
    </cfRule>
  </conditionalFormatting>
  <conditionalFormatting sqref="G68:G70 G74:G82">
    <cfRule type="cellIs" dxfId="209" priority="214" stopIfTrue="1" operator="greaterThan">
      <formula>0</formula>
    </cfRule>
    <cfRule type="cellIs" dxfId="208" priority="215" stopIfTrue="1" operator="lessThan">
      <formula>0</formula>
    </cfRule>
    <cfRule type="cellIs" dxfId="207" priority="216" stopIfTrue="1" operator="equal">
      <formula>0</formula>
    </cfRule>
  </conditionalFormatting>
  <conditionalFormatting sqref="G68:G70 G74:G82">
    <cfRule type="cellIs" dxfId="206" priority="211" operator="equal">
      <formula>0</formula>
    </cfRule>
    <cfRule type="cellIs" dxfId="205" priority="212" operator="lessThan">
      <formula>0</formula>
    </cfRule>
    <cfRule type="cellIs" dxfId="204" priority="213" operator="greaterThan">
      <formula>0</formula>
    </cfRule>
  </conditionalFormatting>
  <conditionalFormatting sqref="G69:G70 G74:G82">
    <cfRule type="cellIs" dxfId="203" priority="208" stopIfTrue="1" operator="greaterThan">
      <formula>0</formula>
    </cfRule>
    <cfRule type="cellIs" dxfId="202" priority="209" stopIfTrue="1" operator="lessThan">
      <formula>0</formula>
    </cfRule>
    <cfRule type="cellIs" dxfId="201" priority="210" stopIfTrue="1" operator="equal">
      <formula>0</formula>
    </cfRule>
  </conditionalFormatting>
  <conditionalFormatting sqref="G69:G70 G74:G82">
    <cfRule type="cellIs" dxfId="200" priority="205" operator="equal">
      <formula>0</formula>
    </cfRule>
    <cfRule type="cellIs" dxfId="199" priority="206" operator="lessThan">
      <formula>0</formula>
    </cfRule>
    <cfRule type="cellIs" dxfId="198" priority="207" operator="greaterThan">
      <formula>0</formula>
    </cfRule>
  </conditionalFormatting>
  <conditionalFormatting sqref="L68:L70 L74:L82">
    <cfRule type="cellIs" dxfId="197" priority="199" operator="equal">
      <formula>0</formula>
    </cfRule>
    <cfRule type="cellIs" dxfId="196" priority="200" operator="lessThan">
      <formula>0</formula>
    </cfRule>
    <cfRule type="cellIs" dxfId="195" priority="201" operator="greaterThan">
      <formula>0</formula>
    </cfRule>
  </conditionalFormatting>
  <conditionalFormatting sqref="L68:L70 L74:L82">
    <cfRule type="cellIs" dxfId="194" priority="202" stopIfTrue="1" operator="greaterThan">
      <formula>0</formula>
    </cfRule>
    <cfRule type="cellIs" dxfId="193" priority="203" stopIfTrue="1" operator="lessThan">
      <formula>0</formula>
    </cfRule>
    <cfRule type="cellIs" dxfId="192" priority="204" stopIfTrue="1" operator="equal">
      <formula>0</formula>
    </cfRule>
  </conditionalFormatting>
  <conditionalFormatting sqref="G11">
    <cfRule type="cellIs" dxfId="191" priority="196" stopIfTrue="1" operator="greaterThan">
      <formula>0</formula>
    </cfRule>
    <cfRule type="cellIs" dxfId="190" priority="197" stopIfTrue="1" operator="lessThan">
      <formula>0</formula>
    </cfRule>
    <cfRule type="cellIs" dxfId="189" priority="198" stopIfTrue="1" operator="equal">
      <formula>0</formula>
    </cfRule>
  </conditionalFormatting>
  <conditionalFormatting sqref="G11">
    <cfRule type="cellIs" dxfId="188" priority="193" operator="equal">
      <formula>0</formula>
    </cfRule>
    <cfRule type="cellIs" dxfId="187" priority="194" operator="lessThan">
      <formula>0</formula>
    </cfRule>
    <cfRule type="cellIs" dxfId="186" priority="195" operator="greaterThan">
      <formula>0</formula>
    </cfRule>
  </conditionalFormatting>
  <conditionalFormatting sqref="G28 G33:G41">
    <cfRule type="cellIs" dxfId="185" priority="184" stopIfTrue="1" operator="greaterThan">
      <formula>0</formula>
    </cfRule>
    <cfRule type="cellIs" dxfId="184" priority="185" stopIfTrue="1" operator="lessThan">
      <formula>0</formula>
    </cfRule>
    <cfRule type="cellIs" dxfId="183" priority="186" stopIfTrue="1" operator="equal">
      <formula>0</formula>
    </cfRule>
  </conditionalFormatting>
  <conditionalFormatting sqref="G28 G33:G41">
    <cfRule type="cellIs" dxfId="182" priority="181" operator="equal">
      <formula>0</formula>
    </cfRule>
    <cfRule type="cellIs" dxfId="181" priority="182" operator="lessThan">
      <formula>0</formula>
    </cfRule>
    <cfRule type="cellIs" dxfId="180" priority="183" operator="greaterThan">
      <formula>0</formula>
    </cfRule>
  </conditionalFormatting>
  <conditionalFormatting sqref="G29">
    <cfRule type="cellIs" dxfId="179" priority="178" stopIfTrue="1" operator="greaterThan">
      <formula>0</formula>
    </cfRule>
    <cfRule type="cellIs" dxfId="178" priority="179" stopIfTrue="1" operator="lessThan">
      <formula>0</formula>
    </cfRule>
    <cfRule type="cellIs" dxfId="177" priority="180" stopIfTrue="1" operator="equal">
      <formula>0</formula>
    </cfRule>
  </conditionalFormatting>
  <conditionalFormatting sqref="G29">
    <cfRule type="cellIs" dxfId="176" priority="175" operator="equal">
      <formula>0</formula>
    </cfRule>
    <cfRule type="cellIs" dxfId="175" priority="176" operator="lessThan">
      <formula>0</formula>
    </cfRule>
    <cfRule type="cellIs" dxfId="174" priority="177" operator="greaterThan">
      <formula>0</formula>
    </cfRule>
  </conditionalFormatting>
  <conditionalFormatting sqref="E124:E149">
    <cfRule type="cellIs" dxfId="173" priority="169" operator="equal">
      <formula>0</formula>
    </cfRule>
    <cfRule type="cellIs" dxfId="172" priority="170" operator="lessThan">
      <formula>0</formula>
    </cfRule>
    <cfRule type="cellIs" dxfId="171" priority="171" operator="greaterThan">
      <formula>0</formula>
    </cfRule>
  </conditionalFormatting>
  <conditionalFormatting sqref="E124:E149">
    <cfRule type="cellIs" dxfId="170" priority="172" stopIfTrue="1" operator="greaterThan">
      <formula>0</formula>
    </cfRule>
    <cfRule type="cellIs" dxfId="169" priority="173" stopIfTrue="1" operator="lessThan">
      <formula>0</formula>
    </cfRule>
    <cfRule type="cellIs" dxfId="168" priority="174" stopIfTrue="1" operator="equal">
      <formula>0</formula>
    </cfRule>
  </conditionalFormatting>
  <conditionalFormatting sqref="G124:G149 I124:I149 K124:K149 M124:M149">
    <cfRule type="cellIs" dxfId="167" priority="163" operator="equal">
      <formula>0</formula>
    </cfRule>
    <cfRule type="cellIs" dxfId="166" priority="164" operator="lessThan">
      <formula>0</formula>
    </cfRule>
    <cfRule type="cellIs" dxfId="165" priority="165" operator="greaterThan">
      <formula>0</formula>
    </cfRule>
  </conditionalFormatting>
  <conditionalFormatting sqref="G124:G149 I124:I149 K124:K149 M124:M149">
    <cfRule type="cellIs" dxfId="164" priority="166" stopIfTrue="1" operator="greaterThan">
      <formula>0</formula>
    </cfRule>
    <cfRule type="cellIs" dxfId="163" priority="167" stopIfTrue="1" operator="lessThan">
      <formula>0</formula>
    </cfRule>
    <cfRule type="cellIs" dxfId="162" priority="168" stopIfTrue="1" operator="equal">
      <formula>0</formula>
    </cfRule>
  </conditionalFormatting>
  <conditionalFormatting sqref="E156:E181">
    <cfRule type="cellIs" dxfId="161" priority="157" operator="equal">
      <formula>0</formula>
    </cfRule>
    <cfRule type="cellIs" dxfId="160" priority="158" operator="lessThan">
      <formula>0</formula>
    </cfRule>
    <cfRule type="cellIs" dxfId="159" priority="159" operator="greaterThan">
      <formula>0</formula>
    </cfRule>
  </conditionalFormatting>
  <conditionalFormatting sqref="E156:E181">
    <cfRule type="cellIs" dxfId="158" priority="160" stopIfTrue="1" operator="greaterThan">
      <formula>0</formula>
    </cfRule>
    <cfRule type="cellIs" dxfId="157" priority="161" stopIfTrue="1" operator="lessThan">
      <formula>0</formula>
    </cfRule>
    <cfRule type="cellIs" dxfId="156" priority="162" stopIfTrue="1" operator="equal">
      <formula>0</formula>
    </cfRule>
  </conditionalFormatting>
  <conditionalFormatting sqref="G156:G181 I156:I181 K156:K181 M156:M181">
    <cfRule type="cellIs" dxfId="155" priority="151" operator="equal">
      <formula>0</formula>
    </cfRule>
    <cfRule type="cellIs" dxfId="154" priority="152" operator="lessThan">
      <formula>0</formula>
    </cfRule>
    <cfRule type="cellIs" dxfId="153" priority="153" operator="greaterThan">
      <formula>0</formula>
    </cfRule>
  </conditionalFormatting>
  <conditionalFormatting sqref="G156:G181 I156:I181 K156:K181 M156:M181">
    <cfRule type="cellIs" dxfId="152" priority="154" stopIfTrue="1" operator="greaterThan">
      <formula>0</formula>
    </cfRule>
    <cfRule type="cellIs" dxfId="151" priority="155" stopIfTrue="1" operator="lessThan">
      <formula>0</formula>
    </cfRule>
    <cfRule type="cellIs" dxfId="150" priority="156" stopIfTrue="1" operator="equal">
      <formula>0</formula>
    </cfRule>
  </conditionalFormatting>
  <conditionalFormatting sqref="L86">
    <cfRule type="cellIs" dxfId="149" priority="145" operator="equal">
      <formula>0</formula>
    </cfRule>
    <cfRule type="cellIs" dxfId="148" priority="146" operator="lessThan">
      <formula>0</formula>
    </cfRule>
    <cfRule type="cellIs" dxfId="147" priority="147" operator="greaterThan">
      <formula>0</formula>
    </cfRule>
  </conditionalFormatting>
  <conditionalFormatting sqref="L86">
    <cfRule type="cellIs" dxfId="146" priority="148" stopIfTrue="1" operator="greaterThan">
      <formula>0</formula>
    </cfRule>
    <cfRule type="cellIs" dxfId="145" priority="149" stopIfTrue="1" operator="lessThan">
      <formula>0</formula>
    </cfRule>
    <cfRule type="cellIs" dxfId="144" priority="150" stopIfTrue="1" operator="equal">
      <formula>0</formula>
    </cfRule>
  </conditionalFormatting>
  <conditionalFormatting sqref="G12:G13">
    <cfRule type="cellIs" dxfId="143" priority="142" stopIfTrue="1" operator="greaterThan">
      <formula>0</formula>
    </cfRule>
    <cfRule type="cellIs" dxfId="142" priority="143" stopIfTrue="1" operator="lessThan">
      <formula>0</formula>
    </cfRule>
    <cfRule type="cellIs" dxfId="141" priority="144" stopIfTrue="1" operator="equal">
      <formula>0</formula>
    </cfRule>
  </conditionalFormatting>
  <conditionalFormatting sqref="G12:G13">
    <cfRule type="cellIs" dxfId="140" priority="139" operator="equal">
      <formula>0</formula>
    </cfRule>
    <cfRule type="cellIs" dxfId="139" priority="140" operator="lessThan">
      <formula>0</formula>
    </cfRule>
    <cfRule type="cellIs" dxfId="138" priority="141" operator="greaterThan">
      <formula>0</formula>
    </cfRule>
  </conditionalFormatting>
  <conditionalFormatting sqref="G12:G13">
    <cfRule type="cellIs" dxfId="137" priority="136" stopIfTrue="1" operator="greaterThan">
      <formula>0</formula>
    </cfRule>
    <cfRule type="cellIs" dxfId="136" priority="137" stopIfTrue="1" operator="lessThan">
      <formula>0</formula>
    </cfRule>
    <cfRule type="cellIs" dxfId="135" priority="138" stopIfTrue="1" operator="equal">
      <formula>0</formula>
    </cfRule>
  </conditionalFormatting>
  <conditionalFormatting sqref="G12:G13">
    <cfRule type="cellIs" dxfId="134" priority="133" operator="equal">
      <formula>0</formula>
    </cfRule>
    <cfRule type="cellIs" dxfId="133" priority="134" operator="lessThan">
      <formula>0</formula>
    </cfRule>
    <cfRule type="cellIs" dxfId="132" priority="135" operator="greaterThan">
      <formula>0</formula>
    </cfRule>
  </conditionalFormatting>
  <conditionalFormatting sqref="L12:L13">
    <cfRule type="cellIs" dxfId="131" priority="127" operator="equal">
      <formula>0</formula>
    </cfRule>
    <cfRule type="cellIs" dxfId="130" priority="128" operator="lessThan">
      <formula>0</formula>
    </cfRule>
    <cfRule type="cellIs" dxfId="129" priority="129" operator="greaterThan">
      <formula>0</formula>
    </cfRule>
  </conditionalFormatting>
  <conditionalFormatting sqref="L12:L13">
    <cfRule type="cellIs" dxfId="128" priority="130" stopIfTrue="1" operator="greaterThan">
      <formula>0</formula>
    </cfRule>
    <cfRule type="cellIs" dxfId="127" priority="131" stopIfTrue="1" operator="lessThan">
      <formula>0</formula>
    </cfRule>
    <cfRule type="cellIs" dxfId="126" priority="132" stopIfTrue="1" operator="equal">
      <formula>0</formula>
    </cfRule>
  </conditionalFormatting>
  <conditionalFormatting sqref="G30:G31">
    <cfRule type="cellIs" dxfId="125" priority="118" stopIfTrue="1" operator="greaterThan">
      <formula>0</formula>
    </cfRule>
    <cfRule type="cellIs" dxfId="124" priority="119" stopIfTrue="1" operator="lessThan">
      <formula>0</formula>
    </cfRule>
    <cfRule type="cellIs" dxfId="123" priority="120" stopIfTrue="1" operator="equal">
      <formula>0</formula>
    </cfRule>
  </conditionalFormatting>
  <conditionalFormatting sqref="G30:G31">
    <cfRule type="cellIs" dxfId="122" priority="115" operator="equal">
      <formula>0</formula>
    </cfRule>
    <cfRule type="cellIs" dxfId="121" priority="116" operator="lessThan">
      <formula>0</formula>
    </cfRule>
    <cfRule type="cellIs" dxfId="120" priority="117" operator="greaterThan">
      <formula>0</formula>
    </cfRule>
  </conditionalFormatting>
  <conditionalFormatting sqref="L30:L31">
    <cfRule type="cellIs" dxfId="119" priority="121" operator="equal">
      <formula>0</formula>
    </cfRule>
    <cfRule type="cellIs" dxfId="118" priority="122" operator="lessThan">
      <formula>0</formula>
    </cfRule>
    <cfRule type="cellIs" dxfId="117" priority="123" operator="greaterThan">
      <formula>0</formula>
    </cfRule>
  </conditionalFormatting>
  <conditionalFormatting sqref="L30:L31">
    <cfRule type="cellIs" dxfId="116" priority="124" stopIfTrue="1" operator="greaterThan">
      <formula>0</formula>
    </cfRule>
    <cfRule type="cellIs" dxfId="115" priority="125" stopIfTrue="1" operator="lessThan">
      <formula>0</formula>
    </cfRule>
    <cfRule type="cellIs" dxfId="114" priority="126" stopIfTrue="1" operator="equal">
      <formula>0</formula>
    </cfRule>
  </conditionalFormatting>
  <conditionalFormatting sqref="G30:G31">
    <cfRule type="cellIs" dxfId="113" priority="112" stopIfTrue="1" operator="greaterThan">
      <formula>0</formula>
    </cfRule>
    <cfRule type="cellIs" dxfId="112" priority="113" stopIfTrue="1" operator="lessThan">
      <formula>0</formula>
    </cfRule>
    <cfRule type="cellIs" dxfId="111" priority="114" stopIfTrue="1" operator="equal">
      <formula>0</formula>
    </cfRule>
  </conditionalFormatting>
  <conditionalFormatting sqref="G30:G31">
    <cfRule type="cellIs" dxfId="110" priority="109" operator="equal">
      <formula>0</formula>
    </cfRule>
    <cfRule type="cellIs" dxfId="109" priority="110" operator="lessThan">
      <formula>0</formula>
    </cfRule>
    <cfRule type="cellIs" dxfId="108" priority="111" operator="greaterThan">
      <formula>0</formula>
    </cfRule>
  </conditionalFormatting>
  <conditionalFormatting sqref="G48:G49">
    <cfRule type="cellIs" dxfId="107" priority="106" stopIfTrue="1" operator="greaterThan">
      <formula>0</formula>
    </cfRule>
    <cfRule type="cellIs" dxfId="106" priority="107" stopIfTrue="1" operator="lessThan">
      <formula>0</formula>
    </cfRule>
    <cfRule type="cellIs" dxfId="105" priority="108" stopIfTrue="1" operator="equal">
      <formula>0</formula>
    </cfRule>
  </conditionalFormatting>
  <conditionalFormatting sqref="G48:G49">
    <cfRule type="cellIs" dxfId="104" priority="103" operator="equal">
      <formula>0</formula>
    </cfRule>
    <cfRule type="cellIs" dxfId="103" priority="104" operator="lessThan">
      <formula>0</formula>
    </cfRule>
    <cfRule type="cellIs" dxfId="102" priority="105" operator="greaterThan">
      <formula>0</formula>
    </cfRule>
  </conditionalFormatting>
  <conditionalFormatting sqref="G48:G49">
    <cfRule type="cellIs" dxfId="101" priority="100" stopIfTrue="1" operator="greaterThan">
      <formula>0</formula>
    </cfRule>
    <cfRule type="cellIs" dxfId="100" priority="101" stopIfTrue="1" operator="lessThan">
      <formula>0</formula>
    </cfRule>
    <cfRule type="cellIs" dxfId="99" priority="102" stopIfTrue="1" operator="equal">
      <formula>0</formula>
    </cfRule>
  </conditionalFormatting>
  <conditionalFormatting sqref="G48:G49">
    <cfRule type="cellIs" dxfId="98" priority="97" operator="equal">
      <formula>0</formula>
    </cfRule>
    <cfRule type="cellIs" dxfId="97" priority="98" operator="lessThan">
      <formula>0</formula>
    </cfRule>
    <cfRule type="cellIs" dxfId="96" priority="99" operator="greaterThan">
      <formula>0</formula>
    </cfRule>
  </conditionalFormatting>
  <conditionalFormatting sqref="L48:L49">
    <cfRule type="cellIs" dxfId="95" priority="91" operator="equal">
      <formula>0</formula>
    </cfRule>
    <cfRule type="cellIs" dxfId="94" priority="92" operator="lessThan">
      <formula>0</formula>
    </cfRule>
    <cfRule type="cellIs" dxfId="93" priority="93" operator="greaterThan">
      <formula>0</formula>
    </cfRule>
  </conditionalFormatting>
  <conditionalFormatting sqref="L48:L49">
    <cfRule type="cellIs" dxfId="92" priority="94" stopIfTrue="1" operator="greaterThan">
      <formula>0</formula>
    </cfRule>
    <cfRule type="cellIs" dxfId="91" priority="95" stopIfTrue="1" operator="lessThan">
      <formula>0</formula>
    </cfRule>
    <cfRule type="cellIs" dxfId="90" priority="96" stopIfTrue="1" operator="equal">
      <formula>0</formula>
    </cfRule>
  </conditionalFormatting>
  <conditionalFormatting sqref="G71:G72">
    <cfRule type="cellIs" dxfId="89" priority="88" stopIfTrue="1" operator="greaterThan">
      <formula>0</formula>
    </cfRule>
    <cfRule type="cellIs" dxfId="88" priority="89" stopIfTrue="1" operator="lessThan">
      <formula>0</formula>
    </cfRule>
    <cfRule type="cellIs" dxfId="87" priority="90" stopIfTrue="1" operator="equal">
      <formula>0</formula>
    </cfRule>
  </conditionalFormatting>
  <conditionalFormatting sqref="G71:G72">
    <cfRule type="cellIs" dxfId="86" priority="85" operator="equal">
      <formula>0</formula>
    </cfRule>
    <cfRule type="cellIs" dxfId="85" priority="86" operator="lessThan">
      <formula>0</formula>
    </cfRule>
    <cfRule type="cellIs" dxfId="84" priority="87" operator="greaterThan">
      <formula>0</formula>
    </cfRule>
  </conditionalFormatting>
  <conditionalFormatting sqref="G71:G72">
    <cfRule type="cellIs" dxfId="83" priority="82" stopIfTrue="1" operator="greaterThan">
      <formula>0</formula>
    </cfRule>
    <cfRule type="cellIs" dxfId="82" priority="83" stopIfTrue="1" operator="lessThan">
      <formula>0</formula>
    </cfRule>
    <cfRule type="cellIs" dxfId="81" priority="84" stopIfTrue="1" operator="equal">
      <formula>0</formula>
    </cfRule>
  </conditionalFormatting>
  <conditionalFormatting sqref="G71:G72">
    <cfRule type="cellIs" dxfId="80" priority="79" operator="equal">
      <formula>0</formula>
    </cfRule>
    <cfRule type="cellIs" dxfId="79" priority="80" operator="lessThan">
      <formula>0</formula>
    </cfRule>
    <cfRule type="cellIs" dxfId="78" priority="81" operator="greaterThan">
      <formula>0</formula>
    </cfRule>
  </conditionalFormatting>
  <conditionalFormatting sqref="L71:L72">
    <cfRule type="cellIs" dxfId="77" priority="73" operator="equal">
      <formula>0</formula>
    </cfRule>
    <cfRule type="cellIs" dxfId="76" priority="74" operator="lessThan">
      <formula>0</formula>
    </cfRule>
    <cfRule type="cellIs" dxfId="75" priority="75" operator="greaterThan">
      <formula>0</formula>
    </cfRule>
  </conditionalFormatting>
  <conditionalFormatting sqref="L71:L72">
    <cfRule type="cellIs" dxfId="74" priority="76" stopIfTrue="1" operator="greaterThan">
      <formula>0</formula>
    </cfRule>
    <cfRule type="cellIs" dxfId="73" priority="77" stopIfTrue="1" operator="lessThan">
      <formula>0</formula>
    </cfRule>
    <cfRule type="cellIs" dxfId="72" priority="78" stopIfTrue="1" operator="equal">
      <formula>0</formula>
    </cfRule>
  </conditionalFormatting>
  <conditionalFormatting sqref="G14">
    <cfRule type="cellIs" dxfId="71" priority="70" stopIfTrue="1" operator="greaterThan">
      <formula>0</formula>
    </cfRule>
    <cfRule type="cellIs" dxfId="70" priority="71" stopIfTrue="1" operator="lessThan">
      <formula>0</formula>
    </cfRule>
    <cfRule type="cellIs" dxfId="69" priority="72" stopIfTrue="1" operator="equal">
      <formula>0</formula>
    </cfRule>
  </conditionalFormatting>
  <conditionalFormatting sqref="G14">
    <cfRule type="cellIs" dxfId="68" priority="67" operator="equal">
      <formula>0</formula>
    </cfRule>
    <cfRule type="cellIs" dxfId="67" priority="68" operator="lessThan">
      <formula>0</formula>
    </cfRule>
    <cfRule type="cellIs" dxfId="66" priority="69" operator="greaterThan">
      <formula>0</formula>
    </cfRule>
  </conditionalFormatting>
  <conditionalFormatting sqref="G14">
    <cfRule type="cellIs" dxfId="65" priority="64" stopIfTrue="1" operator="greaterThan">
      <formula>0</formula>
    </cfRule>
    <cfRule type="cellIs" dxfId="64" priority="65" stopIfTrue="1" operator="lessThan">
      <formula>0</formula>
    </cfRule>
    <cfRule type="cellIs" dxfId="63" priority="66" stopIfTrue="1" operator="equal">
      <formula>0</formula>
    </cfRule>
  </conditionalFormatting>
  <conditionalFormatting sqref="G14">
    <cfRule type="cellIs" dxfId="62" priority="61" operator="equal">
      <formula>0</formula>
    </cfRule>
    <cfRule type="cellIs" dxfId="61" priority="62" operator="lessThan">
      <formula>0</formula>
    </cfRule>
    <cfRule type="cellIs" dxfId="60" priority="63" operator="greaterThan">
      <formula>0</formula>
    </cfRule>
  </conditionalFormatting>
  <conditionalFormatting sqref="L14">
    <cfRule type="cellIs" dxfId="59" priority="55" operator="equal">
      <formula>0</formula>
    </cfRule>
    <cfRule type="cellIs" dxfId="58" priority="56" operator="lessThan">
      <formula>0</formula>
    </cfRule>
    <cfRule type="cellIs" dxfId="57" priority="57" operator="greaterThan">
      <formula>0</formula>
    </cfRule>
  </conditionalFormatting>
  <conditionalFormatting sqref="L14">
    <cfRule type="cellIs" dxfId="56" priority="58" stopIfTrue="1" operator="greaterThan">
      <formula>0</formula>
    </cfRule>
    <cfRule type="cellIs" dxfId="55" priority="59" stopIfTrue="1" operator="lessThan">
      <formula>0</formula>
    </cfRule>
    <cfRule type="cellIs" dxfId="54" priority="60" stopIfTrue="1" operator="equal">
      <formula>0</formula>
    </cfRule>
  </conditionalFormatting>
  <conditionalFormatting sqref="G32">
    <cfRule type="cellIs" dxfId="53" priority="52" stopIfTrue="1" operator="greaterThan">
      <formula>0</formula>
    </cfRule>
    <cfRule type="cellIs" dxfId="52" priority="53" stopIfTrue="1" operator="lessThan">
      <formula>0</formula>
    </cfRule>
    <cfRule type="cellIs" dxfId="51" priority="54" stopIfTrue="1" operator="equal">
      <formula>0</formula>
    </cfRule>
  </conditionalFormatting>
  <conditionalFormatting sqref="G32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G32">
    <cfRule type="cellIs" dxfId="47" priority="46" stopIfTrue="1" operator="greaterThan">
      <formula>0</formula>
    </cfRule>
    <cfRule type="cellIs" dxfId="46" priority="47" stopIfTrue="1" operator="lessThan">
      <formula>0</formula>
    </cfRule>
    <cfRule type="cellIs" dxfId="45" priority="48" stopIfTrue="1" operator="equal">
      <formula>0</formula>
    </cfRule>
  </conditionalFormatting>
  <conditionalFormatting sqref="G32">
    <cfRule type="cellIs" dxfId="44" priority="43" operator="equal">
      <formula>0</formula>
    </cfRule>
    <cfRule type="cellIs" dxfId="43" priority="44" operator="lessThan">
      <formula>0</formula>
    </cfRule>
    <cfRule type="cellIs" dxfId="42" priority="45" operator="greaterThan">
      <formula>0</formula>
    </cfRule>
  </conditionalFormatting>
  <conditionalFormatting sqref="L32">
    <cfRule type="cellIs" dxfId="41" priority="37" operator="equal">
      <formula>0</formula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L32">
    <cfRule type="cellIs" dxfId="38" priority="40" stopIfTrue="1" operator="greaterThan">
      <formula>0</formula>
    </cfRule>
    <cfRule type="cellIs" dxfId="37" priority="41" stopIfTrue="1" operator="lessThan">
      <formula>0</formula>
    </cfRule>
    <cfRule type="cellIs" dxfId="36" priority="42" stopIfTrue="1" operator="equal">
      <formula>0</formula>
    </cfRule>
  </conditionalFormatting>
  <conditionalFormatting sqref="G50">
    <cfRule type="cellIs" dxfId="35" priority="34" stopIfTrue="1" operator="greaterThan">
      <formula>0</formula>
    </cfRule>
    <cfRule type="cellIs" dxfId="34" priority="35" stopIfTrue="1" operator="lessThan">
      <formula>0</formula>
    </cfRule>
    <cfRule type="cellIs" dxfId="33" priority="36" stopIfTrue="1" operator="equal">
      <formula>0</formula>
    </cfRule>
  </conditionalFormatting>
  <conditionalFormatting sqref="G50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G50">
    <cfRule type="cellIs" dxfId="29" priority="28" stopIfTrue="1" operator="greaterThan">
      <formula>0</formula>
    </cfRule>
    <cfRule type="cellIs" dxfId="28" priority="29" stopIfTrue="1" operator="lessThan">
      <formula>0</formula>
    </cfRule>
    <cfRule type="cellIs" dxfId="27" priority="30" stopIfTrue="1" operator="equal">
      <formula>0</formula>
    </cfRule>
  </conditionalFormatting>
  <conditionalFormatting sqref="G50">
    <cfRule type="cellIs" dxfId="26" priority="25" operator="equal">
      <formula>0</formula>
    </cfRule>
    <cfRule type="cellIs" dxfId="25" priority="26" operator="lessThan">
      <formula>0</formula>
    </cfRule>
    <cfRule type="cellIs" dxfId="24" priority="27" operator="greaterThan">
      <formula>0</formula>
    </cfRule>
  </conditionalFormatting>
  <conditionalFormatting sqref="L50">
    <cfRule type="cellIs" dxfId="23" priority="19" operator="equal">
      <formula>0</formula>
    </cfRule>
    <cfRule type="cellIs" dxfId="22" priority="20" operator="lessThan">
      <formula>0</formula>
    </cfRule>
    <cfRule type="cellIs" dxfId="21" priority="21" operator="greaterThan">
      <formula>0</formula>
    </cfRule>
  </conditionalFormatting>
  <conditionalFormatting sqref="L50">
    <cfRule type="cellIs" dxfId="20" priority="22" stopIfTrue="1" operator="greaterThan">
      <formula>0</formula>
    </cfRule>
    <cfRule type="cellIs" dxfId="19" priority="23" stopIfTrue="1" operator="lessThan">
      <formula>0</formula>
    </cfRule>
    <cfRule type="cellIs" dxfId="18" priority="24" stopIfTrue="1" operator="equal">
      <formula>0</formula>
    </cfRule>
  </conditionalFormatting>
  <conditionalFormatting sqref="G73">
    <cfRule type="cellIs" dxfId="17" priority="16" stopIfTrue="1" operator="greaterThan">
      <formula>0</formula>
    </cfRule>
    <cfRule type="cellIs" dxfId="16" priority="17" stopIfTrue="1" operator="lessThan">
      <formula>0</formula>
    </cfRule>
    <cfRule type="cellIs" dxfId="15" priority="18" stopIfTrue="1" operator="equal">
      <formula>0</formula>
    </cfRule>
  </conditionalFormatting>
  <conditionalFormatting sqref="G73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G73">
    <cfRule type="cellIs" dxfId="11" priority="10" stopIfTrue="1" operator="greaterThan">
      <formula>0</formula>
    </cfRule>
    <cfRule type="cellIs" dxfId="10" priority="11" stopIfTrue="1" operator="lessThan">
      <formula>0</formula>
    </cfRule>
    <cfRule type="cellIs" dxfId="9" priority="12" stopIfTrue="1" operator="equal">
      <formula>0</formula>
    </cfRule>
  </conditionalFormatting>
  <conditionalFormatting sqref="G73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L73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L73">
    <cfRule type="cellIs" dxfId="2" priority="4" stopIfTrue="1" operator="greaterThan">
      <formula>0</formula>
    </cfRule>
    <cfRule type="cellIs" dxfId="1" priority="5" stopIfTrue="1" operator="lessThan">
      <formula>0</formula>
    </cfRule>
    <cfRule type="cellIs" dxfId="0" priority="6" stopIfTrue="1" operator="equal">
      <formula>0</formula>
    </cfRule>
  </conditionalFormatting>
  <printOptions horizontalCentered="1"/>
  <pageMargins left="0.31496062992125984" right="0.19685039370078741" top="0.35433070866141736" bottom="0" header="0.39370078740157483" footer="0"/>
  <pageSetup paperSize="9" scale="51" fitToHeight="5" orientation="portrait" r:id="rId1"/>
  <headerFooter alignWithMargins="0">
    <oddFooter>&amp;R&amp;P</oddFooter>
  </headerFooter>
  <rowBreaks count="4" manualBreakCount="4">
    <brk id="60" min="2" max="12" man="1"/>
    <brk id="115" min="2" max="12" man="1"/>
    <brk id="181" min="2" max="12" man="1"/>
    <brk id="292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octubre</mes>
    <year xmlns="36c86fb7-c3ab-4219-b2b9-06651c03637a">2017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2017-11-27T15:20:18+00:00</PublishingStartDate>
    <_dlc_DocId xmlns="8b099203-c902-4a5b-992f-1f849b15ff82">Q5F7QW3RQ55V-2035-369</_dlc_DocId>
    <_dlc_DocIdUrl xmlns="8b099203-c902-4a5b-992f-1f849b15ff82">
      <Url>http://admin.webtenerife.com/es/investigacion/Situacion-turistica/indicadores-turisticos/_layouts/DocIdRedir.aspx?ID=Q5F7QW3RQ55V-2035-369</Url>
      <Description>Q5F7QW3RQ55V-2035-369</Description>
    </_dlc_DocIdUrl>
    <Pagina xmlns="36c86fb7-c3ab-4219-b2b9-06651c03637a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5DCF10-F649-468E-B24C-3489FF5B3FC4}"/>
</file>

<file path=customXml/itemProps2.xml><?xml version="1.0" encoding="utf-8"?>
<ds:datastoreItem xmlns:ds="http://schemas.openxmlformats.org/officeDocument/2006/customXml" ds:itemID="{25D28350-1319-4553-8E72-7B05B84855F1}"/>
</file>

<file path=customXml/itemProps3.xml><?xml version="1.0" encoding="utf-8"?>
<ds:datastoreItem xmlns:ds="http://schemas.openxmlformats.org/officeDocument/2006/customXml" ds:itemID="{50EDE6A3-FFEF-4823-94D7-59341DB3DB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 turísticos (vinculo)</vt:lpstr>
      <vt:lpstr>'Ind turísticos (vinculo)'!Área_de_impresión</vt:lpstr>
      <vt:lpstr>'Ind turísticos (vinculo)'!Print_Area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(octubre y acumulado 2017)</dc:title>
  <dc:creator>Alejandro Garcia</dc:creator>
  <cp:lastModifiedBy>Alejandro Garcia</cp:lastModifiedBy>
  <cp:lastPrinted>2017-11-21T09:06:04Z</cp:lastPrinted>
  <dcterms:created xsi:type="dcterms:W3CDTF">2017-11-21T09:03:07Z</dcterms:created>
  <dcterms:modified xsi:type="dcterms:W3CDTF">2017-11-21T09:26:25Z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e7a139d0-234b-4118-827b-0dbb4a7edc56</vt:lpwstr>
  </property>
</Properties>
</file>