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1310"/>
  </bookViews>
  <sheets>
    <sheet name="Ind turísticos (vinculo)" sheetId="1" r:id="rId1"/>
  </sheets>
  <externalReferences>
    <externalReference r:id="rId2"/>
  </externalReferences>
  <definedNames>
    <definedName name="_xlnm.Print_Area" localSheetId="0">'Ind turísticos (vinculo)'!$C$1:$M$319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(vinculo)'!$C$1:$M$321</definedName>
    <definedName name="Z_B161D6A3_44F3_469D_B50D_76D907B3525C_.wvu.Cols" localSheetId="0" hidden="1">'Ind turísticos (vinculo)'!#REF!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0" i="1" l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K230" i="1"/>
  <c r="J230" i="1"/>
  <c r="I230" i="1"/>
  <c r="H230" i="1"/>
  <c r="G230" i="1"/>
  <c r="F230" i="1"/>
  <c r="E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K202" i="1"/>
  <c r="J202" i="1"/>
  <c r="I202" i="1"/>
  <c r="H202" i="1"/>
  <c r="G202" i="1"/>
  <c r="F202" i="1"/>
  <c r="E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87" i="1"/>
  <c r="M64" i="1"/>
  <c r="L64" i="1"/>
  <c r="K64" i="1"/>
  <c r="J64" i="1"/>
  <c r="I64" i="1"/>
  <c r="G64" i="1"/>
  <c r="F64" i="1"/>
  <c r="E64" i="1"/>
  <c r="D64" i="1"/>
  <c r="C64" i="1"/>
  <c r="G120" i="1"/>
  <c r="H309" i="1" l="1"/>
  <c r="G280" i="1"/>
  <c r="G282" i="1"/>
  <c r="H301" i="1"/>
  <c r="H304" i="1"/>
  <c r="H308" i="1"/>
  <c r="G279" i="1"/>
  <c r="G281" i="1"/>
  <c r="G283" i="1"/>
  <c r="H307" i="1"/>
  <c r="H299" i="1"/>
  <c r="H310" i="1"/>
  <c r="E184" i="1"/>
  <c r="E242" i="1"/>
  <c r="E294" i="1" s="1"/>
  <c r="C215" i="1"/>
  <c r="G152" i="1"/>
  <c r="I62" i="1"/>
  <c r="E117" i="1"/>
</calcChain>
</file>

<file path=xl/sharedStrings.xml><?xml version="1.0" encoding="utf-8"?>
<sst xmlns="http://schemas.openxmlformats.org/spreadsheetml/2006/main" count="583" uniqueCount="112">
  <si>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</si>
  <si>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</si>
  <si>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</si>
  <si>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</si>
  <si>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</si>
  <si>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</si>
  <si>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</si>
  <si>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</si>
  <si>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</si>
  <si>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</si>
  <si>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</si>
  <si>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</si>
  <si>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</si>
  <si>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</si>
  <si>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</si>
  <si>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</si>
  <si>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</si>
  <si>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</si>
  <si>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</si>
  <si>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</si>
  <si>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</si>
  <si>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</si>
  <si>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</si>
  <si>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</si>
  <si>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</si>
  <si>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</si>
  <si>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</si>
  <si>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</si>
  <si>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</si>
  <si>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</si>
  <si>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</si>
  <si>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</si>
  <si>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</si>
  <si>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</si>
  <si>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</si>
  <si>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</si>
  <si>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</si>
  <si>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</si>
  <si>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</si>
  <si>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</si>
  <si>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</si>
  <si>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</si>
  <si>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</si>
  <si>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</si>
  <si>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</si>
  <si>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</si>
  <si>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</si>
  <si>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</si>
  <si>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</si>
  <si>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</si>
  <si>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</si>
  <si>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</si>
  <si>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</si>
  <si>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</si>
  <si>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</si>
  <si>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</si>
  <si>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</si>
  <si>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</si>
  <si>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</si>
  <si>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</si>
  <si>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</si>
  <si>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</si>
  <si>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</si>
  <si>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</si>
  <si>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</si>
  <si>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</si>
  <si>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</si>
  <si>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</si>
  <si>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</si>
  <si>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</si>
  <si>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</si>
  <si>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</si>
  <si>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</si>
  <si>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</si>
  <si>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</si>
  <si>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</si>
  <si>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</si>
  <si>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</si>
  <si>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</si>
  <si>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</si>
  <si>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</si>
  <si>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</si>
  <si>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</si>
  <si>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</si>
  <si>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</si>
  <si>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</si>
  <si>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</si>
  <si>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</si>
  <si>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</si>
  <si>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</si>
  <si>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</si>
  <si>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</si>
  <si>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</si>
  <si>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julio 2017</t>
  </si>
  <si>
    <t>acumulado julio 2017</t>
  </si>
  <si>
    <t>Muestra hotelera= 90,9%;   Muestra extrahotelera= 65,9%;   Muestra total= 80,5%</t>
  </si>
  <si>
    <t>El gasto medio total por turista en el primer semestre de 2017 ha ascendido a 1.061€ .</t>
  </si>
  <si>
    <t>I semestre 2017 
Encuesta sobre el turista que visita Tenerife, Cabildo de Tenerife</t>
  </si>
  <si>
    <t>El número de plazas autorizadas por Policía Turística a fecha de junio 2017 asciendían a 137.179 plazas, registrando un incremento del 0,4% respecto al cierre del año 2016.</t>
  </si>
  <si>
    <t>Las plazas hoteleras autorizadas ascienden a 84.083 y representan el 61% del total. Con respecto al año 2016, las plazas hoteleras se reducen un -0,6%.</t>
  </si>
  <si>
    <t>Las plazas extrahoteleras autorizadas, el 38% del total, ascienden a  51.626 (no incluye oferta rural). Aumentan un +2,1%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</si>
  <si>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</si>
  <si>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913, registrando un incremento del 1,0% respecto a 2016.</t>
  </si>
  <si>
    <t>Las plazas estimadas por el STDE del Cabildo de Tenerife en el II semestre de 2017 ascienden a 160.825. Se incremantan un 1,6% respecto al mismo período del año anterior.</t>
  </si>
  <si>
    <t>La oferta extrahotelera estimada por el STDE del Cabildo de Tenerife en el II semestre de 2017, asciende a 67.397 plazas, incluyendo oferta rural. Supone el 41,9% del total de las plazas turísticas, registrando un incremento del 2,5%.</t>
  </si>
  <si>
    <t>Las plazas estimadas para la zona de La Laguna, Bajamar, La Punta ascienden a 1.418 en el II semestre de 2017, registrando un incremento respecto al mismo periodo del año anterior del 42,8%.</t>
  </si>
  <si>
    <t>Las plazas extrahoteleras se estiman en 594, registrándose un incremento del 43,1% respecto al II semestre del año anterior.</t>
  </si>
  <si>
    <t>Las plazas totales estimadas para la zona Norte se sitúan en las 28.590 plazas,  registrándose un incremento del 5,6% con respecto al incremento del 43,1% respecto al II semestre del año anterior.</t>
  </si>
  <si>
    <t>Las plazas extrahoteleras estimadas se sitúan en las 57.413 en el II semestre del  2017, con un incremento del 1,8%  respecto al II semestre del año anterior.</t>
  </si>
  <si>
    <t>Por el Puerto de Santa Cruz de Tenerife han pasado en los primeros siete meses del año 2017, 264.640 cruceristas, un -14,1% menos en comparación al mismo período del año 2016</t>
  </si>
  <si>
    <t>El número de buques de crucero en el Puerto de Santa Cruz de Tenerife hasta julio 2017 ascienden a un total de 0 cruceros, cifra que se reduce un -100,0% respecto al mismo período del año anterior.</t>
  </si>
  <si>
    <t>Acumulado julio 2017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</si>
</sst>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5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/>
      <right/>
      <top style="thick">
        <color theme="0" tint="-0.1498458815271462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4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6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9" xfId="0" applyFont="1" applyFill="1" applyBorder="1" applyAlignment="1" applyProtection="1">
      <alignment horizontal="justify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3" xfId="0" applyFont="1" applyFill="1" applyBorder="1" applyAlignment="1" applyProtection="1">
      <alignment horizontal="justify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3" fontId="9" fillId="5" borderId="12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7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7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3" fontId="10" fillId="0" borderId="13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2" fillId="0" borderId="133" xfId="0" applyFont="1" applyFill="1" applyBorder="1" applyAlignment="1" applyProtection="1">
      <alignment horizontal="justify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3" fontId="10" fillId="0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7" xfId="0" applyFont="1" applyFill="1" applyBorder="1" applyAlignment="1" applyProtection="1">
      <alignment horizontal="justify" vertical="center" wrapText="1"/>
      <protection hidden="1"/>
    </xf>
    <xf numFmtId="0" fontId="2" fillId="0" borderId="128" xfId="0" applyFont="1" applyFill="1" applyBorder="1" applyAlignment="1" applyProtection="1">
      <alignment horizontal="justify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0" fontId="12" fillId="7" borderId="130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3" fontId="10" fillId="7" borderId="132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2" fillId="7" borderId="133" xfId="0" applyFont="1" applyFill="1" applyBorder="1" applyAlignment="1" applyProtection="1">
      <alignment horizontal="justify" vertical="center" wrapText="1"/>
      <protection hidden="1"/>
    </xf>
    <xf numFmtId="0" fontId="12" fillId="7" borderId="136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3" xfId="0" applyFont="1" applyFill="1" applyBorder="1" applyAlignment="1" applyProtection="1">
      <alignment horizontal="justify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3" fontId="10" fillId="7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7" xfId="0" applyFont="1" applyFill="1" applyBorder="1" applyAlignment="1" applyProtection="1">
      <alignment horizontal="justify" vertical="center" wrapText="1"/>
      <protection hidden="1"/>
    </xf>
    <xf numFmtId="0" fontId="2" fillId="7" borderId="128" xfId="0" applyFont="1" applyFill="1" applyBorder="1" applyAlignment="1" applyProtection="1">
      <alignment horizontal="justify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3" xfId="0" applyFont="1" applyFill="1" applyBorder="1" applyAlignment="1" applyProtection="1">
      <alignment horizontal="justify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29" xfId="0" applyFont="1" applyFill="1" applyBorder="1" applyAlignment="1" applyProtection="1">
      <alignment horizontal="center" vertical="center" wrapText="1"/>
      <protection hidden="1"/>
    </xf>
    <xf numFmtId="0" fontId="12" fillId="6" borderId="130" xfId="0" applyFont="1" applyFill="1" applyBorder="1" applyAlignment="1" applyProtection="1">
      <alignment horizontal="center" vertical="center" wrapText="1"/>
      <protection hidden="1"/>
    </xf>
    <xf numFmtId="0" fontId="12" fillId="6" borderId="131" xfId="0" applyFont="1" applyFill="1" applyBorder="1" applyAlignment="1" applyProtection="1">
      <alignment horizontal="center" vertical="center" wrapText="1"/>
      <protection hidden="1"/>
    </xf>
    <xf numFmtId="3" fontId="10" fillId="6" borderId="13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6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0" fontId="12" fillId="6" borderId="122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7" borderId="143" xfId="0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justify" vertical="center" wrapText="1"/>
      <protection hidden="1"/>
    </xf>
    <xf numFmtId="0" fontId="2" fillId="7" borderId="115" xfId="0" applyFont="1" applyFill="1" applyBorder="1" applyAlignment="1" applyProtection="1">
      <alignment horizontal="justify" vertical="center" wrapText="1"/>
      <protection hidden="1"/>
    </xf>
    <xf numFmtId="0" fontId="2" fillId="0" borderId="144" xfId="0" applyFont="1" applyFill="1" applyBorder="1" applyAlignment="1" applyProtection="1">
      <alignment vertical="center" wrapText="1"/>
      <protection hidden="1"/>
    </xf>
    <xf numFmtId="0" fontId="2" fillId="0" borderId="144" xfId="0" applyFont="1" applyBorder="1" applyAlignment="1" applyProtection="1">
      <alignment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258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2" name="7 Imagen">
          <a:extLst>
            <a:ext uri="{FF2B5EF4-FFF2-40B4-BE49-F238E27FC236}">
              <a16:creationId xmlns:a16="http://schemas.microsoft.com/office/drawing/2014/main" id="{13CF56B1-B528-41F7-8CDC-AF2C900AA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60</xdr:row>
      <xdr:rowOff>0</xdr:rowOff>
    </xdr:from>
    <xdr:to>
      <xdr:col>2</xdr:col>
      <xdr:colOff>1190624</xdr:colOff>
      <xdr:row>61</xdr:row>
      <xdr:rowOff>16754</xdr:rowOff>
    </xdr:to>
    <xdr:pic>
      <xdr:nvPicPr>
        <xdr:cNvPr id="3" name="2294 Imagen">
          <a:extLst>
            <a:ext uri="{FF2B5EF4-FFF2-40B4-BE49-F238E27FC236}">
              <a16:creationId xmlns:a16="http://schemas.microsoft.com/office/drawing/2014/main" id="{1A37248D-5E73-4268-A61D-5BB403D6D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020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116</xdr:row>
      <xdr:rowOff>0</xdr:rowOff>
    </xdr:from>
    <xdr:to>
      <xdr:col>2</xdr:col>
      <xdr:colOff>1200149</xdr:colOff>
      <xdr:row>117</xdr:row>
      <xdr:rowOff>16753</xdr:rowOff>
    </xdr:to>
    <xdr:pic>
      <xdr:nvPicPr>
        <xdr:cNvPr id="4" name="2296 Imagen">
          <a:extLst>
            <a:ext uri="{FF2B5EF4-FFF2-40B4-BE49-F238E27FC236}">
              <a16:creationId xmlns:a16="http://schemas.microsoft.com/office/drawing/2014/main" id="{991989BB-3166-44AB-8A07-1E52FD506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76612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241</xdr:row>
      <xdr:rowOff>0</xdr:rowOff>
    </xdr:from>
    <xdr:to>
      <xdr:col>2</xdr:col>
      <xdr:colOff>1200149</xdr:colOff>
      <xdr:row>242</xdr:row>
      <xdr:rowOff>16753</xdr:rowOff>
    </xdr:to>
    <xdr:pic>
      <xdr:nvPicPr>
        <xdr:cNvPr id="5" name="2297 Imagen">
          <a:extLst>
            <a:ext uri="{FF2B5EF4-FFF2-40B4-BE49-F238E27FC236}">
              <a16:creationId xmlns:a16="http://schemas.microsoft.com/office/drawing/2014/main" id="{4C988078-B9EE-44F7-8435-B1A086B80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435375"/>
          <a:ext cx="1200149" cy="6549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293</xdr:row>
      <xdr:rowOff>0</xdr:rowOff>
    </xdr:from>
    <xdr:to>
      <xdr:col>2</xdr:col>
      <xdr:colOff>1200149</xdr:colOff>
      <xdr:row>294</xdr:row>
      <xdr:rowOff>16755</xdr:rowOff>
    </xdr:to>
    <xdr:pic>
      <xdr:nvPicPr>
        <xdr:cNvPr id="6" name="2298 Imagen">
          <a:extLst>
            <a:ext uri="{FF2B5EF4-FFF2-40B4-BE49-F238E27FC236}">
              <a16:creationId xmlns:a16="http://schemas.microsoft.com/office/drawing/2014/main" id="{F8FDF2C9-CC08-464B-8B51-CB76DBECD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028050"/>
          <a:ext cx="1200149" cy="65493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723900</xdr:colOff>
      <xdr:row>316</xdr:row>
      <xdr:rowOff>47625</xdr:rowOff>
    </xdr:from>
    <xdr:to>
      <xdr:col>9</xdr:col>
      <xdr:colOff>390525</xdr:colOff>
      <xdr:row>317</xdr:row>
      <xdr:rowOff>314324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F5EA131-AD79-418D-95D0-FAF02CA19B0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80705325"/>
          <a:ext cx="5076825" cy="438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2">
    <tabColor theme="5" tint="0.39997558519241921"/>
  </sheetPr>
  <dimension ref="B1:T332"/>
  <sheetViews>
    <sheetView showGridLines="0" tabSelected="1" showRuler="0" zoomScale="85" zoomScaleNormal="85" workbookViewId="0">
      <selection activeCell="S17" sqref="S17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94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518361</v>
      </c>
      <c r="G9" s="36">
        <v>-3.3170502166690596E-4</v>
      </c>
      <c r="H9" s="37"/>
      <c r="I9" s="38" t="s">
        <v>7</v>
      </c>
      <c r="J9" s="39" t="s">
        <v>8</v>
      </c>
      <c r="K9" s="40">
        <v>3296020</v>
      </c>
      <c r="L9" s="41">
        <v>1.881551668872139E-2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346606</v>
      </c>
      <c r="G10" s="47">
        <v>1.1415431842985324E-2</v>
      </c>
      <c r="H10" s="48"/>
      <c r="I10" s="43"/>
      <c r="J10" s="45" t="s">
        <v>10</v>
      </c>
      <c r="K10" s="46">
        <v>2232391</v>
      </c>
      <c r="L10" s="49">
        <v>1.6186027795467295E-2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171755</v>
      </c>
      <c r="G11" s="36">
        <v>-2.3225791775430937E-2</v>
      </c>
      <c r="H11" s="48"/>
      <c r="I11" s="53"/>
      <c r="J11" s="54" t="s">
        <v>11</v>
      </c>
      <c r="K11" s="55">
        <v>1063629</v>
      </c>
      <c r="L11" s="56">
        <v>2.4378898138909477E-2</v>
      </c>
      <c r="M11" s="42"/>
    </row>
    <row r="12" spans="2:13" ht="24.75" hidden="1" customHeight="1" x14ac:dyDescent="0.2">
      <c r="C12" s="57" t="s">
        <v>12</v>
      </c>
      <c r="D12" s="58"/>
      <c r="E12" s="59" t="s">
        <v>8</v>
      </c>
      <c r="F12" s="60">
        <v>18908</v>
      </c>
      <c r="G12" s="61">
        <v>1.4377682403433401E-2</v>
      </c>
      <c r="H12" s="62"/>
      <c r="I12" s="57" t="s">
        <v>12</v>
      </c>
      <c r="J12" s="59" t="s">
        <v>8</v>
      </c>
      <c r="K12" s="60">
        <v>139713</v>
      </c>
      <c r="L12" s="41">
        <v>-6.1319580295216003E-3</v>
      </c>
      <c r="M12" s="42"/>
    </row>
    <row r="13" spans="2:13" ht="46.5" customHeight="1" thickBot="1" x14ac:dyDescent="0.25">
      <c r="C13" s="63"/>
      <c r="D13" s="64"/>
      <c r="E13" s="65" t="s">
        <v>10</v>
      </c>
      <c r="F13" s="66">
        <v>18908</v>
      </c>
      <c r="G13" s="47">
        <v>3.9072374567236334E-2</v>
      </c>
      <c r="H13" s="62"/>
      <c r="I13" s="63"/>
      <c r="J13" s="65" t="s">
        <v>10</v>
      </c>
      <c r="K13" s="66">
        <v>139713</v>
      </c>
      <c r="L13" s="49">
        <v>-9.296139241864454E-4</v>
      </c>
      <c r="M13" s="42"/>
    </row>
    <row r="14" spans="2:13" ht="24.75" hidden="1" customHeight="1" x14ac:dyDescent="0.2">
      <c r="C14" s="67"/>
      <c r="D14" s="68"/>
      <c r="E14" s="69" t="s">
        <v>11</v>
      </c>
      <c r="F14" s="70">
        <v>0</v>
      </c>
      <c r="G14" s="71">
        <v>-1</v>
      </c>
      <c r="H14" s="62"/>
      <c r="I14" s="67"/>
      <c r="J14" s="69" t="s">
        <v>11</v>
      </c>
      <c r="K14" s="70">
        <v>0</v>
      </c>
      <c r="L14" s="56">
        <v>-1</v>
      </c>
      <c r="M14" s="42"/>
    </row>
    <row r="15" spans="2:13" ht="24.75" customHeight="1" x14ac:dyDescent="0.2">
      <c r="C15" s="72" t="s">
        <v>13</v>
      </c>
      <c r="D15" s="73"/>
      <c r="E15" s="74" t="s">
        <v>8</v>
      </c>
      <c r="F15" s="75">
        <v>5030</v>
      </c>
      <c r="G15" s="61">
        <v>0.46519079522283713</v>
      </c>
      <c r="H15" s="62"/>
      <c r="I15" s="72" t="s">
        <v>13</v>
      </c>
      <c r="J15" s="74" t="s">
        <v>8</v>
      </c>
      <c r="K15" s="75">
        <v>27736</v>
      </c>
      <c r="L15" s="41">
        <v>0.13379389281772469</v>
      </c>
      <c r="M15" s="42"/>
    </row>
    <row r="16" spans="2:13" ht="24.75" customHeight="1" x14ac:dyDescent="0.2">
      <c r="C16" s="76"/>
      <c r="D16" s="77"/>
      <c r="E16" s="78" t="s">
        <v>10</v>
      </c>
      <c r="F16" s="79">
        <v>4153</v>
      </c>
      <c r="G16" s="47">
        <v>0.45209790209790213</v>
      </c>
      <c r="H16" s="62"/>
      <c r="I16" s="76"/>
      <c r="J16" s="78" t="s">
        <v>10</v>
      </c>
      <c r="K16" s="79">
        <v>21400</v>
      </c>
      <c r="L16" s="49">
        <v>6.3988465171779474E-2</v>
      </c>
      <c r="M16" s="42"/>
    </row>
    <row r="17" spans="3:13" ht="24.75" customHeight="1" thickBot="1" x14ac:dyDescent="0.25">
      <c r="C17" s="80"/>
      <c r="D17" s="81"/>
      <c r="E17" s="82" t="s">
        <v>11</v>
      </c>
      <c r="F17" s="83">
        <v>877</v>
      </c>
      <c r="G17" s="71">
        <v>0.53054101221640493</v>
      </c>
      <c r="H17" s="62"/>
      <c r="I17" s="80"/>
      <c r="J17" s="82" t="s">
        <v>11</v>
      </c>
      <c r="K17" s="83">
        <v>6336</v>
      </c>
      <c r="L17" s="56">
        <v>0.4565517241379311</v>
      </c>
      <c r="M17" s="42"/>
    </row>
    <row r="18" spans="3:13" ht="24.75" customHeight="1" x14ac:dyDescent="0.2">
      <c r="C18" s="57" t="s">
        <v>14</v>
      </c>
      <c r="D18" s="58"/>
      <c r="E18" s="59" t="s">
        <v>8</v>
      </c>
      <c r="F18" s="60">
        <v>107270</v>
      </c>
      <c r="G18" s="61">
        <v>0.10460087321855172</v>
      </c>
      <c r="H18" s="62"/>
      <c r="I18" s="57" t="s">
        <v>14</v>
      </c>
      <c r="J18" s="59" t="s">
        <v>8</v>
      </c>
      <c r="K18" s="60">
        <v>623471</v>
      </c>
      <c r="L18" s="41">
        <v>0.1103767620370617</v>
      </c>
      <c r="M18" s="42"/>
    </row>
    <row r="19" spans="3:13" ht="24.75" customHeight="1" x14ac:dyDescent="0.2">
      <c r="C19" s="63"/>
      <c r="D19" s="64"/>
      <c r="E19" s="65" t="s">
        <v>10</v>
      </c>
      <c r="F19" s="66">
        <v>76903</v>
      </c>
      <c r="G19" s="47">
        <v>0.12871882934848022</v>
      </c>
      <c r="H19" s="62"/>
      <c r="I19" s="63"/>
      <c r="J19" s="65" t="s">
        <v>10</v>
      </c>
      <c r="K19" s="66">
        <v>459933</v>
      </c>
      <c r="L19" s="49">
        <v>0.11016090023027125</v>
      </c>
      <c r="M19" s="42"/>
    </row>
    <row r="20" spans="3:13" ht="24.75" customHeight="1" thickBot="1" x14ac:dyDescent="0.25">
      <c r="C20" s="67"/>
      <c r="D20" s="68"/>
      <c r="E20" s="69" t="s">
        <v>11</v>
      </c>
      <c r="F20" s="70">
        <v>30367</v>
      </c>
      <c r="G20" s="71">
        <v>4.7896752821008359E-2</v>
      </c>
      <c r="H20" s="62"/>
      <c r="I20" s="67"/>
      <c r="J20" s="69" t="s">
        <v>11</v>
      </c>
      <c r="K20" s="70">
        <v>163538</v>
      </c>
      <c r="L20" s="56">
        <v>0.11098430037839413</v>
      </c>
      <c r="M20" s="42"/>
    </row>
    <row r="21" spans="3:13" ht="24.75" customHeight="1" x14ac:dyDescent="0.2">
      <c r="C21" s="84" t="s">
        <v>15</v>
      </c>
      <c r="D21" s="85"/>
      <c r="E21" s="86" t="s">
        <v>8</v>
      </c>
      <c r="F21" s="87">
        <v>387153</v>
      </c>
      <c r="G21" s="61">
        <v>-3.0537275759487947E-2</v>
      </c>
      <c r="H21" s="62"/>
      <c r="I21" s="84" t="s">
        <v>15</v>
      </c>
      <c r="J21" s="86" t="s">
        <v>8</v>
      </c>
      <c r="K21" s="87">
        <v>2505100</v>
      </c>
      <c r="L21" s="41">
        <v>-1.401569630425703E-3</v>
      </c>
      <c r="M21" s="42"/>
    </row>
    <row r="22" spans="3:13" ht="24.75" customHeight="1" x14ac:dyDescent="0.2">
      <c r="C22" s="88"/>
      <c r="D22" s="89"/>
      <c r="E22" s="90" t="s">
        <v>10</v>
      </c>
      <c r="F22" s="91">
        <v>246642</v>
      </c>
      <c r="G22" s="47">
        <v>-2.7068606412522067E-2</v>
      </c>
      <c r="H22" s="62"/>
      <c r="I22" s="88"/>
      <c r="J22" s="90" t="s">
        <v>10</v>
      </c>
      <c r="K22" s="91">
        <v>1611345</v>
      </c>
      <c r="L22" s="49">
        <v>-6.9259939245018831E-3</v>
      </c>
      <c r="M22" s="42"/>
    </row>
    <row r="23" spans="3:13" ht="24.75" customHeight="1" thickBot="1" x14ac:dyDescent="0.25">
      <c r="C23" s="92"/>
      <c r="D23" s="93"/>
      <c r="E23" s="94" t="s">
        <v>11</v>
      </c>
      <c r="F23" s="95">
        <v>140511</v>
      </c>
      <c r="G23" s="71">
        <v>-3.6566468281177156E-2</v>
      </c>
      <c r="H23" s="62"/>
      <c r="I23" s="92"/>
      <c r="J23" s="94" t="s">
        <v>11</v>
      </c>
      <c r="K23" s="95">
        <v>893755</v>
      </c>
      <c r="L23" s="56">
        <v>8.7152510120955817E-3</v>
      </c>
      <c r="M23" s="42"/>
    </row>
    <row r="24" spans="3:13" ht="5.25" customHeight="1" thickBot="1" x14ac:dyDescent="0.25"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</row>
    <row r="25" spans="3:13" ht="20.100000000000001" customHeight="1" thickBot="1" x14ac:dyDescent="0.25">
      <c r="C25" s="27" t="s">
        <v>16</v>
      </c>
      <c r="D25" s="28"/>
      <c r="E25" s="28"/>
      <c r="F25" s="28"/>
      <c r="G25" s="28"/>
      <c r="H25" s="28"/>
      <c r="I25" s="28"/>
      <c r="J25" s="28"/>
      <c r="K25" s="28"/>
      <c r="L25" s="28"/>
      <c r="M25" s="29"/>
    </row>
    <row r="26" spans="3:13" ht="5.25" customHeight="1" thickBot="1" x14ac:dyDescent="0.25"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97"/>
    </row>
    <row r="27" spans="3:13" ht="24.95" customHeight="1" x14ac:dyDescent="0.2">
      <c r="C27" s="38" t="s">
        <v>7</v>
      </c>
      <c r="D27" s="98"/>
      <c r="E27" s="39" t="s">
        <v>8</v>
      </c>
      <c r="F27" s="35">
        <v>3872857</v>
      </c>
      <c r="G27" s="36">
        <v>-5.5997099622919766E-3</v>
      </c>
      <c r="H27" s="37"/>
      <c r="I27" s="38" t="s">
        <v>7</v>
      </c>
      <c r="J27" s="39" t="s">
        <v>8</v>
      </c>
      <c r="K27" s="40">
        <v>24262326</v>
      </c>
      <c r="L27" s="41">
        <v>-6.1119834894873826E-5</v>
      </c>
      <c r="M27" s="42" t="s">
        <v>9</v>
      </c>
    </row>
    <row r="28" spans="3:13" ht="24.95" customHeight="1" x14ac:dyDescent="0.2">
      <c r="C28" s="43"/>
      <c r="D28" s="44"/>
      <c r="E28" s="45" t="s">
        <v>10</v>
      </c>
      <c r="F28" s="46">
        <v>2445979</v>
      </c>
      <c r="G28" s="47">
        <v>-1.3979361112801958E-2</v>
      </c>
      <c r="H28" s="48"/>
      <c r="I28" s="43"/>
      <c r="J28" s="45" t="s">
        <v>10</v>
      </c>
      <c r="K28" s="46">
        <v>15592054</v>
      </c>
      <c r="L28" s="49">
        <v>-7.5955087360188855E-3</v>
      </c>
      <c r="M28" s="42"/>
    </row>
    <row r="29" spans="3:13" ht="24.95" customHeight="1" thickBot="1" x14ac:dyDescent="0.25">
      <c r="C29" s="53"/>
      <c r="D29" s="99"/>
      <c r="E29" s="54" t="s">
        <v>11</v>
      </c>
      <c r="F29" s="35">
        <v>1426878</v>
      </c>
      <c r="G29" s="36">
        <v>9.1010736140999526E-3</v>
      </c>
      <c r="H29" s="48"/>
      <c r="I29" s="53"/>
      <c r="J29" s="54" t="s">
        <v>11</v>
      </c>
      <c r="K29" s="55">
        <v>8670272</v>
      </c>
      <c r="L29" s="56">
        <v>1.3780077893751574E-2</v>
      </c>
      <c r="M29" s="42"/>
    </row>
    <row r="30" spans="3:13" ht="24.95" hidden="1" customHeight="1" x14ac:dyDescent="0.2">
      <c r="C30" s="57" t="s">
        <v>12</v>
      </c>
      <c r="D30" s="58"/>
      <c r="E30" s="59" t="s">
        <v>8</v>
      </c>
      <c r="F30" s="60">
        <v>43231</v>
      </c>
      <c r="G30" s="61">
        <v>-0.11580389830855131</v>
      </c>
      <c r="H30" s="62"/>
      <c r="I30" s="57" t="s">
        <v>12</v>
      </c>
      <c r="J30" s="59" t="s">
        <v>8</v>
      </c>
      <c r="K30" s="60">
        <v>325456</v>
      </c>
      <c r="L30" s="41">
        <v>-2.3050715175529479E-2</v>
      </c>
      <c r="M30" s="42"/>
    </row>
    <row r="31" spans="3:13" ht="48" customHeight="1" thickBot="1" x14ac:dyDescent="0.25">
      <c r="C31" s="63"/>
      <c r="D31" s="64"/>
      <c r="E31" s="65" t="s">
        <v>10</v>
      </c>
      <c r="F31" s="66">
        <v>43231</v>
      </c>
      <c r="G31" s="47">
        <v>1.3646275410912345E-2</v>
      </c>
      <c r="H31" s="62"/>
      <c r="I31" s="63"/>
      <c r="J31" s="65" t="s">
        <v>10</v>
      </c>
      <c r="K31" s="66">
        <v>325456</v>
      </c>
      <c r="L31" s="49">
        <v>5.7106128402264478E-3</v>
      </c>
      <c r="M31" s="42"/>
    </row>
    <row r="32" spans="3:13" ht="24.95" hidden="1" customHeight="1" x14ac:dyDescent="0.2">
      <c r="C32" s="67"/>
      <c r="D32" s="68"/>
      <c r="E32" s="69" t="s">
        <v>11</v>
      </c>
      <c r="F32" s="70">
        <v>0</v>
      </c>
      <c r="G32" s="71">
        <v>-1</v>
      </c>
      <c r="H32" s="62"/>
      <c r="I32" s="67"/>
      <c r="J32" s="69" t="s">
        <v>11</v>
      </c>
      <c r="K32" s="70">
        <v>0</v>
      </c>
      <c r="L32" s="56">
        <v>-1</v>
      </c>
      <c r="M32" s="42"/>
    </row>
    <row r="33" spans="3:13" ht="24.95" customHeight="1" x14ac:dyDescent="0.2">
      <c r="C33" s="72" t="s">
        <v>13</v>
      </c>
      <c r="D33" s="73"/>
      <c r="E33" s="74" t="s">
        <v>8</v>
      </c>
      <c r="F33" s="75">
        <v>14393</v>
      </c>
      <c r="G33" s="61">
        <v>0.44218436873747491</v>
      </c>
      <c r="H33" s="62"/>
      <c r="I33" s="72" t="s">
        <v>13</v>
      </c>
      <c r="J33" s="74" t="s">
        <v>8</v>
      </c>
      <c r="K33" s="75">
        <v>105733</v>
      </c>
      <c r="L33" s="41">
        <v>0.2687858497132023</v>
      </c>
      <c r="M33" s="42"/>
    </row>
    <row r="34" spans="3:13" ht="24.95" customHeight="1" x14ac:dyDescent="0.2">
      <c r="C34" s="76"/>
      <c r="D34" s="77"/>
      <c r="E34" s="78" t="s">
        <v>10</v>
      </c>
      <c r="F34" s="79">
        <v>10213</v>
      </c>
      <c r="G34" s="47">
        <v>0.43139453398738614</v>
      </c>
      <c r="H34" s="62"/>
      <c r="I34" s="76"/>
      <c r="J34" s="78" t="s">
        <v>10</v>
      </c>
      <c r="K34" s="79">
        <v>67596</v>
      </c>
      <c r="L34" s="49">
        <v>0.21490321537051349</v>
      </c>
      <c r="M34" s="42"/>
    </row>
    <row r="35" spans="3:13" ht="24.95" customHeight="1" thickBot="1" x14ac:dyDescent="0.25">
      <c r="C35" s="80"/>
      <c r="D35" s="81"/>
      <c r="E35" s="82" t="s">
        <v>11</v>
      </c>
      <c r="F35" s="83">
        <v>4180</v>
      </c>
      <c r="G35" s="71">
        <v>0.46924428822495612</v>
      </c>
      <c r="H35" s="62"/>
      <c r="I35" s="80"/>
      <c r="J35" s="82" t="s">
        <v>11</v>
      </c>
      <c r="K35" s="83">
        <v>38137</v>
      </c>
      <c r="L35" s="56">
        <v>0.37703556598664023</v>
      </c>
      <c r="M35" s="42"/>
    </row>
    <row r="36" spans="3:13" ht="24.95" customHeight="1" x14ac:dyDescent="0.2">
      <c r="C36" s="57" t="s">
        <v>14</v>
      </c>
      <c r="D36" s="58"/>
      <c r="E36" s="59" t="s">
        <v>8</v>
      </c>
      <c r="F36" s="60">
        <v>706506</v>
      </c>
      <c r="G36" s="61">
        <v>0.12674811931148544</v>
      </c>
      <c r="H36" s="62"/>
      <c r="I36" s="57" t="s">
        <v>14</v>
      </c>
      <c r="J36" s="59" t="s">
        <v>8</v>
      </c>
      <c r="K36" s="60">
        <v>4293422</v>
      </c>
      <c r="L36" s="41">
        <v>6.8095397192675433E-2</v>
      </c>
      <c r="M36" s="42"/>
    </row>
    <row r="37" spans="3:13" ht="24.95" customHeight="1" x14ac:dyDescent="0.2">
      <c r="C37" s="63"/>
      <c r="D37" s="64"/>
      <c r="E37" s="65" t="s">
        <v>10</v>
      </c>
      <c r="F37" s="66">
        <v>499637</v>
      </c>
      <c r="G37" s="47">
        <v>0.16011999712081204</v>
      </c>
      <c r="H37" s="62"/>
      <c r="I37" s="63"/>
      <c r="J37" s="65" t="s">
        <v>10</v>
      </c>
      <c r="K37" s="66">
        <v>3095726</v>
      </c>
      <c r="L37" s="49">
        <v>6.7503871595780307E-2</v>
      </c>
      <c r="M37" s="42"/>
    </row>
    <row r="38" spans="3:13" ht="24.95" customHeight="1" thickBot="1" x14ac:dyDescent="0.25">
      <c r="C38" s="67"/>
      <c r="D38" s="68"/>
      <c r="E38" s="69" t="s">
        <v>11</v>
      </c>
      <c r="F38" s="70">
        <v>206869</v>
      </c>
      <c r="G38" s="71">
        <v>5.3551239088584834E-2</v>
      </c>
      <c r="H38" s="62"/>
      <c r="I38" s="67"/>
      <c r="J38" s="69" t="s">
        <v>11</v>
      </c>
      <c r="K38" s="70">
        <v>1197696</v>
      </c>
      <c r="L38" s="56">
        <v>6.9627375121904089E-2</v>
      </c>
      <c r="M38" s="42"/>
    </row>
    <row r="39" spans="3:13" ht="24.95" customHeight="1" x14ac:dyDescent="0.2">
      <c r="C39" s="84" t="s">
        <v>15</v>
      </c>
      <c r="D39" s="85"/>
      <c r="E39" s="86" t="s">
        <v>8</v>
      </c>
      <c r="F39" s="87">
        <v>3108727</v>
      </c>
      <c r="G39" s="61">
        <v>-3.1175574879034329E-2</v>
      </c>
      <c r="H39" s="62"/>
      <c r="I39" s="84" t="s">
        <v>15</v>
      </c>
      <c r="J39" s="86" t="s">
        <v>8</v>
      </c>
      <c r="K39" s="87">
        <v>19537715</v>
      </c>
      <c r="L39" s="41">
        <v>-1.4622314374160839E-2</v>
      </c>
      <c r="M39" s="42"/>
    </row>
    <row r="40" spans="3:13" ht="24.95" customHeight="1" x14ac:dyDescent="0.2">
      <c r="C40" s="88"/>
      <c r="D40" s="89"/>
      <c r="E40" s="90" t="s">
        <v>10</v>
      </c>
      <c r="F40" s="91">
        <v>1892898</v>
      </c>
      <c r="G40" s="47">
        <v>-5.3643742913194514E-2</v>
      </c>
      <c r="H40" s="62"/>
      <c r="I40" s="88"/>
      <c r="J40" s="90" t="s">
        <v>10</v>
      </c>
      <c r="K40" s="91">
        <v>12103276</v>
      </c>
      <c r="L40" s="49">
        <v>-2.6455545674385572E-2</v>
      </c>
      <c r="M40" s="42"/>
    </row>
    <row r="41" spans="3:13" ht="24.95" customHeight="1" thickBot="1" x14ac:dyDescent="0.25">
      <c r="C41" s="92"/>
      <c r="D41" s="93"/>
      <c r="E41" s="94" t="s">
        <v>11</v>
      </c>
      <c r="F41" s="95">
        <v>1215829</v>
      </c>
      <c r="G41" s="71">
        <v>6.0096014615669269E-3</v>
      </c>
      <c r="H41" s="62"/>
      <c r="I41" s="92"/>
      <c r="J41" s="94" t="s">
        <v>11</v>
      </c>
      <c r="K41" s="95">
        <v>7434439</v>
      </c>
      <c r="L41" s="56">
        <v>5.2699864038299182E-3</v>
      </c>
      <c r="M41" s="42"/>
    </row>
    <row r="42" spans="3:13" ht="5.25" customHeight="1" thickBot="1" x14ac:dyDescent="0.25">
      <c r="C42" s="96"/>
      <c r="D42" s="96"/>
      <c r="F42" s="96"/>
      <c r="G42" s="96"/>
      <c r="H42" s="96"/>
      <c r="I42" s="96"/>
      <c r="J42" s="96"/>
      <c r="K42" s="96"/>
      <c r="L42" s="96"/>
      <c r="M42" s="96"/>
    </row>
    <row r="43" spans="3:13" ht="20.100000000000001" customHeight="1" thickBot="1" x14ac:dyDescent="0.25">
      <c r="C43" s="27" t="s">
        <v>17</v>
      </c>
      <c r="D43" s="28"/>
      <c r="E43" s="28"/>
      <c r="F43" s="28"/>
      <c r="G43" s="28"/>
      <c r="H43" s="28"/>
      <c r="I43" s="28"/>
      <c r="J43" s="28"/>
      <c r="K43" s="28"/>
      <c r="L43" s="28"/>
      <c r="M43" s="29"/>
    </row>
    <row r="44" spans="3:13" ht="5.25" customHeight="1" thickBot="1" x14ac:dyDescent="0.25"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97"/>
    </row>
    <row r="45" spans="3:13" ht="24.75" customHeight="1" x14ac:dyDescent="0.2">
      <c r="C45" s="38" t="s">
        <v>7</v>
      </c>
      <c r="D45" s="98"/>
      <c r="E45" s="39" t="s">
        <v>8</v>
      </c>
      <c r="F45" s="100">
        <v>7.4713510468573059</v>
      </c>
      <c r="G45" s="101">
        <v>-3.9580754975943044E-2</v>
      </c>
      <c r="H45" s="37"/>
      <c r="I45" s="38" t="s">
        <v>7</v>
      </c>
      <c r="J45" s="39" t="s">
        <v>8</v>
      </c>
      <c r="K45" s="100">
        <v>7.361097930231006</v>
      </c>
      <c r="L45" s="102">
        <v>-0.13896126333318559</v>
      </c>
      <c r="M45" s="42" t="s">
        <v>9</v>
      </c>
    </row>
    <row r="46" spans="3:13" ht="24.75" customHeight="1" x14ac:dyDescent="0.2">
      <c r="C46" s="43"/>
      <c r="D46" s="44"/>
      <c r="E46" s="45" t="s">
        <v>10</v>
      </c>
      <c r="F46" s="103">
        <v>7.0569436189794752</v>
      </c>
      <c r="G46" s="104">
        <v>-0.18175037624658685</v>
      </c>
      <c r="H46" s="48"/>
      <c r="I46" s="43"/>
      <c r="J46" s="45" t="s">
        <v>10</v>
      </c>
      <c r="K46" s="103">
        <v>6.9844637431346035</v>
      </c>
      <c r="L46" s="105">
        <v>-0.16737255939726836</v>
      </c>
      <c r="M46" s="42"/>
    </row>
    <row r="47" spans="3:13" ht="24.75" customHeight="1" thickBot="1" x14ac:dyDescent="0.25">
      <c r="C47" s="53"/>
      <c r="D47" s="99"/>
      <c r="E47" s="54" t="s">
        <v>11</v>
      </c>
      <c r="F47" s="106">
        <v>8.3076358766848131</v>
      </c>
      <c r="G47" s="107">
        <v>0.26613768800084614</v>
      </c>
      <c r="H47" s="48"/>
      <c r="I47" s="53"/>
      <c r="J47" s="54" t="s">
        <v>11</v>
      </c>
      <c r="K47" s="106">
        <v>8.1515942118915525</v>
      </c>
      <c r="L47" s="108">
        <v>-8.5222903514546644E-2</v>
      </c>
      <c r="M47" s="42"/>
    </row>
    <row r="48" spans="3:13" ht="24.75" hidden="1" customHeight="1" x14ac:dyDescent="0.2">
      <c r="C48" s="57" t="s">
        <v>12</v>
      </c>
      <c r="D48" s="58"/>
      <c r="E48" s="59" t="s">
        <v>8</v>
      </c>
      <c r="F48" s="109">
        <v>2.2863867146181511</v>
      </c>
      <c r="G48" s="101">
        <v>-0.33662830684107625</v>
      </c>
      <c r="H48" s="62"/>
      <c r="I48" s="57" t="s">
        <v>12</v>
      </c>
      <c r="J48" s="59" t="s">
        <v>8</v>
      </c>
      <c r="K48" s="109">
        <v>2.329461109560313</v>
      </c>
      <c r="L48" s="102">
        <v>-4.0341486918435088E-2</v>
      </c>
      <c r="M48" s="42"/>
    </row>
    <row r="49" spans="2:13" ht="50.25" customHeight="1" thickBot="1" x14ac:dyDescent="0.25">
      <c r="C49" s="63"/>
      <c r="D49" s="64"/>
      <c r="E49" s="65" t="s">
        <v>10</v>
      </c>
      <c r="F49" s="110">
        <v>2.2863867146181511</v>
      </c>
      <c r="G49" s="104">
        <v>-5.7351264169561045E-2</v>
      </c>
      <c r="H49" s="62"/>
      <c r="I49" s="63"/>
      <c r="J49" s="65" t="s">
        <v>10</v>
      </c>
      <c r="K49" s="110">
        <v>2.329461109560313</v>
      </c>
      <c r="L49" s="105">
        <v>1.5380318959425043E-2</v>
      </c>
      <c r="M49" s="42"/>
    </row>
    <row r="50" spans="2:13" ht="24.75" hidden="1" customHeight="1" x14ac:dyDescent="0.2">
      <c r="C50" s="67"/>
      <c r="D50" s="68"/>
      <c r="E50" s="69" t="s">
        <v>11</v>
      </c>
      <c r="F50" s="111" t="s">
        <v>38</v>
      </c>
      <c r="G50" s="107" t="s">
        <v>38</v>
      </c>
      <c r="H50" s="62"/>
      <c r="I50" s="67"/>
      <c r="J50" s="69" t="s">
        <v>11</v>
      </c>
      <c r="K50" s="111" t="e">
        <v>#DIV/0!</v>
      </c>
      <c r="L50" s="108" t="s">
        <v>38</v>
      </c>
      <c r="M50" s="42"/>
    </row>
    <row r="51" spans="2:13" ht="24.75" customHeight="1" x14ac:dyDescent="0.2">
      <c r="C51" s="72" t="s">
        <v>13</v>
      </c>
      <c r="D51" s="73"/>
      <c r="E51" s="74" t="s">
        <v>8</v>
      </c>
      <c r="F51" s="112">
        <v>2.8614314115308153</v>
      </c>
      <c r="G51" s="101">
        <v>-4.564694559123561E-2</v>
      </c>
      <c r="H51" s="62"/>
      <c r="I51" s="72" t="s">
        <v>13</v>
      </c>
      <c r="J51" s="74" t="s">
        <v>8</v>
      </c>
      <c r="K51" s="112">
        <v>3.8121214306316702</v>
      </c>
      <c r="L51" s="102">
        <v>0.40558911652465124</v>
      </c>
      <c r="M51" s="42"/>
    </row>
    <row r="52" spans="2:13" ht="24.75" customHeight="1" x14ac:dyDescent="0.2">
      <c r="C52" s="76"/>
      <c r="D52" s="77"/>
      <c r="E52" s="78" t="s">
        <v>10</v>
      </c>
      <c r="F52" s="113">
        <v>2.4591861305080664</v>
      </c>
      <c r="G52" s="104">
        <v>-3.5569114247178124E-2</v>
      </c>
      <c r="H52" s="62"/>
      <c r="I52" s="76"/>
      <c r="J52" s="78" t="s">
        <v>10</v>
      </c>
      <c r="K52" s="113">
        <v>3.1586915887850466</v>
      </c>
      <c r="L52" s="105">
        <v>0.39237129842557783</v>
      </c>
      <c r="M52" s="42"/>
    </row>
    <row r="53" spans="2:13" ht="24.75" customHeight="1" thickBot="1" x14ac:dyDescent="0.25">
      <c r="C53" s="80"/>
      <c r="D53" s="81"/>
      <c r="E53" s="82" t="s">
        <v>11</v>
      </c>
      <c r="F53" s="114">
        <v>4.7662485746864309</v>
      </c>
      <c r="G53" s="107">
        <v>-0.19884741135196382</v>
      </c>
      <c r="H53" s="62"/>
      <c r="I53" s="80"/>
      <c r="J53" s="82" t="s">
        <v>11</v>
      </c>
      <c r="K53" s="114">
        <v>6.0190972222222223</v>
      </c>
      <c r="L53" s="108">
        <v>-0.34756944444444393</v>
      </c>
      <c r="M53" s="42"/>
    </row>
    <row r="54" spans="2:13" ht="24.75" customHeight="1" x14ac:dyDescent="0.2">
      <c r="C54" s="57" t="s">
        <v>14</v>
      </c>
      <c r="D54" s="58"/>
      <c r="E54" s="59" t="s">
        <v>8</v>
      </c>
      <c r="F54" s="109">
        <v>6.5862403281439361</v>
      </c>
      <c r="G54" s="101">
        <v>0.12945846802366301</v>
      </c>
      <c r="H54" s="62"/>
      <c r="I54" s="57" t="s">
        <v>14</v>
      </c>
      <c r="J54" s="59" t="s">
        <v>8</v>
      </c>
      <c r="K54" s="109">
        <v>6.8863218978910004</v>
      </c>
      <c r="L54" s="102">
        <v>-0.27260026526272352</v>
      </c>
      <c r="M54" s="42"/>
    </row>
    <row r="55" spans="2:13" ht="24.75" customHeight="1" x14ac:dyDescent="0.2">
      <c r="C55" s="63"/>
      <c r="D55" s="64"/>
      <c r="E55" s="65" t="s">
        <v>10</v>
      </c>
      <c r="F55" s="110">
        <v>6.4969767109215502</v>
      </c>
      <c r="G55" s="104">
        <v>0.17585478762446982</v>
      </c>
      <c r="H55" s="62"/>
      <c r="I55" s="63"/>
      <c r="J55" s="65" t="s">
        <v>10</v>
      </c>
      <c r="K55" s="110">
        <v>6.7308194889255608</v>
      </c>
      <c r="L55" s="105">
        <v>-0.26896086029504129</v>
      </c>
      <c r="M55" s="42"/>
    </row>
    <row r="56" spans="2:13" ht="24.75" customHeight="1" thickBot="1" x14ac:dyDescent="0.25">
      <c r="C56" s="67"/>
      <c r="D56" s="68"/>
      <c r="E56" s="69" t="s">
        <v>11</v>
      </c>
      <c r="F56" s="111">
        <v>6.8122962426318043</v>
      </c>
      <c r="G56" s="107">
        <v>3.6562090314609108E-2</v>
      </c>
      <c r="H56" s="62"/>
      <c r="I56" s="67"/>
      <c r="J56" s="69" t="s">
        <v>11</v>
      </c>
      <c r="K56" s="111">
        <v>7.3236556641269921</v>
      </c>
      <c r="L56" s="108">
        <v>-0.28316765908412744</v>
      </c>
      <c r="M56" s="42"/>
    </row>
    <row r="57" spans="2:13" ht="24.75" customHeight="1" x14ac:dyDescent="0.2">
      <c r="C57" s="84" t="s">
        <v>15</v>
      </c>
      <c r="D57" s="85"/>
      <c r="E57" s="86" t="s">
        <v>8</v>
      </c>
      <c r="F57" s="115">
        <v>8.0297117676990748</v>
      </c>
      <c r="G57" s="101">
        <v>-5.2902856478809213E-3</v>
      </c>
      <c r="H57" s="62"/>
      <c r="I57" s="84" t="s">
        <v>15</v>
      </c>
      <c r="J57" s="86" t="s">
        <v>8</v>
      </c>
      <c r="K57" s="115">
        <v>7.7991756816095164</v>
      </c>
      <c r="L57" s="102">
        <v>-0.1046410045632582</v>
      </c>
      <c r="M57" s="42"/>
    </row>
    <row r="58" spans="2:13" ht="24.75" customHeight="1" x14ac:dyDescent="0.2">
      <c r="C58" s="88"/>
      <c r="D58" s="89"/>
      <c r="E58" s="90" t="s">
        <v>10</v>
      </c>
      <c r="F58" s="116">
        <v>7.6746782786386749</v>
      </c>
      <c r="G58" s="104">
        <v>-0.21551674786978214</v>
      </c>
      <c r="H58" s="62"/>
      <c r="I58" s="88"/>
      <c r="J58" s="90" t="s">
        <v>10</v>
      </c>
      <c r="K58" s="116">
        <v>7.511287775119543</v>
      </c>
      <c r="L58" s="105">
        <v>-0.15067836158964187</v>
      </c>
      <c r="M58" s="42"/>
    </row>
    <row r="59" spans="2:13" ht="24.75" customHeight="1" thickBot="1" x14ac:dyDescent="0.25">
      <c r="C59" s="117"/>
      <c r="D59" s="118"/>
      <c r="E59" s="119" t="s">
        <v>11</v>
      </c>
      <c r="F59" s="120">
        <v>8.6529097366042524</v>
      </c>
      <c r="G59" s="121">
        <v>0.36620613549621872</v>
      </c>
      <c r="H59" s="122"/>
      <c r="I59" s="117"/>
      <c r="J59" s="119" t="s">
        <v>11</v>
      </c>
      <c r="K59" s="120">
        <v>8.3182068911502594</v>
      </c>
      <c r="L59" s="123">
        <v>-2.8508186053411322E-2</v>
      </c>
      <c r="M59" s="124"/>
    </row>
    <row r="60" spans="2:13" ht="13.5" thickBot="1" x14ac:dyDescent="0.25">
      <c r="C60" s="125" t="s">
        <v>95</v>
      </c>
      <c r="D60" s="126"/>
      <c r="E60" s="126"/>
      <c r="F60" s="126"/>
      <c r="G60" s="126"/>
      <c r="H60" s="126"/>
      <c r="I60" s="126"/>
      <c r="J60" s="126"/>
      <c r="K60" s="126"/>
      <c r="L60" s="126"/>
      <c r="M60" s="127"/>
    </row>
    <row r="61" spans="2:13" ht="50.25" customHeight="1" thickBot="1" x14ac:dyDescent="0.25">
      <c r="C61" s="128"/>
      <c r="D61" s="128"/>
      <c r="E61" s="129" t="s">
        <v>92</v>
      </c>
      <c r="F61" s="129"/>
      <c r="G61" s="129"/>
      <c r="H61" s="129"/>
      <c r="I61" s="129"/>
      <c r="J61" s="129"/>
      <c r="K61" s="129"/>
      <c r="L61" s="128"/>
      <c r="M61" s="128"/>
    </row>
    <row r="62" spans="2:13" ht="15" customHeight="1" x14ac:dyDescent="0.2">
      <c r="B62" s="5"/>
      <c r="C62" s="6" t="s">
        <v>93</v>
      </c>
      <c r="D62" s="6"/>
      <c r="E62" s="6"/>
      <c r="F62" s="6"/>
      <c r="G62" s="6"/>
      <c r="H62" s="7"/>
      <c r="I62" s="8" t="str">
        <f>I2</f>
        <v>acumulado julio 2017</v>
      </c>
      <c r="J62" s="8"/>
      <c r="K62" s="8"/>
      <c r="L62" s="8"/>
      <c r="M62" s="8"/>
    </row>
    <row r="63" spans="2:13" ht="16.5" customHeight="1" thickBot="1" x14ac:dyDescent="0.25">
      <c r="B63" s="5"/>
      <c r="C63" s="9"/>
      <c r="D63" s="9"/>
      <c r="E63" s="9"/>
      <c r="F63" s="9"/>
      <c r="G63" s="9"/>
      <c r="H63" s="10"/>
      <c r="I63" s="11"/>
      <c r="J63" s="11"/>
      <c r="K63" s="11"/>
      <c r="L63" s="11"/>
      <c r="M63" s="11"/>
    </row>
    <row r="64" spans="2:13" ht="81.75" customHeight="1" x14ac:dyDescent="0.2">
      <c r="C64" s="20" t="str">
        <f t="shared" ref="C64:G64" si="0">C5</f>
        <v>Ámbito</v>
      </c>
      <c r="D64" s="21">
        <f t="shared" si="0"/>
        <v>0</v>
      </c>
      <c r="E64" s="22" t="str">
        <f t="shared" si="0"/>
        <v>Variable</v>
      </c>
      <c r="F64" s="22" t="str">
        <f t="shared" si="0"/>
        <v>Valor absoluto
mensual</v>
      </c>
      <c r="G64" s="22" t="str">
        <f t="shared" si="0"/>
        <v>Variación respecto al período anterior</v>
      </c>
      <c r="H64" s="24"/>
      <c r="I64" s="22" t="str">
        <f>I5</f>
        <v>Ámbito</v>
      </c>
      <c r="J64" s="22" t="str">
        <f t="shared" ref="J64:M64" si="1">J5</f>
        <v>Variable</v>
      </c>
      <c r="K64" s="22" t="str">
        <f t="shared" si="1"/>
        <v>Valor absoluto
acumulado</v>
      </c>
      <c r="L64" s="22" t="str">
        <f t="shared" si="1"/>
        <v>Variación respecto al período anterior</v>
      </c>
      <c r="M64" s="23" t="str">
        <f t="shared" si="1"/>
        <v>Fuente</v>
      </c>
    </row>
    <row r="65" spans="3:13" ht="5.25" customHeight="1" thickBot="1" x14ac:dyDescent="0.25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3:13" ht="20.100000000000001" customHeight="1" thickBot="1" x14ac:dyDescent="0.25">
      <c r="C66" s="27" t="s">
        <v>18</v>
      </c>
      <c r="D66" s="28"/>
      <c r="E66" s="28"/>
      <c r="F66" s="28"/>
      <c r="G66" s="28"/>
      <c r="H66" s="28"/>
      <c r="I66" s="28"/>
      <c r="J66" s="28"/>
      <c r="K66" s="28"/>
      <c r="L66" s="28"/>
      <c r="M66" s="29"/>
    </row>
    <row r="67" spans="3:13" ht="5.25" customHeight="1" thickBot="1" x14ac:dyDescent="0.25"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97"/>
    </row>
    <row r="68" spans="3:13" ht="24.75" customHeight="1" x14ac:dyDescent="0.2">
      <c r="C68" s="38" t="s">
        <v>7</v>
      </c>
      <c r="D68" s="98"/>
      <c r="E68" s="39" t="s">
        <v>8</v>
      </c>
      <c r="F68" s="130">
        <v>0.77681250407425417</v>
      </c>
      <c r="G68" s="61">
        <v>-2.1243003814587436E-2</v>
      </c>
      <c r="H68" s="37"/>
      <c r="I68" s="38" t="s">
        <v>7</v>
      </c>
      <c r="J68" s="39" t="s">
        <v>8</v>
      </c>
      <c r="K68" s="130">
        <v>0.71830387587856859</v>
      </c>
      <c r="L68" s="41">
        <v>-1.7471223227578658E-3</v>
      </c>
      <c r="M68" s="42" t="s">
        <v>9</v>
      </c>
    </row>
    <row r="69" spans="3:13" ht="24.75" customHeight="1" x14ac:dyDescent="0.2">
      <c r="C69" s="43"/>
      <c r="D69" s="44"/>
      <c r="E69" s="45" t="s">
        <v>10</v>
      </c>
      <c r="F69" s="131">
        <v>0.84452785446650658</v>
      </c>
      <c r="G69" s="47">
        <v>-2.3203384300576557E-2</v>
      </c>
      <c r="H69" s="48"/>
      <c r="I69" s="43"/>
      <c r="J69" s="45" t="s">
        <v>10</v>
      </c>
      <c r="K69" s="131">
        <v>0.79191355048172374</v>
      </c>
      <c r="L69" s="49">
        <v>-6.468076834883707E-3</v>
      </c>
      <c r="M69" s="42"/>
    </row>
    <row r="70" spans="3:13" ht="24.75" customHeight="1" thickBot="1" x14ac:dyDescent="0.25">
      <c r="C70" s="53"/>
      <c r="D70" s="99"/>
      <c r="E70" s="54" t="s">
        <v>11</v>
      </c>
      <c r="F70" s="132">
        <v>0.68294319599752451</v>
      </c>
      <c r="G70" s="71">
        <v>-1.569337388215275E-2</v>
      </c>
      <c r="H70" s="48"/>
      <c r="I70" s="53"/>
      <c r="J70" s="54" t="s">
        <v>11</v>
      </c>
      <c r="K70" s="132">
        <v>0.61542973783870558</v>
      </c>
      <c r="L70" s="56">
        <v>8.0722323350428393E-3</v>
      </c>
      <c r="M70" s="42"/>
    </row>
    <row r="71" spans="3:13" ht="24.75" hidden="1" customHeight="1" x14ac:dyDescent="0.2">
      <c r="C71" s="57" t="s">
        <v>12</v>
      </c>
      <c r="D71" s="58"/>
      <c r="E71" s="59" t="s">
        <v>8</v>
      </c>
      <c r="F71" s="133">
        <v>0.47385266296186684</v>
      </c>
      <c r="G71" s="61">
        <v>-0.15576247171152879</v>
      </c>
      <c r="H71" s="62"/>
      <c r="I71" s="57" t="s">
        <v>12</v>
      </c>
      <c r="J71" s="59" t="s">
        <v>8</v>
      </c>
      <c r="K71" s="133">
        <v>0.53150251824173811</v>
      </c>
      <c r="L71" s="41">
        <v>-9.3563526186716817E-2</v>
      </c>
      <c r="M71" s="42"/>
    </row>
    <row r="72" spans="3:13" ht="43.5" customHeight="1" thickBot="1" x14ac:dyDescent="0.25">
      <c r="C72" s="63"/>
      <c r="D72" s="64"/>
      <c r="E72" s="65" t="s">
        <v>10</v>
      </c>
      <c r="F72" s="134">
        <v>0.54968403117728581</v>
      </c>
      <c r="G72" s="47">
        <v>1.3646275410912345E-2</v>
      </c>
      <c r="H72" s="62"/>
      <c r="I72" s="63"/>
      <c r="J72" s="65" t="s">
        <v>10</v>
      </c>
      <c r="K72" s="134">
        <v>0.60511226303537824</v>
      </c>
      <c r="L72" s="49">
        <v>2.4067350270136512E-2</v>
      </c>
      <c r="M72" s="42"/>
    </row>
    <row r="73" spans="3:13" ht="24.75" hidden="1" customHeight="1" x14ac:dyDescent="0.2">
      <c r="C73" s="67"/>
      <c r="D73" s="68"/>
      <c r="E73" s="69" t="s">
        <v>11</v>
      </c>
      <c r="F73" s="135">
        <v>0</v>
      </c>
      <c r="G73" s="71">
        <v>-1</v>
      </c>
      <c r="H73" s="62"/>
      <c r="I73" s="67"/>
      <c r="J73" s="69" t="s">
        <v>11</v>
      </c>
      <c r="K73" s="135">
        <v>0</v>
      </c>
      <c r="L73" s="56">
        <v>-1</v>
      </c>
      <c r="M73" s="42"/>
    </row>
    <row r="74" spans="3:13" ht="24.75" customHeight="1" x14ac:dyDescent="0.2">
      <c r="C74" s="72" t="s">
        <v>13</v>
      </c>
      <c r="D74" s="73"/>
      <c r="E74" s="74" t="s">
        <v>8</v>
      </c>
      <c r="F74" s="136">
        <v>0.32742617953501069</v>
      </c>
      <c r="G74" s="61">
        <v>9.9358802230695709E-3</v>
      </c>
      <c r="H74" s="62"/>
      <c r="I74" s="72" t="s">
        <v>13</v>
      </c>
      <c r="J74" s="74" t="s">
        <v>8</v>
      </c>
      <c r="K74" s="136">
        <v>0.44092160133444536</v>
      </c>
      <c r="L74" s="41">
        <v>8.4430948288860774E-2</v>
      </c>
      <c r="M74" s="42"/>
    </row>
    <row r="75" spans="3:13" ht="24.75" customHeight="1" x14ac:dyDescent="0.2">
      <c r="C75" s="76"/>
      <c r="D75" s="77"/>
      <c r="E75" s="78" t="s">
        <v>10</v>
      </c>
      <c r="F75" s="137">
        <v>0.39981991857187599</v>
      </c>
      <c r="G75" s="47">
        <v>4.060728937753888E-3</v>
      </c>
      <c r="H75" s="62"/>
      <c r="I75" s="76"/>
      <c r="J75" s="78" t="s">
        <v>10</v>
      </c>
      <c r="K75" s="137">
        <v>0.51932207556736987</v>
      </c>
      <c r="L75" s="49">
        <v>0.18309369985920654</v>
      </c>
      <c r="M75" s="42"/>
    </row>
    <row r="76" spans="3:13" ht="24.75" customHeight="1" thickBot="1" x14ac:dyDescent="0.25">
      <c r="C76" s="80"/>
      <c r="D76" s="81"/>
      <c r="E76" s="82" t="s">
        <v>11</v>
      </c>
      <c r="F76" s="138">
        <v>0.22700119474313021</v>
      </c>
      <c r="G76" s="71">
        <v>2.6492221571307706E-2</v>
      </c>
      <c r="H76" s="62"/>
      <c r="I76" s="80"/>
      <c r="J76" s="82" t="s">
        <v>11</v>
      </c>
      <c r="K76" s="138">
        <v>0.3478447253689414</v>
      </c>
      <c r="L76" s="56">
        <v>-1.7782955117265686E-2</v>
      </c>
      <c r="M76" s="42"/>
    </row>
    <row r="77" spans="3:13" ht="24.75" customHeight="1" x14ac:dyDescent="0.2">
      <c r="C77" s="57" t="s">
        <v>14</v>
      </c>
      <c r="D77" s="58"/>
      <c r="E77" s="59" t="s">
        <v>8</v>
      </c>
      <c r="F77" s="133">
        <v>0.79714991707003346</v>
      </c>
      <c r="G77" s="61">
        <v>6.7198752110378068E-2</v>
      </c>
      <c r="H77" s="62"/>
      <c r="I77" s="57" t="s">
        <v>14</v>
      </c>
      <c r="J77" s="59" t="s">
        <v>8</v>
      </c>
      <c r="K77" s="133">
        <v>0.72200739022084726</v>
      </c>
      <c r="L77" s="41">
        <v>2.9103719386968541E-2</v>
      </c>
      <c r="M77" s="42"/>
    </row>
    <row r="78" spans="3:13" ht="24.75" customHeight="1" x14ac:dyDescent="0.2">
      <c r="C78" s="63"/>
      <c r="D78" s="64"/>
      <c r="E78" s="65" t="s">
        <v>10</v>
      </c>
      <c r="F78" s="134">
        <v>0.82206072532108343</v>
      </c>
      <c r="G78" s="47">
        <v>9.065244246306281E-2</v>
      </c>
      <c r="H78" s="62"/>
      <c r="I78" s="63"/>
      <c r="J78" s="65" t="s">
        <v>10</v>
      </c>
      <c r="K78" s="134">
        <v>0.75813425649736443</v>
      </c>
      <c r="L78" s="49">
        <v>2.6372790158217807E-2</v>
      </c>
      <c r="M78" s="42"/>
    </row>
    <row r="79" spans="3:13" ht="24.75" customHeight="1" thickBot="1" x14ac:dyDescent="0.25">
      <c r="C79" s="67"/>
      <c r="D79" s="68"/>
      <c r="E79" s="69" t="s">
        <v>11</v>
      </c>
      <c r="F79" s="135">
        <v>0.74278645908137764</v>
      </c>
      <c r="G79" s="71">
        <v>1.4031340649932611E-2</v>
      </c>
      <c r="H79" s="62"/>
      <c r="I79" s="67"/>
      <c r="J79" s="69" t="s">
        <v>11</v>
      </c>
      <c r="K79" s="135">
        <v>0.64283080510036983</v>
      </c>
      <c r="L79" s="56">
        <v>3.5325291583390372E-2</v>
      </c>
      <c r="M79" s="42"/>
    </row>
    <row r="80" spans="3:13" ht="24.75" customHeight="1" x14ac:dyDescent="0.2">
      <c r="C80" s="84" t="s">
        <v>15</v>
      </c>
      <c r="D80" s="85"/>
      <c r="E80" s="86" t="s">
        <v>8</v>
      </c>
      <c r="F80" s="139">
        <v>0.78422131261266759</v>
      </c>
      <c r="G80" s="61">
        <v>-3.4668294743750883E-2</v>
      </c>
      <c r="H80" s="62"/>
      <c r="I80" s="84" t="s">
        <v>15</v>
      </c>
      <c r="J80" s="86" t="s">
        <v>8</v>
      </c>
      <c r="K80" s="139">
        <v>0.72419290307290152</v>
      </c>
      <c r="L80" s="41">
        <v>-5.8868075917331009E-3</v>
      </c>
      <c r="M80" s="42"/>
    </row>
    <row r="81" spans="3:13" ht="24.75" customHeight="1" x14ac:dyDescent="0.2">
      <c r="C81" s="88"/>
      <c r="D81" s="89"/>
      <c r="E81" s="90" t="s">
        <v>10</v>
      </c>
      <c r="F81" s="140">
        <v>0.86659607167726282</v>
      </c>
      <c r="G81" s="47">
        <v>-4.6310459020411199E-2</v>
      </c>
      <c r="H81" s="62"/>
      <c r="I81" s="88"/>
      <c r="J81" s="90" t="s">
        <v>10</v>
      </c>
      <c r="K81" s="140">
        <v>0.81024857053266186</v>
      </c>
      <c r="L81" s="49">
        <v>-1.5161562622973301E-2</v>
      </c>
      <c r="M81" s="42"/>
    </row>
    <row r="82" spans="3:13" ht="24.75" customHeight="1" thickBot="1" x14ac:dyDescent="0.25">
      <c r="C82" s="92"/>
      <c r="D82" s="93"/>
      <c r="E82" s="94" t="s">
        <v>11</v>
      </c>
      <c r="F82" s="141">
        <v>0.68312560435059388</v>
      </c>
      <c r="G82" s="71">
        <v>-1.1635386061673469E-2</v>
      </c>
      <c r="H82" s="62"/>
      <c r="I82" s="92"/>
      <c r="J82" s="94" t="s">
        <v>11</v>
      </c>
      <c r="K82" s="141">
        <v>0.6174335019202094</v>
      </c>
      <c r="L82" s="56">
        <v>1.0770017063091997E-2</v>
      </c>
      <c r="M82" s="42"/>
    </row>
    <row r="83" spans="3:13" ht="5.25" customHeight="1" thickBot="1" x14ac:dyDescent="0.25"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</row>
    <row r="84" spans="3:13" ht="20.100000000000001" customHeight="1" thickBot="1" x14ac:dyDescent="0.25">
      <c r="C84" s="27" t="s">
        <v>19</v>
      </c>
      <c r="D84" s="28"/>
      <c r="E84" s="28"/>
      <c r="F84" s="28"/>
      <c r="G84" s="28"/>
      <c r="H84" s="28"/>
      <c r="I84" s="28"/>
      <c r="J84" s="28"/>
      <c r="K84" s="28"/>
      <c r="L84" s="28"/>
      <c r="M84" s="29"/>
    </row>
    <row r="85" spans="3:13" ht="5.25" customHeight="1" thickBot="1" x14ac:dyDescent="0.25">
      <c r="C85" s="142"/>
      <c r="D85" s="30"/>
      <c r="E85" s="30"/>
      <c r="F85" s="30"/>
      <c r="G85" s="30"/>
      <c r="H85" s="30"/>
      <c r="I85" s="30"/>
      <c r="J85" s="30"/>
      <c r="K85" s="30"/>
      <c r="L85" s="30"/>
      <c r="M85" s="97"/>
    </row>
    <row r="86" spans="3:13" ht="33.75" customHeight="1" x14ac:dyDescent="0.2">
      <c r="C86" s="57" t="s">
        <v>7</v>
      </c>
      <c r="D86" s="58"/>
      <c r="E86" s="59" t="s">
        <v>20</v>
      </c>
      <c r="F86" s="60">
        <v>51702</v>
      </c>
      <c r="G86" s="61">
        <v>3.5738611322569058E-2</v>
      </c>
      <c r="H86" s="143"/>
      <c r="I86" s="57" t="s">
        <v>7</v>
      </c>
      <c r="J86" s="59" t="s">
        <v>20</v>
      </c>
      <c r="K86" s="60">
        <v>354775</v>
      </c>
      <c r="L86" s="41">
        <v>7.0676251524040667E-2</v>
      </c>
      <c r="M86" s="42" t="s">
        <v>9</v>
      </c>
    </row>
    <row r="87" spans="3:13" ht="33.75" customHeight="1" x14ac:dyDescent="0.2">
      <c r="C87" s="63"/>
      <c r="D87" s="64"/>
      <c r="E87" s="90" t="s">
        <v>21</v>
      </c>
      <c r="F87" s="91">
        <v>214407</v>
      </c>
      <c r="G87" s="47">
        <v>4.2713885538653074E-2</v>
      </c>
      <c r="H87" s="62"/>
      <c r="I87" s="63"/>
      <c r="J87" s="90" t="s">
        <v>21</v>
      </c>
      <c r="K87" s="91">
        <v>1321156</v>
      </c>
      <c r="L87" s="49">
        <v>2.167615530118483E-2</v>
      </c>
      <c r="M87" s="42"/>
    </row>
    <row r="88" spans="3:13" ht="33.75" customHeight="1" x14ac:dyDescent="0.2">
      <c r="C88" s="63"/>
      <c r="D88" s="64"/>
      <c r="E88" s="65" t="s">
        <v>22</v>
      </c>
      <c r="F88" s="66">
        <v>62686</v>
      </c>
      <c r="G88" s="47">
        <v>-9.9623682169429184E-2</v>
      </c>
      <c r="H88" s="62"/>
      <c r="I88" s="63"/>
      <c r="J88" s="65" t="s">
        <v>22</v>
      </c>
      <c r="K88" s="66">
        <v>414216</v>
      </c>
      <c r="L88" s="49">
        <v>-7.2312902012076075E-2</v>
      </c>
      <c r="M88" s="42"/>
    </row>
    <row r="89" spans="3:13" ht="33.75" customHeight="1" x14ac:dyDescent="0.2">
      <c r="C89" s="63"/>
      <c r="D89" s="64"/>
      <c r="E89" s="90" t="s">
        <v>23</v>
      </c>
      <c r="F89" s="91">
        <v>13286</v>
      </c>
      <c r="G89" s="47">
        <v>5.2940244095736277E-2</v>
      </c>
      <c r="H89" s="62"/>
      <c r="I89" s="63"/>
      <c r="J89" s="90" t="s">
        <v>23</v>
      </c>
      <c r="K89" s="91">
        <v>109574</v>
      </c>
      <c r="L89" s="49">
        <v>0.21535526520109149</v>
      </c>
      <c r="M89" s="42"/>
    </row>
    <row r="90" spans="3:13" ht="33.75" customHeight="1" thickBot="1" x14ac:dyDescent="0.25">
      <c r="C90" s="67"/>
      <c r="D90" s="68"/>
      <c r="E90" s="69" t="s">
        <v>24</v>
      </c>
      <c r="F90" s="70">
        <v>4525</v>
      </c>
      <c r="G90" s="71">
        <v>-7.8786644951140072E-2</v>
      </c>
      <c r="H90" s="144"/>
      <c r="I90" s="67"/>
      <c r="J90" s="69" t="s">
        <v>24</v>
      </c>
      <c r="K90" s="70">
        <v>32670</v>
      </c>
      <c r="L90" s="56">
        <v>-8.4591891058869662E-2</v>
      </c>
      <c r="M90" s="42"/>
    </row>
    <row r="91" spans="3:13" ht="5.25" customHeight="1" thickBot="1" x14ac:dyDescent="0.25"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</row>
    <row r="92" spans="3:13" ht="20.100000000000001" customHeight="1" thickBot="1" x14ac:dyDescent="0.25">
      <c r="C92" s="27" t="s">
        <v>25</v>
      </c>
      <c r="D92" s="28"/>
      <c r="E92" s="28"/>
      <c r="F92" s="28"/>
      <c r="G92" s="28"/>
      <c r="H92" s="28"/>
      <c r="I92" s="28"/>
      <c r="J92" s="28"/>
      <c r="K92" s="28"/>
      <c r="L92" s="28"/>
      <c r="M92" s="29"/>
    </row>
    <row r="93" spans="3:13" ht="5.25" customHeight="1" thickBot="1" x14ac:dyDescent="0.25">
      <c r="C93" s="142"/>
      <c r="D93" s="30"/>
      <c r="E93" s="30"/>
      <c r="F93" s="30"/>
      <c r="G93" s="30"/>
      <c r="H93" s="30"/>
      <c r="I93" s="30"/>
      <c r="J93" s="30"/>
      <c r="K93" s="30"/>
      <c r="L93" s="30"/>
      <c r="M93" s="97"/>
    </row>
    <row r="94" spans="3:13" s="145" customFormat="1" ht="33.75" customHeight="1" x14ac:dyDescent="0.2">
      <c r="C94" s="57" t="s">
        <v>7</v>
      </c>
      <c r="D94" s="58"/>
      <c r="E94" s="59" t="s">
        <v>20</v>
      </c>
      <c r="F94" s="60">
        <v>357042</v>
      </c>
      <c r="G94" s="61">
        <v>9.4864859892182407E-2</v>
      </c>
      <c r="H94" s="143"/>
      <c r="I94" s="57" t="s">
        <v>7</v>
      </c>
      <c r="J94" s="59" t="s">
        <v>20</v>
      </c>
      <c r="K94" s="60">
        <v>2419987</v>
      </c>
      <c r="L94" s="41">
        <v>8.2933943359565498E-2</v>
      </c>
      <c r="M94" s="42" t="s">
        <v>9</v>
      </c>
    </row>
    <row r="95" spans="3:13" s="145" customFormat="1" ht="33.75" customHeight="1" x14ac:dyDescent="0.2">
      <c r="C95" s="63"/>
      <c r="D95" s="64"/>
      <c r="E95" s="90" t="s">
        <v>21</v>
      </c>
      <c r="F95" s="91">
        <v>1604048</v>
      </c>
      <c r="G95" s="47">
        <v>3.3245075944514646E-3</v>
      </c>
      <c r="H95" s="62"/>
      <c r="I95" s="63"/>
      <c r="J95" s="90" t="s">
        <v>21</v>
      </c>
      <c r="K95" s="91">
        <v>9934487</v>
      </c>
      <c r="L95" s="49">
        <v>3.9887111719960622E-4</v>
      </c>
      <c r="M95" s="42" t="s">
        <v>26</v>
      </c>
    </row>
    <row r="96" spans="3:13" s="145" customFormat="1" ht="33.75" customHeight="1" x14ac:dyDescent="0.2">
      <c r="C96" s="63"/>
      <c r="D96" s="64"/>
      <c r="E96" s="65" t="s">
        <v>22</v>
      </c>
      <c r="F96" s="66">
        <v>417004</v>
      </c>
      <c r="G96" s="47">
        <v>-0.12616065497507378</v>
      </c>
      <c r="H96" s="62"/>
      <c r="I96" s="63"/>
      <c r="J96" s="65" t="s">
        <v>22</v>
      </c>
      <c r="K96" s="66">
        <v>2726562</v>
      </c>
      <c r="L96" s="49">
        <v>-0.10351863810266571</v>
      </c>
      <c r="M96" s="42" t="s">
        <v>26</v>
      </c>
    </row>
    <row r="97" spans="3:15" s="145" customFormat="1" ht="33.75" customHeight="1" x14ac:dyDescent="0.2">
      <c r="C97" s="63"/>
      <c r="D97" s="64"/>
      <c r="E97" s="90" t="s">
        <v>23</v>
      </c>
      <c r="F97" s="91">
        <v>48381</v>
      </c>
      <c r="G97" s="47">
        <v>-0.1679679438673729</v>
      </c>
      <c r="H97" s="62"/>
      <c r="I97" s="63"/>
      <c r="J97" s="90" t="s">
        <v>23</v>
      </c>
      <c r="K97" s="91">
        <v>373948</v>
      </c>
      <c r="L97" s="49">
        <v>2.2134754680880109E-2</v>
      </c>
      <c r="M97" s="42" t="s">
        <v>26</v>
      </c>
    </row>
    <row r="98" spans="3:15" s="145" customFormat="1" ht="33.75" customHeight="1" thickBot="1" x14ac:dyDescent="0.25">
      <c r="C98" s="67"/>
      <c r="D98" s="68"/>
      <c r="E98" s="69" t="s">
        <v>24</v>
      </c>
      <c r="F98" s="70">
        <v>19504</v>
      </c>
      <c r="G98" s="71">
        <v>-4.6771907531401258E-2</v>
      </c>
      <c r="H98" s="144"/>
      <c r="I98" s="67"/>
      <c r="J98" s="69" t="s">
        <v>24</v>
      </c>
      <c r="K98" s="70">
        <v>137070</v>
      </c>
      <c r="L98" s="56">
        <v>-1.3544245494847118E-2</v>
      </c>
      <c r="M98" s="42" t="s">
        <v>26</v>
      </c>
    </row>
    <row r="99" spans="3:15" ht="5.25" customHeight="1" thickBot="1" x14ac:dyDescent="0.25"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</row>
    <row r="100" spans="3:15" ht="20.100000000000001" customHeight="1" thickBot="1" x14ac:dyDescent="0.25">
      <c r="C100" s="27" t="s">
        <v>27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9"/>
    </row>
    <row r="101" spans="3:15" ht="5.25" customHeight="1" thickBot="1" x14ac:dyDescent="0.25">
      <c r="C101" s="142"/>
      <c r="D101" s="30"/>
      <c r="E101" s="30"/>
      <c r="F101" s="30"/>
      <c r="G101" s="30"/>
      <c r="H101" s="30"/>
      <c r="I101" s="30"/>
      <c r="J101" s="30"/>
      <c r="K101" s="30"/>
      <c r="L101" s="30"/>
      <c r="M101" s="97"/>
    </row>
    <row r="102" spans="3:15" ht="33.75" customHeight="1" x14ac:dyDescent="0.2">
      <c r="C102" s="57" t="s">
        <v>7</v>
      </c>
      <c r="D102" s="58"/>
      <c r="E102" s="59" t="s">
        <v>20</v>
      </c>
      <c r="F102" s="146">
        <v>6.9057676685621443</v>
      </c>
      <c r="G102" s="101">
        <v>0.37293382105222772</v>
      </c>
      <c r="H102" s="143"/>
      <c r="I102" s="57" t="s">
        <v>7</v>
      </c>
      <c r="J102" s="59" t="s">
        <v>20</v>
      </c>
      <c r="K102" s="146">
        <v>6.8211880769501798</v>
      </c>
      <c r="L102" s="102">
        <v>7.7208791830852164E-2</v>
      </c>
      <c r="M102" s="42" t="s">
        <v>9</v>
      </c>
    </row>
    <row r="103" spans="3:15" ht="33.75" customHeight="1" x14ac:dyDescent="0.2">
      <c r="C103" s="63"/>
      <c r="D103" s="64"/>
      <c r="E103" s="78" t="s">
        <v>21</v>
      </c>
      <c r="F103" s="147">
        <v>7.481322904569347</v>
      </c>
      <c r="G103" s="104">
        <v>-0.29370822020208021</v>
      </c>
      <c r="H103" s="62"/>
      <c r="I103" s="63"/>
      <c r="J103" s="78" t="s">
        <v>21</v>
      </c>
      <c r="K103" s="147">
        <v>7.519541219961912</v>
      </c>
      <c r="L103" s="105">
        <v>-0.15993162336503364</v>
      </c>
      <c r="M103" s="42" t="s">
        <v>26</v>
      </c>
    </row>
    <row r="104" spans="3:15" ht="33.75" customHeight="1" x14ac:dyDescent="0.2">
      <c r="C104" s="63"/>
      <c r="D104" s="64"/>
      <c r="E104" s="65" t="s">
        <v>22</v>
      </c>
      <c r="F104" s="148">
        <v>6.6522668538429635</v>
      </c>
      <c r="G104" s="104">
        <v>-0.20201771138067315</v>
      </c>
      <c r="H104" s="62"/>
      <c r="I104" s="63"/>
      <c r="J104" s="65" t="s">
        <v>22</v>
      </c>
      <c r="K104" s="148">
        <v>6.5824642215655604</v>
      </c>
      <c r="L104" s="105">
        <v>-0.2291298514998541</v>
      </c>
      <c r="M104" s="42" t="s">
        <v>26</v>
      </c>
      <c r="O104" s="149"/>
    </row>
    <row r="105" spans="3:15" ht="33.75" customHeight="1" x14ac:dyDescent="0.2">
      <c r="C105" s="63"/>
      <c r="D105" s="64"/>
      <c r="E105" s="78" t="s">
        <v>23</v>
      </c>
      <c r="F105" s="147">
        <v>3.6415023332831553</v>
      </c>
      <c r="G105" s="104">
        <v>-0.96683496264329927</v>
      </c>
      <c r="H105" s="62"/>
      <c r="I105" s="63"/>
      <c r="J105" s="78" t="s">
        <v>23</v>
      </c>
      <c r="K105" s="147">
        <v>3.4127438991001515</v>
      </c>
      <c r="L105" s="105">
        <v>-0.6451322738406855</v>
      </c>
      <c r="M105" s="42" t="s">
        <v>26</v>
      </c>
    </row>
    <row r="106" spans="3:15" ht="33.75" customHeight="1" thickBot="1" x14ac:dyDescent="0.25">
      <c r="C106" s="67"/>
      <c r="D106" s="68"/>
      <c r="E106" s="69" t="s">
        <v>24</v>
      </c>
      <c r="F106" s="150">
        <v>4.3102762430939228</v>
      </c>
      <c r="G106" s="107">
        <v>0.14476321377796175</v>
      </c>
      <c r="H106" s="144"/>
      <c r="I106" s="67"/>
      <c r="J106" s="69" t="s">
        <v>24</v>
      </c>
      <c r="K106" s="150">
        <v>4.1955922865013777</v>
      </c>
      <c r="L106" s="108">
        <v>0.30217975042583634</v>
      </c>
      <c r="M106" s="42" t="s">
        <v>26</v>
      </c>
    </row>
    <row r="107" spans="3:15" ht="5.25" customHeight="1" thickBot="1" x14ac:dyDescent="0.25">
      <c r="C107" s="96"/>
      <c r="D107" s="96"/>
      <c r="E107" s="96"/>
      <c r="F107" s="96"/>
      <c r="G107" s="96"/>
      <c r="H107" s="96"/>
      <c r="I107" s="96"/>
      <c r="J107" s="96"/>
      <c r="K107" s="96"/>
      <c r="L107" s="96"/>
      <c r="M107" s="96"/>
    </row>
    <row r="108" spans="3:15" ht="20.100000000000001" customHeight="1" thickBot="1" x14ac:dyDescent="0.25">
      <c r="C108" s="27" t="s">
        <v>28</v>
      </c>
      <c r="D108" s="28"/>
      <c r="E108" s="28"/>
      <c r="F108" s="28"/>
      <c r="G108" s="28"/>
      <c r="H108" s="28"/>
      <c r="I108" s="28"/>
      <c r="J108" s="28"/>
      <c r="K108" s="28"/>
      <c r="L108" s="28"/>
      <c r="M108" s="29"/>
    </row>
    <row r="109" spans="3:15" ht="5.25" customHeight="1" thickBot="1" x14ac:dyDescent="0.25"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151"/>
    </row>
    <row r="110" spans="3:15" ht="33.75" customHeight="1" x14ac:dyDescent="0.2">
      <c r="C110" s="57" t="s">
        <v>7</v>
      </c>
      <c r="D110" s="58"/>
      <c r="E110" s="59" t="s">
        <v>20</v>
      </c>
      <c r="F110" s="133">
        <v>0.76901140889148312</v>
      </c>
      <c r="G110" s="61">
        <v>-2.2940611259736343E-5</v>
      </c>
      <c r="H110" s="143"/>
      <c r="I110" s="57" t="s">
        <v>7</v>
      </c>
      <c r="J110" s="59" t="s">
        <v>20</v>
      </c>
      <c r="K110" s="133">
        <v>0.76217086324817551</v>
      </c>
      <c r="L110" s="41">
        <v>-9.0477261383221652E-3</v>
      </c>
      <c r="M110" s="42" t="s">
        <v>9</v>
      </c>
    </row>
    <row r="111" spans="3:15" ht="33.75" customHeight="1" x14ac:dyDescent="0.2">
      <c r="C111" s="63"/>
      <c r="D111" s="64"/>
      <c r="E111" s="78" t="s">
        <v>21</v>
      </c>
      <c r="F111" s="137">
        <v>0.9121169749328869</v>
      </c>
      <c r="G111" s="47">
        <v>-1.4892352262452335E-2</v>
      </c>
      <c r="H111" s="62"/>
      <c r="I111" s="63"/>
      <c r="J111" s="78" t="s">
        <v>21</v>
      </c>
      <c r="K111" s="137">
        <v>0.83420707776655745</v>
      </c>
      <c r="L111" s="49">
        <v>-3.6421566668229932E-3</v>
      </c>
      <c r="M111" s="42" t="s">
        <v>26</v>
      </c>
    </row>
    <row r="112" spans="3:15" ht="33.75" customHeight="1" x14ac:dyDescent="0.2">
      <c r="C112" s="63"/>
      <c r="D112" s="64"/>
      <c r="E112" s="65" t="s">
        <v>22</v>
      </c>
      <c r="F112" s="134">
        <v>0.77038783205336869</v>
      </c>
      <c r="G112" s="47">
        <v>-5.3394925196353138E-2</v>
      </c>
      <c r="H112" s="62"/>
      <c r="I112" s="63"/>
      <c r="J112" s="65" t="s">
        <v>22</v>
      </c>
      <c r="K112" s="134">
        <v>0.7365638571349844</v>
      </c>
      <c r="L112" s="49">
        <v>-2.4286664582589768E-2</v>
      </c>
      <c r="M112" s="42" t="s">
        <v>26</v>
      </c>
    </row>
    <row r="113" spans="3:19" ht="33.75" customHeight="1" x14ac:dyDescent="0.2">
      <c r="C113" s="63"/>
      <c r="D113" s="64"/>
      <c r="E113" s="78" t="s">
        <v>23</v>
      </c>
      <c r="F113" s="137">
        <v>0.49592545896245271</v>
      </c>
      <c r="G113" s="47">
        <v>-0.1679679438673729</v>
      </c>
      <c r="H113" s="62"/>
      <c r="I113" s="63"/>
      <c r="J113" s="78" t="s">
        <v>23</v>
      </c>
      <c r="K113" s="137">
        <v>0.56050386411736841</v>
      </c>
      <c r="L113" s="49">
        <v>2.4725466814876196E-2</v>
      </c>
      <c r="M113" s="42" t="s">
        <v>26</v>
      </c>
    </row>
    <row r="114" spans="3:19" ht="33.75" customHeight="1" thickBot="1" x14ac:dyDescent="0.25">
      <c r="C114" s="67"/>
      <c r="D114" s="68"/>
      <c r="E114" s="69" t="s">
        <v>24</v>
      </c>
      <c r="F114" s="135">
        <v>0.56477674176174208</v>
      </c>
      <c r="G114" s="71">
        <v>-4.6771907531401036E-2</v>
      </c>
      <c r="H114" s="144"/>
      <c r="I114" s="67"/>
      <c r="J114" s="69" t="s">
        <v>24</v>
      </c>
      <c r="K114" s="135">
        <v>0.58039192439280507</v>
      </c>
      <c r="L114" s="56">
        <v>3.3680055682430154E-2</v>
      </c>
      <c r="M114" s="42" t="s">
        <v>26</v>
      </c>
    </row>
    <row r="115" spans="3:19" ht="5.25" customHeight="1" thickBot="1" x14ac:dyDescent="0.25">
      <c r="C115" s="152"/>
      <c r="D115" s="152"/>
      <c r="E115" s="153"/>
      <c r="F115" s="96"/>
      <c r="G115" s="154"/>
      <c r="H115" s="155"/>
      <c r="I115" s="96"/>
      <c r="J115" s="154"/>
      <c r="K115" s="153"/>
      <c r="L115" s="152"/>
      <c r="M115" s="156"/>
    </row>
    <row r="116" spans="3:19" ht="17.25" customHeight="1" thickBot="1" x14ac:dyDescent="0.25">
      <c r="C116" s="157"/>
      <c r="D116" s="158"/>
      <c r="E116" s="158"/>
      <c r="F116" s="158"/>
      <c r="G116" s="158"/>
      <c r="H116" s="158"/>
      <c r="I116" s="158"/>
      <c r="J116" s="158"/>
      <c r="K116" s="158"/>
      <c r="L116" s="158"/>
      <c r="M116" s="159"/>
    </row>
    <row r="117" spans="3:19" ht="50.25" customHeight="1" thickBot="1" x14ac:dyDescent="0.25">
      <c r="C117" s="2"/>
      <c r="D117" s="2"/>
      <c r="E117" s="3" t="str">
        <f>$E$1</f>
        <v>INDICADORES TURÍSTICOS DE TENERIFE definitivo</v>
      </c>
      <c r="F117" s="3"/>
      <c r="G117" s="3"/>
      <c r="H117" s="3"/>
      <c r="I117" s="3"/>
      <c r="J117" s="3"/>
      <c r="K117" s="3"/>
      <c r="L117" s="2"/>
      <c r="M117" s="2"/>
    </row>
    <row r="118" spans="3:19" s="1" customFormat="1" ht="9" customHeight="1" thickBot="1" x14ac:dyDescent="0.25">
      <c r="C118" s="160"/>
      <c r="D118" s="161"/>
      <c r="E118" s="162"/>
      <c r="F118" s="162"/>
      <c r="G118" s="162"/>
      <c r="H118" s="162"/>
      <c r="I118" s="162"/>
      <c r="J118" s="162"/>
      <c r="K118" s="162"/>
      <c r="L118" s="161"/>
      <c r="M118" s="163"/>
      <c r="O118" s="4"/>
      <c r="P118" s="4"/>
      <c r="Q118" s="4"/>
      <c r="R118" s="4"/>
      <c r="S118" s="4"/>
    </row>
    <row r="119" spans="3:19" ht="33" customHeight="1" thickBot="1" x14ac:dyDescent="0.25">
      <c r="C119" s="164" t="s">
        <v>29</v>
      </c>
      <c r="D119" s="165"/>
      <c r="E119" s="165"/>
      <c r="F119" s="165"/>
      <c r="G119" s="165"/>
      <c r="H119" s="165"/>
      <c r="I119" s="165"/>
      <c r="J119" s="165"/>
      <c r="K119" s="165"/>
      <c r="L119" s="165"/>
      <c r="M119" s="166"/>
    </row>
    <row r="120" spans="3:19" ht="20.100000000000001" customHeight="1" x14ac:dyDescent="0.2">
      <c r="C120" s="167"/>
      <c r="D120" s="168"/>
      <c r="E120" s="168"/>
      <c r="F120" s="168"/>
      <c r="G120" s="169" t="str">
        <f>C2</f>
        <v>julio 2017</v>
      </c>
      <c r="H120" s="170"/>
      <c r="I120" s="170"/>
      <c r="J120" s="168"/>
      <c r="K120" s="168"/>
      <c r="L120" s="168"/>
      <c r="M120" s="171"/>
    </row>
    <row r="121" spans="3:19" ht="5.25" customHeight="1" thickBot="1" x14ac:dyDescent="0.25">
      <c r="C121" s="172"/>
      <c r="D121" s="168"/>
      <c r="E121" s="168"/>
      <c r="F121" s="168"/>
      <c r="G121" s="173"/>
      <c r="H121" s="173"/>
      <c r="I121" s="173"/>
      <c r="J121" s="168"/>
      <c r="K121" s="168"/>
      <c r="L121" s="168"/>
      <c r="M121" s="174"/>
    </row>
    <row r="122" spans="3:19" ht="33" customHeight="1" thickTop="1" thickBot="1" x14ac:dyDescent="0.25">
      <c r="C122" s="175"/>
      <c r="D122" s="176" t="s">
        <v>7</v>
      </c>
      <c r="E122" s="177"/>
      <c r="F122" s="176" t="s">
        <v>30</v>
      </c>
      <c r="G122" s="177"/>
      <c r="H122" s="176" t="s">
        <v>31</v>
      </c>
      <c r="I122" s="177"/>
      <c r="J122" s="176" t="s">
        <v>32</v>
      </c>
      <c r="K122" s="177"/>
      <c r="L122" s="176" t="s">
        <v>33</v>
      </c>
      <c r="M122" s="177"/>
    </row>
    <row r="123" spans="3:19" ht="31.5" customHeight="1" thickBot="1" x14ac:dyDescent="0.25">
      <c r="C123" s="178"/>
      <c r="D123" s="179" t="s">
        <v>34</v>
      </c>
      <c r="E123" s="180" t="s">
        <v>35</v>
      </c>
      <c r="F123" s="179" t="s">
        <v>34</v>
      </c>
      <c r="G123" s="180" t="s">
        <v>35</v>
      </c>
      <c r="H123" s="179" t="s">
        <v>34</v>
      </c>
      <c r="I123" s="180" t="s">
        <v>35</v>
      </c>
      <c r="J123" s="179" t="s">
        <v>34</v>
      </c>
      <c r="K123" s="180" t="s">
        <v>35</v>
      </c>
      <c r="L123" s="179" t="s">
        <v>34</v>
      </c>
      <c r="M123" s="180" t="s">
        <v>35</v>
      </c>
    </row>
    <row r="124" spans="3:19" ht="24" customHeight="1" thickBot="1" x14ac:dyDescent="0.25">
      <c r="C124" s="181" t="s">
        <v>36</v>
      </c>
      <c r="D124" s="182">
        <v>145486</v>
      </c>
      <c r="E124" s="183">
        <v>6.1957108862903176E-2</v>
      </c>
      <c r="F124" s="182">
        <v>14876</v>
      </c>
      <c r="G124" s="183">
        <v>9.1415994130594314E-2</v>
      </c>
      <c r="H124" s="182">
        <v>3677</v>
      </c>
      <c r="I124" s="183">
        <v>0.59800086918730977</v>
      </c>
      <c r="J124" s="182">
        <v>57794</v>
      </c>
      <c r="K124" s="183">
        <v>9.4624796393802724E-2</v>
      </c>
      <c r="L124" s="182">
        <v>69139</v>
      </c>
      <c r="M124" s="183">
        <v>1.2743705049143905E-2</v>
      </c>
    </row>
    <row r="125" spans="3:19" ht="27" customHeight="1" thickBot="1" x14ac:dyDescent="0.25">
      <c r="C125" s="184" t="s">
        <v>37</v>
      </c>
      <c r="D125" s="185">
        <v>42914.558333723558</v>
      </c>
      <c r="E125" s="186">
        <v>6.7007403716963232E-3</v>
      </c>
      <c r="F125" s="185" t="s">
        <v>38</v>
      </c>
      <c r="G125" s="186" t="s">
        <v>38</v>
      </c>
      <c r="H125" s="185" t="s">
        <v>38</v>
      </c>
      <c r="I125" s="186" t="s">
        <v>38</v>
      </c>
      <c r="J125" s="185" t="s">
        <v>38</v>
      </c>
      <c r="K125" s="186" t="s">
        <v>38</v>
      </c>
      <c r="L125" s="185" t="s">
        <v>38</v>
      </c>
      <c r="M125" s="186" t="s">
        <v>38</v>
      </c>
    </row>
    <row r="126" spans="3:19" ht="28.5" customHeight="1" thickBot="1" x14ac:dyDescent="0.25">
      <c r="C126" s="187" t="s">
        <v>39</v>
      </c>
      <c r="D126" s="188">
        <v>20419.835151588992</v>
      </c>
      <c r="E126" s="189">
        <v>5.2549434289324903E-2</v>
      </c>
      <c r="F126" s="188" t="s">
        <v>38</v>
      </c>
      <c r="G126" s="189" t="s">
        <v>38</v>
      </c>
      <c r="H126" s="188" t="s">
        <v>38</v>
      </c>
      <c r="I126" s="189" t="s">
        <v>38</v>
      </c>
      <c r="J126" s="188" t="s">
        <v>38</v>
      </c>
      <c r="K126" s="189" t="s">
        <v>38</v>
      </c>
      <c r="L126" s="188" t="s">
        <v>38</v>
      </c>
      <c r="M126" s="189" t="s">
        <v>38</v>
      </c>
    </row>
    <row r="127" spans="3:19" ht="27.75" customHeight="1" thickBot="1" x14ac:dyDescent="0.25">
      <c r="C127" s="187" t="s">
        <v>40</v>
      </c>
      <c r="D127" s="188">
        <v>82151.606514687446</v>
      </c>
      <c r="E127" s="189">
        <v>9.5811639814406435E-2</v>
      </c>
      <c r="F127" s="188" t="s">
        <v>38</v>
      </c>
      <c r="G127" s="189" t="s">
        <v>38</v>
      </c>
      <c r="H127" s="188" t="s">
        <v>38</v>
      </c>
      <c r="I127" s="189" t="s">
        <v>38</v>
      </c>
      <c r="J127" s="188" t="s">
        <v>38</v>
      </c>
      <c r="K127" s="189" t="s">
        <v>38</v>
      </c>
      <c r="L127" s="188" t="s">
        <v>38</v>
      </c>
      <c r="M127" s="189" t="s">
        <v>38</v>
      </c>
    </row>
    <row r="128" spans="3:19" ht="24" customHeight="1" thickBot="1" x14ac:dyDescent="0.25">
      <c r="C128" s="190" t="s">
        <v>41</v>
      </c>
      <c r="D128" s="191">
        <v>17684</v>
      </c>
      <c r="E128" s="189">
        <v>-2.3361131054288387E-2</v>
      </c>
      <c r="F128" s="191">
        <v>85</v>
      </c>
      <c r="G128" s="189">
        <v>-0.25438596491228072</v>
      </c>
      <c r="H128" s="191">
        <v>55</v>
      </c>
      <c r="I128" s="189">
        <v>0.375</v>
      </c>
      <c r="J128" s="191">
        <v>1850</v>
      </c>
      <c r="K128" s="189">
        <v>0.4285714285714286</v>
      </c>
      <c r="L128" s="191">
        <v>15694</v>
      </c>
      <c r="M128" s="189">
        <v>-5.7870092448072952E-2</v>
      </c>
    </row>
    <row r="129" spans="3:13" ht="24" customHeight="1" thickBot="1" x14ac:dyDescent="0.25">
      <c r="C129" s="192" t="s">
        <v>42</v>
      </c>
      <c r="D129" s="188">
        <v>15221</v>
      </c>
      <c r="E129" s="189">
        <v>-6.0548080483890931E-2</v>
      </c>
      <c r="F129" s="188">
        <v>150</v>
      </c>
      <c r="G129" s="189">
        <v>0.19047619047619047</v>
      </c>
      <c r="H129" s="188">
        <v>60</v>
      </c>
      <c r="I129" s="189">
        <v>0.93548387096774199</v>
      </c>
      <c r="J129" s="188">
        <v>1206</v>
      </c>
      <c r="K129" s="189">
        <v>0.35963923337091308</v>
      </c>
      <c r="L129" s="188">
        <v>13805</v>
      </c>
      <c r="M129" s="189">
        <v>-8.9259796806966607E-2</v>
      </c>
    </row>
    <row r="130" spans="3:13" ht="24" customHeight="1" thickBot="1" x14ac:dyDescent="0.25">
      <c r="C130" s="190" t="s">
        <v>43</v>
      </c>
      <c r="D130" s="191">
        <v>45045</v>
      </c>
      <c r="E130" s="189">
        <v>-0.10236738272687418</v>
      </c>
      <c r="F130" s="191">
        <v>373</v>
      </c>
      <c r="G130" s="189">
        <v>-0.20299145299145294</v>
      </c>
      <c r="H130" s="191">
        <v>354</v>
      </c>
      <c r="I130" s="189">
        <v>-5.8510638297872286E-2</v>
      </c>
      <c r="J130" s="191">
        <v>15428</v>
      </c>
      <c r="K130" s="189">
        <v>-0.14083644261290862</v>
      </c>
      <c r="L130" s="191">
        <v>28890</v>
      </c>
      <c r="M130" s="189">
        <v>-7.9379242216627843E-2</v>
      </c>
    </row>
    <row r="131" spans="3:13" ht="24" customHeight="1" thickBot="1" x14ac:dyDescent="0.25">
      <c r="C131" s="192" t="s">
        <v>44</v>
      </c>
      <c r="D131" s="188">
        <v>16814</v>
      </c>
      <c r="E131" s="189">
        <v>8.8143929588402781E-2</v>
      </c>
      <c r="F131" s="188">
        <v>498</v>
      </c>
      <c r="G131" s="189">
        <v>5.7324840764331197E-2</v>
      </c>
      <c r="H131" s="188">
        <v>226</v>
      </c>
      <c r="I131" s="189">
        <v>-0.1171875</v>
      </c>
      <c r="J131" s="188">
        <v>3921</v>
      </c>
      <c r="K131" s="189">
        <v>0.2648387096774194</v>
      </c>
      <c r="L131" s="188">
        <v>12169</v>
      </c>
      <c r="M131" s="189">
        <v>4.6795698924731122E-2</v>
      </c>
    </row>
    <row r="132" spans="3:13" ht="24" customHeight="1" thickBot="1" x14ac:dyDescent="0.25">
      <c r="C132" s="190" t="s">
        <v>45</v>
      </c>
      <c r="D132" s="191">
        <v>187928</v>
      </c>
      <c r="E132" s="189">
        <v>-4.9240871998016855E-2</v>
      </c>
      <c r="F132" s="191">
        <v>549</v>
      </c>
      <c r="G132" s="189">
        <v>-0.37041284403669728</v>
      </c>
      <c r="H132" s="191">
        <v>105</v>
      </c>
      <c r="I132" s="189">
        <v>0.10526315789473695</v>
      </c>
      <c r="J132" s="191">
        <v>10990</v>
      </c>
      <c r="K132" s="189">
        <v>0.29982259018332358</v>
      </c>
      <c r="L132" s="191">
        <v>176284</v>
      </c>
      <c r="M132" s="189">
        <v>-6.3509687153034178E-2</v>
      </c>
    </row>
    <row r="133" spans="3:13" ht="24" customHeight="1" thickBot="1" x14ac:dyDescent="0.25">
      <c r="C133" s="192" t="s">
        <v>46</v>
      </c>
      <c r="D133" s="188">
        <v>11622</v>
      </c>
      <c r="E133" s="189">
        <v>0.13507178435394085</v>
      </c>
      <c r="F133" s="188">
        <v>66</v>
      </c>
      <c r="G133" s="189">
        <v>-0.64324324324324322</v>
      </c>
      <c r="H133" s="188">
        <v>25</v>
      </c>
      <c r="I133" s="189">
        <v>0.66666666666666674</v>
      </c>
      <c r="J133" s="188">
        <v>1026</v>
      </c>
      <c r="K133" s="189">
        <v>0.65751211631663975</v>
      </c>
      <c r="L133" s="188">
        <v>10505</v>
      </c>
      <c r="M133" s="189">
        <v>0.11518046709129504</v>
      </c>
    </row>
    <row r="134" spans="3:13" ht="24" customHeight="1" thickBot="1" x14ac:dyDescent="0.25">
      <c r="C134" s="190" t="s">
        <v>47</v>
      </c>
      <c r="D134" s="191">
        <v>11450</v>
      </c>
      <c r="E134" s="189">
        <v>-2.6277744706182493E-2</v>
      </c>
      <c r="F134" s="191">
        <v>480</v>
      </c>
      <c r="G134" s="189">
        <v>9.8398169336384456E-2</v>
      </c>
      <c r="H134" s="191">
        <v>134</v>
      </c>
      <c r="I134" s="189">
        <v>0.36734693877551017</v>
      </c>
      <c r="J134" s="191">
        <v>1748</v>
      </c>
      <c r="K134" s="189">
        <v>0.28718703976435944</v>
      </c>
      <c r="L134" s="191">
        <v>9088</v>
      </c>
      <c r="M134" s="189">
        <v>-7.8856679505372007E-2</v>
      </c>
    </row>
    <row r="135" spans="3:13" ht="24" customHeight="1" thickBot="1" x14ac:dyDescent="0.25">
      <c r="C135" s="192" t="s">
        <v>48</v>
      </c>
      <c r="D135" s="188">
        <v>7138</v>
      </c>
      <c r="E135" s="189">
        <v>9.9168463196797063E-2</v>
      </c>
      <c r="F135" s="188">
        <v>143</v>
      </c>
      <c r="G135" s="189">
        <v>-0.2142857142857143</v>
      </c>
      <c r="H135" s="188">
        <v>33</v>
      </c>
      <c r="I135" s="189">
        <v>0.26923076923076916</v>
      </c>
      <c r="J135" s="188">
        <v>965</v>
      </c>
      <c r="K135" s="189">
        <v>0.51253918495297812</v>
      </c>
      <c r="L135" s="188">
        <v>5997</v>
      </c>
      <c r="M135" s="189">
        <v>6.1791784702549535E-2</v>
      </c>
    </row>
    <row r="136" spans="3:13" ht="24" customHeight="1" thickBot="1" x14ac:dyDescent="0.25">
      <c r="C136" s="193" t="s">
        <v>49</v>
      </c>
      <c r="D136" s="191">
        <v>1767</v>
      </c>
      <c r="E136" s="189">
        <v>0.35818601076095313</v>
      </c>
      <c r="F136" s="191">
        <v>46</v>
      </c>
      <c r="G136" s="189">
        <v>-0.38666666666666671</v>
      </c>
      <c r="H136" s="191">
        <v>13</v>
      </c>
      <c r="I136" s="189">
        <v>0.44444444444444442</v>
      </c>
      <c r="J136" s="191">
        <v>259</v>
      </c>
      <c r="K136" s="189">
        <v>0.97709923664122145</v>
      </c>
      <c r="L136" s="191">
        <v>1449</v>
      </c>
      <c r="M136" s="189">
        <v>0.33425414364640882</v>
      </c>
    </row>
    <row r="137" spans="3:13" ht="24" customHeight="1" thickBot="1" x14ac:dyDescent="0.25">
      <c r="C137" s="187" t="s">
        <v>50</v>
      </c>
      <c r="D137" s="188">
        <v>2485</v>
      </c>
      <c r="E137" s="189">
        <v>0.14252873563218382</v>
      </c>
      <c r="F137" s="188">
        <v>54</v>
      </c>
      <c r="G137" s="189">
        <v>0.35000000000000009</v>
      </c>
      <c r="H137" s="188">
        <v>16</v>
      </c>
      <c r="I137" s="189">
        <v>0.33333333333333326</v>
      </c>
      <c r="J137" s="188">
        <v>245</v>
      </c>
      <c r="K137" s="189">
        <v>1.0247933884297522</v>
      </c>
      <c r="L137" s="188">
        <v>2170</v>
      </c>
      <c r="M137" s="189">
        <v>8.3916083916083961E-2</v>
      </c>
    </row>
    <row r="138" spans="3:13" ht="24" customHeight="1" thickBot="1" x14ac:dyDescent="0.25">
      <c r="C138" s="193" t="s">
        <v>51</v>
      </c>
      <c r="D138" s="191">
        <v>2614</v>
      </c>
      <c r="E138" s="189">
        <v>-5.4953000723065748E-2</v>
      </c>
      <c r="F138" s="191">
        <v>25</v>
      </c>
      <c r="G138" s="189">
        <v>-0.46808510638297873</v>
      </c>
      <c r="H138" s="191">
        <v>3</v>
      </c>
      <c r="I138" s="189">
        <v>0</v>
      </c>
      <c r="J138" s="191">
        <v>419</v>
      </c>
      <c r="K138" s="189">
        <v>0.32176656151419558</v>
      </c>
      <c r="L138" s="191">
        <v>2167</v>
      </c>
      <c r="M138" s="189">
        <v>-9.6706961233847477E-2</v>
      </c>
    </row>
    <row r="139" spans="3:13" ht="24" customHeight="1" thickBot="1" x14ac:dyDescent="0.25">
      <c r="C139" s="187" t="s">
        <v>52</v>
      </c>
      <c r="D139" s="188">
        <v>272</v>
      </c>
      <c r="E139" s="189">
        <v>7.9365079365079305E-2</v>
      </c>
      <c r="F139" s="188">
        <v>18</v>
      </c>
      <c r="G139" s="189">
        <v>-9.9999999999999978E-2</v>
      </c>
      <c r="H139" s="188">
        <v>1</v>
      </c>
      <c r="I139" s="189">
        <v>-0.5</v>
      </c>
      <c r="J139" s="188">
        <v>42</v>
      </c>
      <c r="K139" s="189">
        <v>-0.39130434782608692</v>
      </c>
      <c r="L139" s="188">
        <v>211</v>
      </c>
      <c r="M139" s="189">
        <v>0.31055900621118004</v>
      </c>
    </row>
    <row r="140" spans="3:13" ht="24" customHeight="1" thickBot="1" x14ac:dyDescent="0.25">
      <c r="C140" s="190" t="s">
        <v>53</v>
      </c>
      <c r="D140" s="191">
        <v>5353</v>
      </c>
      <c r="E140" s="189">
        <v>-6.0712405685207971E-2</v>
      </c>
      <c r="F140" s="191">
        <v>71</v>
      </c>
      <c r="G140" s="189">
        <v>-7.7922077922077948E-2</v>
      </c>
      <c r="H140" s="191">
        <v>55</v>
      </c>
      <c r="I140" s="189">
        <v>0.4864864864864864</v>
      </c>
      <c r="J140" s="191">
        <v>893</v>
      </c>
      <c r="K140" s="189">
        <v>-9.0631364562118177E-2</v>
      </c>
      <c r="L140" s="191">
        <v>4334</v>
      </c>
      <c r="M140" s="189">
        <v>-5.8440147729741487E-2</v>
      </c>
    </row>
    <row r="141" spans="3:13" ht="24" customHeight="1" thickBot="1" x14ac:dyDescent="0.25">
      <c r="C141" s="192" t="s">
        <v>54</v>
      </c>
      <c r="D141" s="188">
        <v>3340</v>
      </c>
      <c r="E141" s="189">
        <v>-4.8974943052391806E-2</v>
      </c>
      <c r="F141" s="188">
        <v>21</v>
      </c>
      <c r="G141" s="189">
        <v>-0.46153846153846156</v>
      </c>
      <c r="H141" s="188">
        <v>25</v>
      </c>
      <c r="I141" s="189">
        <v>-7.407407407407407E-2</v>
      </c>
      <c r="J141" s="188">
        <v>705</v>
      </c>
      <c r="K141" s="189">
        <v>0.11904761904761907</v>
      </c>
      <c r="L141" s="188">
        <v>2589</v>
      </c>
      <c r="M141" s="189">
        <v>-8.0610795454545414E-2</v>
      </c>
    </row>
    <row r="142" spans="3:13" ht="24" customHeight="1" thickBot="1" x14ac:dyDescent="0.25">
      <c r="C142" s="190" t="s">
        <v>55</v>
      </c>
      <c r="D142" s="191">
        <v>8296</v>
      </c>
      <c r="E142" s="189">
        <v>-0.12155866158407458</v>
      </c>
      <c r="F142" s="191">
        <v>79</v>
      </c>
      <c r="G142" s="189">
        <v>-0.80200501253132828</v>
      </c>
      <c r="H142" s="191">
        <v>5</v>
      </c>
      <c r="I142" s="189">
        <v>-0.76190476190476186</v>
      </c>
      <c r="J142" s="191">
        <v>948</v>
      </c>
      <c r="K142" s="189">
        <v>0.24409448818897639</v>
      </c>
      <c r="L142" s="191">
        <v>7264</v>
      </c>
      <c r="M142" s="189">
        <v>-0.12079399661099011</v>
      </c>
    </row>
    <row r="143" spans="3:13" ht="24" customHeight="1" thickBot="1" x14ac:dyDescent="0.25">
      <c r="C143" s="192" t="s">
        <v>56</v>
      </c>
      <c r="D143" s="188">
        <v>15219</v>
      </c>
      <c r="E143" s="189">
        <v>0.18870577208466766</v>
      </c>
      <c r="F143" s="188">
        <v>132</v>
      </c>
      <c r="G143" s="189">
        <v>-0.24571428571428566</v>
      </c>
      <c r="H143" s="188">
        <v>38</v>
      </c>
      <c r="I143" s="189">
        <v>8.5</v>
      </c>
      <c r="J143" s="188">
        <v>2873</v>
      </c>
      <c r="K143" s="189">
        <v>0.27518863737239241</v>
      </c>
      <c r="L143" s="188">
        <v>12176</v>
      </c>
      <c r="M143" s="189">
        <v>0.17404300453186772</v>
      </c>
    </row>
    <row r="144" spans="3:13" ht="24" customHeight="1" thickBot="1" x14ac:dyDescent="0.25">
      <c r="C144" s="190" t="s">
        <v>57</v>
      </c>
      <c r="D144" s="191">
        <v>17538</v>
      </c>
      <c r="E144" s="189">
        <v>0.20172673701521182</v>
      </c>
      <c r="F144" s="191">
        <v>341</v>
      </c>
      <c r="G144" s="189">
        <v>-0.23024830699774268</v>
      </c>
      <c r="H144" s="191">
        <v>83</v>
      </c>
      <c r="I144" s="189">
        <v>1.5151515151515151</v>
      </c>
      <c r="J144" s="191">
        <v>4836</v>
      </c>
      <c r="K144" s="189">
        <v>0.37308347529812602</v>
      </c>
      <c r="L144" s="191">
        <v>12278</v>
      </c>
      <c r="M144" s="189">
        <v>0.15873914684786716</v>
      </c>
    </row>
    <row r="145" spans="3:13" ht="24" customHeight="1" thickBot="1" x14ac:dyDescent="0.25">
      <c r="C145" s="192" t="s">
        <v>58</v>
      </c>
      <c r="D145" s="188">
        <v>1951</v>
      </c>
      <c r="E145" s="189">
        <v>0.15786350148367956</v>
      </c>
      <c r="F145" s="188">
        <v>250</v>
      </c>
      <c r="G145" s="189">
        <v>1.6260162601626105E-2</v>
      </c>
      <c r="H145" s="188">
        <v>55</v>
      </c>
      <c r="I145" s="189">
        <v>1.5</v>
      </c>
      <c r="J145" s="188">
        <v>324</v>
      </c>
      <c r="K145" s="189">
        <v>0.13684210526315788</v>
      </c>
      <c r="L145" s="188">
        <v>1322</v>
      </c>
      <c r="M145" s="189">
        <v>0.16784452296819796</v>
      </c>
    </row>
    <row r="146" spans="3:13" ht="24" customHeight="1" thickBot="1" x14ac:dyDescent="0.25">
      <c r="C146" s="190" t="s">
        <v>59</v>
      </c>
      <c r="D146" s="191">
        <v>1743</v>
      </c>
      <c r="E146" s="189">
        <v>-0.14975609756097563</v>
      </c>
      <c r="F146" s="191">
        <v>472</v>
      </c>
      <c r="G146" s="189">
        <v>0.50318471337579629</v>
      </c>
      <c r="H146" s="191">
        <v>58</v>
      </c>
      <c r="I146" s="189">
        <v>0.75757575757575757</v>
      </c>
      <c r="J146" s="191">
        <v>381</v>
      </c>
      <c r="K146" s="189">
        <v>-0.13800904977375561</v>
      </c>
      <c r="L146" s="191">
        <v>832</v>
      </c>
      <c r="M146" s="189">
        <v>-0.34020618556701032</v>
      </c>
    </row>
    <row r="147" spans="3:13" ht="24" customHeight="1" thickBot="1" x14ac:dyDescent="0.25">
      <c r="C147" s="192" t="s">
        <v>60</v>
      </c>
      <c r="D147" s="194">
        <v>6533</v>
      </c>
      <c r="E147" s="195">
        <v>0.15587402689313512</v>
      </c>
      <c r="F147" s="194">
        <v>322</v>
      </c>
      <c r="G147" s="195">
        <v>-0.30303030303030298</v>
      </c>
      <c r="H147" s="194">
        <v>42</v>
      </c>
      <c r="I147" s="195">
        <v>1.3333333333333335</v>
      </c>
      <c r="J147" s="194">
        <v>1382</v>
      </c>
      <c r="K147" s="195">
        <v>0.22409211691762621</v>
      </c>
      <c r="L147" s="194">
        <v>4787</v>
      </c>
      <c r="M147" s="195">
        <v>0.18402176601533515</v>
      </c>
    </row>
    <row r="148" spans="3:13" ht="30.75" customHeight="1" thickTop="1" thickBot="1" x14ac:dyDescent="0.25">
      <c r="C148" s="196" t="s">
        <v>61</v>
      </c>
      <c r="D148" s="197">
        <v>372875</v>
      </c>
      <c r="E148" s="198">
        <v>-2.2697786572660417E-2</v>
      </c>
      <c r="F148" s="197">
        <v>4032</v>
      </c>
      <c r="G148" s="198">
        <v>-0.1952095808383234</v>
      </c>
      <c r="H148" s="197">
        <v>1353</v>
      </c>
      <c r="I148" s="198">
        <v>0.19522968197879864</v>
      </c>
      <c r="J148" s="197">
        <v>49476</v>
      </c>
      <c r="K148" s="198">
        <v>0.11648688901927162</v>
      </c>
      <c r="L148" s="197">
        <v>318014</v>
      </c>
      <c r="M148" s="198">
        <v>-3.946188069916845E-2</v>
      </c>
    </row>
    <row r="149" spans="3:13" ht="24" customHeight="1" thickBot="1" x14ac:dyDescent="0.25">
      <c r="C149" s="199" t="s">
        <v>8</v>
      </c>
      <c r="D149" s="200">
        <v>518361</v>
      </c>
      <c r="E149" s="201">
        <v>-3.3170502166690596E-4</v>
      </c>
      <c r="F149" s="200">
        <v>18908</v>
      </c>
      <c r="G149" s="201">
        <v>1.4377682403433401E-2</v>
      </c>
      <c r="H149" s="200">
        <v>5030</v>
      </c>
      <c r="I149" s="201">
        <v>0.46519079522283713</v>
      </c>
      <c r="J149" s="200">
        <v>107270</v>
      </c>
      <c r="K149" s="201">
        <v>0.10460087321855172</v>
      </c>
      <c r="L149" s="200">
        <v>387153</v>
      </c>
      <c r="M149" s="201">
        <v>-3.0537275759487947E-2</v>
      </c>
    </row>
    <row r="150" spans="3:13" ht="13.5" thickBot="1" x14ac:dyDescent="0.25">
      <c r="C150" s="18"/>
      <c r="D150" s="5"/>
      <c r="E150" s="5"/>
      <c r="F150" s="5"/>
      <c r="G150" s="5"/>
      <c r="H150" s="5"/>
      <c r="I150" s="5"/>
      <c r="J150" s="5"/>
      <c r="K150" s="5"/>
      <c r="L150" s="5"/>
      <c r="M150" s="202"/>
    </row>
    <row r="151" spans="3:13" ht="35.25" customHeight="1" thickBot="1" x14ac:dyDescent="0.25">
      <c r="C151" s="164" t="s">
        <v>29</v>
      </c>
      <c r="D151" s="165"/>
      <c r="E151" s="165"/>
      <c r="F151" s="165"/>
      <c r="G151" s="165"/>
      <c r="H151" s="165"/>
      <c r="I151" s="165"/>
      <c r="J151" s="165"/>
      <c r="K151" s="165"/>
      <c r="L151" s="165"/>
      <c r="M151" s="166"/>
    </row>
    <row r="152" spans="3:13" ht="20.100000000000001" customHeight="1" x14ac:dyDescent="0.2">
      <c r="C152" s="167"/>
      <c r="D152" s="168"/>
      <c r="E152" s="168"/>
      <c r="F152" s="168"/>
      <c r="G152" s="169" t="str">
        <f>I2</f>
        <v>acumulado julio 2017</v>
      </c>
      <c r="H152" s="170"/>
      <c r="I152" s="170"/>
      <c r="J152" s="168"/>
      <c r="K152" s="168"/>
      <c r="L152" s="168"/>
      <c r="M152" s="171"/>
    </row>
    <row r="153" spans="3:13" ht="5.25" customHeight="1" thickBot="1" x14ac:dyDescent="0.25">
      <c r="C153" s="172"/>
      <c r="D153" s="168"/>
      <c r="E153" s="168"/>
      <c r="F153" s="168"/>
      <c r="G153" s="173"/>
      <c r="H153" s="173"/>
      <c r="I153" s="173"/>
      <c r="J153" s="168"/>
      <c r="K153" s="168"/>
      <c r="L153" s="168"/>
      <c r="M153" s="174"/>
    </row>
    <row r="154" spans="3:13" ht="32.25" customHeight="1" thickTop="1" thickBot="1" x14ac:dyDescent="0.25">
      <c r="C154" s="175"/>
      <c r="D154" s="176" t="s">
        <v>7</v>
      </c>
      <c r="E154" s="177"/>
      <c r="F154" s="176" t="s">
        <v>30</v>
      </c>
      <c r="G154" s="177"/>
      <c r="H154" s="176" t="s">
        <v>31</v>
      </c>
      <c r="I154" s="177"/>
      <c r="J154" s="176" t="s">
        <v>32</v>
      </c>
      <c r="K154" s="177"/>
      <c r="L154" s="176" t="s">
        <v>33</v>
      </c>
      <c r="M154" s="177"/>
    </row>
    <row r="155" spans="3:13" ht="31.5" customHeight="1" thickBot="1" x14ac:dyDescent="0.25">
      <c r="C155" s="178"/>
      <c r="D155" s="179" t="s">
        <v>62</v>
      </c>
      <c r="E155" s="180" t="s">
        <v>35</v>
      </c>
      <c r="F155" s="179" t="s">
        <v>62</v>
      </c>
      <c r="G155" s="180" t="s">
        <v>35</v>
      </c>
      <c r="H155" s="179" t="s">
        <v>62</v>
      </c>
      <c r="I155" s="180" t="s">
        <v>35</v>
      </c>
      <c r="J155" s="179" t="s">
        <v>62</v>
      </c>
      <c r="K155" s="180" t="s">
        <v>35</v>
      </c>
      <c r="L155" s="179" t="s">
        <v>62</v>
      </c>
      <c r="M155" s="180" t="s">
        <v>35</v>
      </c>
    </row>
    <row r="156" spans="3:13" ht="24" customHeight="1" thickBot="1" x14ac:dyDescent="0.25">
      <c r="C156" s="181" t="s">
        <v>36</v>
      </c>
      <c r="D156" s="182">
        <v>701619</v>
      </c>
      <c r="E156" s="183">
        <v>3.3455294252812573E-2</v>
      </c>
      <c r="F156" s="182">
        <v>98462</v>
      </c>
      <c r="G156" s="183">
        <v>-5.0524443725874502E-3</v>
      </c>
      <c r="H156" s="182">
        <v>13781</v>
      </c>
      <c r="I156" s="183">
        <v>0.11958729385002842</v>
      </c>
      <c r="J156" s="182">
        <v>286045</v>
      </c>
      <c r="K156" s="183">
        <v>9.2070751997678668E-2</v>
      </c>
      <c r="L156" s="182">
        <v>303331</v>
      </c>
      <c r="M156" s="183">
        <v>-7.7689021478152265E-3</v>
      </c>
    </row>
    <row r="157" spans="3:13" ht="24" customHeight="1" thickBot="1" x14ac:dyDescent="0.25">
      <c r="C157" s="184" t="s">
        <v>37</v>
      </c>
      <c r="D157" s="185">
        <v>184206.37976329023</v>
      </c>
      <c r="E157" s="186">
        <v>-2.1442142495792904E-2</v>
      </c>
      <c r="F157" s="185" t="s">
        <v>38</v>
      </c>
      <c r="G157" s="186" t="s">
        <v>38</v>
      </c>
      <c r="H157" s="185" t="s">
        <v>38</v>
      </c>
      <c r="I157" s="186" t="s">
        <v>38</v>
      </c>
      <c r="J157" s="185" t="s">
        <v>38</v>
      </c>
      <c r="K157" s="186" t="s">
        <v>38</v>
      </c>
      <c r="L157" s="185" t="s">
        <v>38</v>
      </c>
      <c r="M157" s="186" t="s">
        <v>38</v>
      </c>
    </row>
    <row r="158" spans="3:13" ht="24" customHeight="1" thickBot="1" x14ac:dyDescent="0.25">
      <c r="C158" s="187" t="s">
        <v>39</v>
      </c>
      <c r="D158" s="188">
        <v>84931.018561524339</v>
      </c>
      <c r="E158" s="189">
        <v>-5.0192868790732148E-2</v>
      </c>
      <c r="F158" s="188" t="s">
        <v>38</v>
      </c>
      <c r="G158" s="189" t="s">
        <v>38</v>
      </c>
      <c r="H158" s="188" t="s">
        <v>38</v>
      </c>
      <c r="I158" s="189" t="s">
        <v>38</v>
      </c>
      <c r="J158" s="188" t="s">
        <v>38</v>
      </c>
      <c r="K158" s="189" t="s">
        <v>38</v>
      </c>
      <c r="L158" s="188" t="s">
        <v>38</v>
      </c>
      <c r="M158" s="189" t="s">
        <v>38</v>
      </c>
    </row>
    <row r="159" spans="3:13" ht="24" customHeight="1" thickBot="1" x14ac:dyDescent="0.25">
      <c r="C159" s="187" t="s">
        <v>40</v>
      </c>
      <c r="D159" s="188">
        <v>432481.60167514323</v>
      </c>
      <c r="E159" s="189">
        <v>7.7851704161757906E-2</v>
      </c>
      <c r="F159" s="188" t="s">
        <v>38</v>
      </c>
      <c r="G159" s="189" t="s">
        <v>38</v>
      </c>
      <c r="H159" s="188" t="s">
        <v>38</v>
      </c>
      <c r="I159" s="189" t="s">
        <v>38</v>
      </c>
      <c r="J159" s="188" t="s">
        <v>38</v>
      </c>
      <c r="K159" s="189" t="s">
        <v>38</v>
      </c>
      <c r="L159" s="188" t="s">
        <v>38</v>
      </c>
      <c r="M159" s="189" t="s">
        <v>38</v>
      </c>
    </row>
    <row r="160" spans="3:13" ht="24" customHeight="1" thickBot="1" x14ac:dyDescent="0.25">
      <c r="C160" s="190" t="s">
        <v>41</v>
      </c>
      <c r="D160" s="191">
        <v>96800</v>
      </c>
      <c r="E160" s="189">
        <v>-2.4252565369030088E-2</v>
      </c>
      <c r="F160" s="191">
        <v>1025</v>
      </c>
      <c r="G160" s="189">
        <v>8.4656084656084651E-2</v>
      </c>
      <c r="H160" s="191">
        <v>613</v>
      </c>
      <c r="I160" s="189">
        <v>8.3038869257950454E-2</v>
      </c>
      <c r="J160" s="191">
        <v>7693</v>
      </c>
      <c r="K160" s="189">
        <v>0.40255241567912492</v>
      </c>
      <c r="L160" s="191">
        <v>87469</v>
      </c>
      <c r="M160" s="189">
        <v>-5.1415247803925812E-2</v>
      </c>
    </row>
    <row r="161" spans="3:13" ht="24" customHeight="1" thickBot="1" x14ac:dyDescent="0.25">
      <c r="C161" s="192" t="s">
        <v>42</v>
      </c>
      <c r="D161" s="188">
        <v>91973</v>
      </c>
      <c r="E161" s="189">
        <v>1.6772127773119205E-3</v>
      </c>
      <c r="F161" s="188">
        <v>994</v>
      </c>
      <c r="G161" s="189">
        <v>0.17216981132075482</v>
      </c>
      <c r="H161" s="188">
        <v>398</v>
      </c>
      <c r="I161" s="189">
        <v>0.12747875354107641</v>
      </c>
      <c r="J161" s="188">
        <v>6173</v>
      </c>
      <c r="K161" s="189">
        <v>0.75618776671408261</v>
      </c>
      <c r="L161" s="188">
        <v>84408</v>
      </c>
      <c r="M161" s="189">
        <v>-3.0940380928326183E-2</v>
      </c>
    </row>
    <row r="162" spans="3:13" ht="24" customHeight="1" thickBot="1" x14ac:dyDescent="0.25">
      <c r="C162" s="190" t="s">
        <v>43</v>
      </c>
      <c r="D162" s="191">
        <v>353875</v>
      </c>
      <c r="E162" s="189">
        <v>-6.1092966057399667E-2</v>
      </c>
      <c r="F162" s="191">
        <v>4631</v>
      </c>
      <c r="G162" s="189">
        <v>-0.14902609334803385</v>
      </c>
      <c r="H162" s="191">
        <v>5424</v>
      </c>
      <c r="I162" s="189">
        <v>0.18041349292709463</v>
      </c>
      <c r="J162" s="191">
        <v>130396</v>
      </c>
      <c r="K162" s="189">
        <v>-5.4978185560435433E-2</v>
      </c>
      <c r="L162" s="191">
        <v>213424</v>
      </c>
      <c r="M162" s="189">
        <v>-6.7536984122823163E-2</v>
      </c>
    </row>
    <row r="163" spans="3:13" ht="24" customHeight="1" thickBot="1" x14ac:dyDescent="0.25">
      <c r="C163" s="192" t="s">
        <v>44</v>
      </c>
      <c r="D163" s="188">
        <v>111437</v>
      </c>
      <c r="E163" s="189">
        <v>6.963774932329958E-2</v>
      </c>
      <c r="F163" s="188">
        <v>3697</v>
      </c>
      <c r="G163" s="189">
        <v>-0.17014590347923686</v>
      </c>
      <c r="H163" s="188">
        <v>2158</v>
      </c>
      <c r="I163" s="189">
        <v>-5.0714615029967547E-3</v>
      </c>
      <c r="J163" s="188">
        <v>21239</v>
      </c>
      <c r="K163" s="189">
        <v>0.21075133964200199</v>
      </c>
      <c r="L163" s="188">
        <v>84343</v>
      </c>
      <c r="M163" s="189">
        <v>5.4076684663067365E-2</v>
      </c>
    </row>
    <row r="164" spans="3:13" ht="24" customHeight="1" thickBot="1" x14ac:dyDescent="0.25">
      <c r="C164" s="190" t="s">
        <v>45</v>
      </c>
      <c r="D164" s="191">
        <v>1204607</v>
      </c>
      <c r="E164" s="189">
        <v>2.4304776093004854E-2</v>
      </c>
      <c r="F164" s="191">
        <v>6309</v>
      </c>
      <c r="G164" s="189">
        <v>2.8697211804989298E-2</v>
      </c>
      <c r="H164" s="191">
        <v>1402</v>
      </c>
      <c r="I164" s="189">
        <v>0.10133542812254515</v>
      </c>
      <c r="J164" s="191">
        <v>62415</v>
      </c>
      <c r="K164" s="189">
        <v>0.36188086406284103</v>
      </c>
      <c r="L164" s="191">
        <v>1134481</v>
      </c>
      <c r="M164" s="189">
        <v>1.041425451643585E-2</v>
      </c>
    </row>
    <row r="165" spans="3:13" ht="24" customHeight="1" thickBot="1" x14ac:dyDescent="0.25">
      <c r="C165" s="192" t="s">
        <v>46</v>
      </c>
      <c r="D165" s="188">
        <v>61272</v>
      </c>
      <c r="E165" s="189">
        <v>9.3869389795408376E-2</v>
      </c>
      <c r="F165" s="188">
        <v>676</v>
      </c>
      <c r="G165" s="189">
        <v>-0.10344827586206895</v>
      </c>
      <c r="H165" s="188">
        <v>131</v>
      </c>
      <c r="I165" s="189">
        <v>0.16964285714285721</v>
      </c>
      <c r="J165" s="188">
        <v>3879</v>
      </c>
      <c r="K165" s="189">
        <v>0.41157205240174677</v>
      </c>
      <c r="L165" s="188">
        <v>56586</v>
      </c>
      <c r="M165" s="189">
        <v>7.9885496183206062E-2</v>
      </c>
    </row>
    <row r="166" spans="3:13" ht="24" customHeight="1" thickBot="1" x14ac:dyDescent="0.25">
      <c r="C166" s="190" t="s">
        <v>47</v>
      </c>
      <c r="D166" s="191">
        <v>87072</v>
      </c>
      <c r="E166" s="189">
        <v>-4.8174990981536769E-2</v>
      </c>
      <c r="F166" s="191">
        <v>4259</v>
      </c>
      <c r="G166" s="189">
        <v>9.2417061611373974E-3</v>
      </c>
      <c r="H166" s="191">
        <v>791</v>
      </c>
      <c r="I166" s="189">
        <v>-1.494396014943955E-2</v>
      </c>
      <c r="J166" s="191">
        <v>9556</v>
      </c>
      <c r="K166" s="189">
        <v>0.1695018969526374</v>
      </c>
      <c r="L166" s="191">
        <v>72466</v>
      </c>
      <c r="M166" s="189">
        <v>-7.4330970173085542E-2</v>
      </c>
    </row>
    <row r="167" spans="3:13" ht="24" customHeight="1" thickBot="1" x14ac:dyDescent="0.25">
      <c r="C167" s="192" t="s">
        <v>48</v>
      </c>
      <c r="D167" s="188">
        <v>244686</v>
      </c>
      <c r="E167" s="189">
        <v>1.6783920015624565E-2</v>
      </c>
      <c r="F167" s="188">
        <v>5211</v>
      </c>
      <c r="G167" s="189">
        <v>1.1527377521614035E-3</v>
      </c>
      <c r="H167" s="188">
        <v>343</v>
      </c>
      <c r="I167" s="189">
        <v>-2.8328611898016942E-2</v>
      </c>
      <c r="J167" s="188">
        <v>35602</v>
      </c>
      <c r="K167" s="189">
        <v>0.18239787446031208</v>
      </c>
      <c r="L167" s="188">
        <v>203530</v>
      </c>
      <c r="M167" s="189">
        <v>-7.0690168261139386E-3</v>
      </c>
    </row>
    <row r="168" spans="3:13" ht="24" customHeight="1" thickBot="1" x14ac:dyDescent="0.25">
      <c r="C168" s="193" t="s">
        <v>49</v>
      </c>
      <c r="D168" s="191">
        <v>88128</v>
      </c>
      <c r="E168" s="189">
        <v>4.3762509919107462E-2</v>
      </c>
      <c r="F168" s="191">
        <v>1937</v>
      </c>
      <c r="G168" s="189">
        <v>-3.7754595131644364E-2</v>
      </c>
      <c r="H168" s="191">
        <v>116</v>
      </c>
      <c r="I168" s="189">
        <v>0.11538461538461542</v>
      </c>
      <c r="J168" s="191">
        <v>10118</v>
      </c>
      <c r="K168" s="189">
        <v>0.1443112418004977</v>
      </c>
      <c r="L168" s="191">
        <v>75957</v>
      </c>
      <c r="M168" s="189">
        <v>3.3794267359882335E-2</v>
      </c>
    </row>
    <row r="169" spans="3:13" ht="24" customHeight="1" thickBot="1" x14ac:dyDescent="0.25">
      <c r="C169" s="187" t="s">
        <v>50</v>
      </c>
      <c r="D169" s="188">
        <v>44171</v>
      </c>
      <c r="E169" s="189">
        <v>1.0662395606910069E-2</v>
      </c>
      <c r="F169" s="188">
        <v>1262</v>
      </c>
      <c r="G169" s="189">
        <v>9.2640692640692635E-2</v>
      </c>
      <c r="H169" s="188">
        <v>56</v>
      </c>
      <c r="I169" s="189">
        <v>-5.084745762711862E-2</v>
      </c>
      <c r="J169" s="188">
        <v>4306</v>
      </c>
      <c r="K169" s="189">
        <v>0.52048022598870047</v>
      </c>
      <c r="L169" s="188">
        <v>38547</v>
      </c>
      <c r="M169" s="189">
        <v>-2.8039032754229809E-2</v>
      </c>
    </row>
    <row r="170" spans="3:13" ht="24" customHeight="1" thickBot="1" x14ac:dyDescent="0.25">
      <c r="C170" s="193" t="s">
        <v>51</v>
      </c>
      <c r="D170" s="191">
        <v>59030</v>
      </c>
      <c r="E170" s="189">
        <v>1.4226315246898658E-2</v>
      </c>
      <c r="F170" s="191">
        <v>876</v>
      </c>
      <c r="G170" s="189">
        <v>-3.3112582781456901E-2</v>
      </c>
      <c r="H170" s="191">
        <v>126</v>
      </c>
      <c r="I170" s="189">
        <v>6.7796610169491567E-2</v>
      </c>
      <c r="J170" s="191">
        <v>6628</v>
      </c>
      <c r="K170" s="189">
        <v>0.31065849317777339</v>
      </c>
      <c r="L170" s="191">
        <v>51400</v>
      </c>
      <c r="M170" s="189">
        <v>-1.3833195832773759E-2</v>
      </c>
    </row>
    <row r="171" spans="3:13" ht="24" customHeight="1" thickBot="1" x14ac:dyDescent="0.25">
      <c r="C171" s="187" t="s">
        <v>52</v>
      </c>
      <c r="D171" s="188">
        <v>53357</v>
      </c>
      <c r="E171" s="189">
        <v>-1.7493140847404609E-2</v>
      </c>
      <c r="F171" s="188">
        <v>1136</v>
      </c>
      <c r="G171" s="189">
        <v>4.4208664898319761E-3</v>
      </c>
      <c r="H171" s="188">
        <v>45</v>
      </c>
      <c r="I171" s="189">
        <v>-0.375</v>
      </c>
      <c r="J171" s="188">
        <v>14550</v>
      </c>
      <c r="K171" s="189">
        <v>8.7525226100605424E-2</v>
      </c>
      <c r="L171" s="188">
        <v>37626</v>
      </c>
      <c r="M171" s="189">
        <v>-5.2838263058527346E-2</v>
      </c>
    </row>
    <row r="172" spans="3:13" ht="24" customHeight="1" thickBot="1" x14ac:dyDescent="0.25">
      <c r="C172" s="190" t="s">
        <v>53</v>
      </c>
      <c r="D172" s="191">
        <v>31192</v>
      </c>
      <c r="E172" s="189">
        <v>2.6761907896902359E-2</v>
      </c>
      <c r="F172" s="191">
        <v>790</v>
      </c>
      <c r="G172" s="189">
        <v>-6.8396226415094352E-2</v>
      </c>
      <c r="H172" s="191">
        <v>533</v>
      </c>
      <c r="I172" s="189">
        <v>0.29683698296836991</v>
      </c>
      <c r="J172" s="191">
        <v>5615</v>
      </c>
      <c r="K172" s="189">
        <v>0.11012257809410841</v>
      </c>
      <c r="L172" s="191">
        <v>24254</v>
      </c>
      <c r="M172" s="189">
        <v>7.9793865846562451E-3</v>
      </c>
    </row>
    <row r="173" spans="3:13" ht="24" customHeight="1" thickBot="1" x14ac:dyDescent="0.25">
      <c r="C173" s="192" t="s">
        <v>54</v>
      </c>
      <c r="D173" s="188">
        <v>20552</v>
      </c>
      <c r="E173" s="189">
        <v>8.2424816980039006E-2</v>
      </c>
      <c r="F173" s="188">
        <v>378</v>
      </c>
      <c r="G173" s="189">
        <v>-0.17105263157894735</v>
      </c>
      <c r="H173" s="188">
        <v>303</v>
      </c>
      <c r="I173" s="189">
        <v>0.27310924369747891</v>
      </c>
      <c r="J173" s="188">
        <v>4662</v>
      </c>
      <c r="K173" s="189">
        <v>0.23989361702127665</v>
      </c>
      <c r="L173" s="188">
        <v>15209</v>
      </c>
      <c r="M173" s="189">
        <v>4.6514828321750468E-2</v>
      </c>
    </row>
    <row r="174" spans="3:13" ht="24" customHeight="1" thickBot="1" x14ac:dyDescent="0.25">
      <c r="C174" s="190" t="s">
        <v>55</v>
      </c>
      <c r="D174" s="191">
        <v>49967</v>
      </c>
      <c r="E174" s="189">
        <v>-7.6156491513515556E-2</v>
      </c>
      <c r="F174" s="191">
        <v>972</v>
      </c>
      <c r="G174" s="189">
        <v>-0.22240000000000004</v>
      </c>
      <c r="H174" s="191">
        <v>137</v>
      </c>
      <c r="I174" s="189">
        <v>5.3846153846153877E-2</v>
      </c>
      <c r="J174" s="191">
        <v>4975</v>
      </c>
      <c r="K174" s="189">
        <v>0.25567895002523988</v>
      </c>
      <c r="L174" s="191">
        <v>43883</v>
      </c>
      <c r="M174" s="189">
        <v>-9.9725094370589185E-2</v>
      </c>
    </row>
    <row r="175" spans="3:13" ht="24" customHeight="1" thickBot="1" x14ac:dyDescent="0.25">
      <c r="C175" s="192" t="s">
        <v>56</v>
      </c>
      <c r="D175" s="188">
        <v>87104</v>
      </c>
      <c r="E175" s="189">
        <v>0.11279463430213998</v>
      </c>
      <c r="F175" s="188">
        <v>1497</v>
      </c>
      <c r="G175" s="189">
        <v>0.11466865227103495</v>
      </c>
      <c r="H175" s="188">
        <v>221</v>
      </c>
      <c r="I175" s="189">
        <v>0.97321428571428581</v>
      </c>
      <c r="J175" s="188">
        <v>12225</v>
      </c>
      <c r="K175" s="189">
        <v>0.29460976384623527</v>
      </c>
      <c r="L175" s="188">
        <v>73161</v>
      </c>
      <c r="M175" s="189">
        <v>8.5845318135268744E-2</v>
      </c>
    </row>
    <row r="176" spans="3:13" ht="24" customHeight="1" thickBot="1" x14ac:dyDescent="0.25">
      <c r="C176" s="190" t="s">
        <v>57</v>
      </c>
      <c r="D176" s="191">
        <v>93855</v>
      </c>
      <c r="E176" s="189">
        <v>7.4938152831225846E-2</v>
      </c>
      <c r="F176" s="191">
        <v>3753</v>
      </c>
      <c r="G176" s="189">
        <v>0.14003645200486026</v>
      </c>
      <c r="H176" s="191">
        <v>395</v>
      </c>
      <c r="I176" s="189">
        <v>0.55511811023622037</v>
      </c>
      <c r="J176" s="191">
        <v>21746</v>
      </c>
      <c r="K176" s="189">
        <v>0.3487564349066552</v>
      </c>
      <c r="L176" s="191">
        <v>67961</v>
      </c>
      <c r="M176" s="189">
        <v>4.7011516343153925E-3</v>
      </c>
    </row>
    <row r="177" spans="3:18" ht="24" customHeight="1" thickBot="1" x14ac:dyDescent="0.25">
      <c r="C177" s="192" t="s">
        <v>58</v>
      </c>
      <c r="D177" s="188">
        <v>12647</v>
      </c>
      <c r="E177" s="189">
        <v>0.31383752337419479</v>
      </c>
      <c r="F177" s="188">
        <v>1590</v>
      </c>
      <c r="G177" s="189">
        <v>0.1665443873807777</v>
      </c>
      <c r="H177" s="188">
        <v>401</v>
      </c>
      <c r="I177" s="189">
        <v>0.62348178137651833</v>
      </c>
      <c r="J177" s="188">
        <v>2047</v>
      </c>
      <c r="K177" s="189">
        <v>0.27300995024875618</v>
      </c>
      <c r="L177" s="188">
        <v>8609</v>
      </c>
      <c r="M177" s="189">
        <v>0.34347690387016239</v>
      </c>
    </row>
    <row r="178" spans="3:18" ht="24" customHeight="1" thickBot="1" x14ac:dyDescent="0.25">
      <c r="C178" s="190" t="s">
        <v>59</v>
      </c>
      <c r="D178" s="191">
        <v>10853</v>
      </c>
      <c r="E178" s="189">
        <v>-3.2795651011496285E-2</v>
      </c>
      <c r="F178" s="191">
        <v>2358</v>
      </c>
      <c r="G178" s="189">
        <v>0.16386969397828244</v>
      </c>
      <c r="H178" s="191">
        <v>263</v>
      </c>
      <c r="I178" s="189">
        <v>0.25837320574162681</v>
      </c>
      <c r="J178" s="191">
        <v>2365</v>
      </c>
      <c r="K178" s="189">
        <v>6.9168173598553429E-2</v>
      </c>
      <c r="L178" s="191">
        <v>5867</v>
      </c>
      <c r="M178" s="189">
        <v>-0.13389430174195449</v>
      </c>
    </row>
    <row r="179" spans="3:18" ht="24" customHeight="1" thickBot="1" x14ac:dyDescent="0.25">
      <c r="C179" s="192" t="s">
        <v>60</v>
      </c>
      <c r="D179" s="194">
        <v>36509</v>
      </c>
      <c r="E179" s="195">
        <v>0.21352833638025603</v>
      </c>
      <c r="F179" s="194">
        <v>3111</v>
      </c>
      <c r="G179" s="195">
        <v>2.5717111770524159E-2</v>
      </c>
      <c r="H179" s="194">
        <v>442</v>
      </c>
      <c r="I179" s="195">
        <v>0.34346504559270508</v>
      </c>
      <c r="J179" s="194">
        <v>6838</v>
      </c>
      <c r="K179" s="195">
        <v>0.13644673425295006</v>
      </c>
      <c r="L179" s="194">
        <v>26118</v>
      </c>
      <c r="M179" s="195">
        <v>0.26137351492321059</v>
      </c>
    </row>
    <row r="180" spans="3:18" ht="30.75" customHeight="1" thickTop="1" thickBot="1" x14ac:dyDescent="0.25">
      <c r="C180" s="196" t="s">
        <v>61</v>
      </c>
      <c r="D180" s="197">
        <v>2594401</v>
      </c>
      <c r="E180" s="198">
        <v>1.4927375840246837E-2</v>
      </c>
      <c r="F180" s="197">
        <v>41251</v>
      </c>
      <c r="G180" s="198">
        <v>-8.6992045754932246E-3</v>
      </c>
      <c r="H180" s="197">
        <v>13955</v>
      </c>
      <c r="I180" s="198">
        <v>0.14818166858647364</v>
      </c>
      <c r="J180" s="197">
        <v>337426</v>
      </c>
      <c r="K180" s="198">
        <v>0.12638283383294491</v>
      </c>
      <c r="L180" s="197">
        <v>2201769</v>
      </c>
      <c r="M180" s="198">
        <v>-5.1795125538489639E-4</v>
      </c>
    </row>
    <row r="181" spans="3:18" ht="24" customHeight="1" thickBot="1" x14ac:dyDescent="0.25">
      <c r="C181" s="199" t="s">
        <v>8</v>
      </c>
      <c r="D181" s="200">
        <v>3296020</v>
      </c>
      <c r="E181" s="201">
        <v>1.881551668872139E-2</v>
      </c>
      <c r="F181" s="200">
        <v>139713</v>
      </c>
      <c r="G181" s="201">
        <v>-6.1319580295216003E-3</v>
      </c>
      <c r="H181" s="200">
        <v>27736</v>
      </c>
      <c r="I181" s="201">
        <v>0.13379389281772469</v>
      </c>
      <c r="J181" s="200">
        <v>623471</v>
      </c>
      <c r="K181" s="201">
        <v>0.1103767620370617</v>
      </c>
      <c r="L181" s="200">
        <v>2505100</v>
      </c>
      <c r="M181" s="201">
        <v>-1.401569630425703E-3</v>
      </c>
    </row>
    <row r="182" spans="3:18" ht="18" customHeight="1" x14ac:dyDescent="0.2">
      <c r="C182" s="4"/>
    </row>
    <row r="183" spans="3:18" ht="17.25" hidden="1" customHeight="1" x14ac:dyDescent="0.2">
      <c r="C183" s="157"/>
      <c r="D183" s="158"/>
      <c r="E183" s="158"/>
      <c r="F183" s="158"/>
      <c r="G183" s="158"/>
      <c r="H183" s="158"/>
      <c r="I183" s="158"/>
      <c r="J183" s="158"/>
      <c r="K183" s="158"/>
      <c r="L183" s="158"/>
      <c r="M183" s="159"/>
    </row>
    <row r="184" spans="3:18" ht="21.75" hidden="1" customHeight="1" x14ac:dyDescent="0.2">
      <c r="C184" s="160"/>
      <c r="D184" s="161"/>
      <c r="E184" s="203" t="str">
        <f>$E$1</f>
        <v>INDICADORES TURÍSTICOS DE TENERIFE definitivo</v>
      </c>
      <c r="F184" s="204"/>
      <c r="G184" s="204"/>
      <c r="H184" s="204"/>
      <c r="I184" s="204"/>
      <c r="J184" s="204"/>
      <c r="K184" s="205"/>
      <c r="L184" s="161"/>
      <c r="M184" s="163"/>
    </row>
    <row r="185" spans="3:18" s="1" customFormat="1" ht="21.75" hidden="1" customHeight="1" x14ac:dyDescent="0.2">
      <c r="C185" s="160"/>
      <c r="D185" s="161"/>
      <c r="E185" s="162"/>
      <c r="F185" s="162"/>
      <c r="G185" s="162"/>
      <c r="H185" s="162"/>
      <c r="I185" s="162"/>
      <c r="J185" s="162"/>
      <c r="K185" s="162"/>
      <c r="L185" s="161"/>
      <c r="M185" s="163"/>
    </row>
    <row r="186" spans="3:18" ht="33" hidden="1" customHeight="1" x14ac:dyDescent="0.2">
      <c r="C186" s="206" t="s">
        <v>29</v>
      </c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8"/>
    </row>
    <row r="187" spans="3:18" ht="20.100000000000001" hidden="1" customHeight="1" x14ac:dyDescent="0.2">
      <c r="C187" s="209">
        <f>E3</f>
        <v>0</v>
      </c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1"/>
    </row>
    <row r="188" spans="3:18" ht="17.25" hidden="1" customHeight="1" x14ac:dyDescent="0.2">
      <c r="C188" s="211"/>
      <c r="D188" s="212" t="s">
        <v>24</v>
      </c>
      <c r="E188" s="213"/>
      <c r="F188" s="212" t="s">
        <v>23</v>
      </c>
      <c r="G188" s="213"/>
      <c r="H188" s="212" t="s">
        <v>22</v>
      </c>
      <c r="I188" s="213"/>
      <c r="J188" s="212" t="s">
        <v>21</v>
      </c>
      <c r="K188" s="213"/>
      <c r="L188" s="212" t="s">
        <v>20</v>
      </c>
      <c r="M188" s="213"/>
      <c r="N188" s="212" t="s">
        <v>63</v>
      </c>
      <c r="O188" s="213"/>
      <c r="P188" s="212" t="s">
        <v>64</v>
      </c>
      <c r="Q188" s="213"/>
    </row>
    <row r="189" spans="3:18" ht="28.5" hidden="1" customHeight="1" x14ac:dyDescent="0.2">
      <c r="C189" s="211"/>
      <c r="D189" s="214" t="s">
        <v>35</v>
      </c>
      <c r="E189" s="214" t="s">
        <v>34</v>
      </c>
      <c r="F189" s="214" t="s">
        <v>35</v>
      </c>
      <c r="G189" s="214" t="s">
        <v>34</v>
      </c>
      <c r="H189" s="214" t="s">
        <v>35</v>
      </c>
      <c r="I189" s="214" t="s">
        <v>34</v>
      </c>
      <c r="J189" s="214" t="s">
        <v>35</v>
      </c>
      <c r="K189" s="214" t="s">
        <v>34</v>
      </c>
      <c r="L189" s="214" t="s">
        <v>35</v>
      </c>
      <c r="M189" s="214" t="s">
        <v>34</v>
      </c>
      <c r="N189" s="214" t="s">
        <v>35</v>
      </c>
      <c r="O189" s="214" t="s">
        <v>34</v>
      </c>
      <c r="P189" s="214" t="s">
        <v>35</v>
      </c>
      <c r="Q189" s="214" t="s">
        <v>34</v>
      </c>
    </row>
    <row r="190" spans="3:18" ht="24" hidden="1" customHeight="1" x14ac:dyDescent="0.2">
      <c r="C190" s="215" t="s">
        <v>36</v>
      </c>
      <c r="D190" s="216" t="e">
        <f>VLOOKUP("españa",#REF!,6,FALSE)/VLOOKUP("españa",#REF!,6,FALSE)-1</f>
        <v>#REF!</v>
      </c>
      <c r="E190" s="217" t="e">
        <f>VLOOKUP("españa",#REF!,6,FALSE)</f>
        <v>#REF!</v>
      </c>
      <c r="F190" s="216" t="e">
        <f>VLOOKUP("españa",#REF!,5,FALSE)/VLOOKUP("españa",#REF!,5,FALSE)-1</f>
        <v>#REF!</v>
      </c>
      <c r="G190" s="217" t="e">
        <f>VLOOKUP("españa",#REF!,5,FALSE)</f>
        <v>#REF!</v>
      </c>
      <c r="H190" s="216" t="e">
        <f>VLOOKUP("españa",#REF!,4,FALSE)/VLOOKUP("españa",#REF!,4,FALSE)-1</f>
        <v>#REF!</v>
      </c>
      <c r="I190" s="217" t="e">
        <f>VLOOKUP("españa",#REF!,4,FALSE)</f>
        <v>#REF!</v>
      </c>
      <c r="J190" s="216" t="e">
        <f>VLOOKUP("españa",#REF!,3,FALSE)/VLOOKUP("españa",#REF!,3,FALSE)-1</f>
        <v>#REF!</v>
      </c>
      <c r="K190" s="217" t="e">
        <f>VLOOKUP("españa",#REF!,3,FALSE)</f>
        <v>#REF!</v>
      </c>
      <c r="L190" s="216" t="e">
        <f>VLOOKUP("españa",#REF!,2,FALSE)/VLOOKUP("españa",#REF!,2,FALSE)-1</f>
        <v>#REF!</v>
      </c>
      <c r="M190" s="217" t="e">
        <f>VLOOKUP("españa",#REF!,2,FALSE)</f>
        <v>#REF!</v>
      </c>
      <c r="N190" s="216" t="e">
        <f>VLOOKUP("españa",#REF!,7,FALSE)/VLOOKUP("españa",#REF!,7,FALSE)-1</f>
        <v>#REF!</v>
      </c>
      <c r="O190" s="217" t="e">
        <f>VLOOKUP("españa",#REF!,7,FALSE)</f>
        <v>#REF!</v>
      </c>
      <c r="P190" s="216" t="e">
        <f>VLOOKUP("españa",#REF!,8,FALSE)/VLOOKUP("españa",#REF!,8,FALSE)-1</f>
        <v>#REF!</v>
      </c>
      <c r="Q190" s="217" t="e">
        <f>VLOOKUP("españa",#REF!,8,FALSE)</f>
        <v>#REF!</v>
      </c>
    </row>
    <row r="191" spans="3:18" ht="24" hidden="1" customHeight="1" x14ac:dyDescent="0.2">
      <c r="C191" s="215" t="s">
        <v>41</v>
      </c>
      <c r="D191" s="216" t="e">
        <f>VLOOKUP("holanda",#REF!,6,FALSE)/VLOOKUP("holanda",#REF!,6,FALSE)-1</f>
        <v>#REF!</v>
      </c>
      <c r="E191" s="217" t="e">
        <f>VLOOKUP("holanda",#REF!,6,FALSE)</f>
        <v>#REF!</v>
      </c>
      <c r="F191" s="216" t="e">
        <f>VLOOKUP("holanda",#REF!,5,FALSE)/VLOOKUP("holanda",#REF!,5,FALSE)-1</f>
        <v>#REF!</v>
      </c>
      <c r="G191" s="217" t="e">
        <f>VLOOKUP("holanda",#REF!,5,FALSE)</f>
        <v>#REF!</v>
      </c>
      <c r="H191" s="216" t="e">
        <f>VLOOKUP("holanda",#REF!,4,FALSE)/VLOOKUP("holanda",#REF!,4,FALSE)-1</f>
        <v>#REF!</v>
      </c>
      <c r="I191" s="217" t="e">
        <f>VLOOKUP("holanda",#REF!,4,FALSE)</f>
        <v>#REF!</v>
      </c>
      <c r="J191" s="216" t="e">
        <f>VLOOKUP("holanda",#REF!,3,FALSE)/VLOOKUP("holanda",#REF!,3,FALSE)-1</f>
        <v>#REF!</v>
      </c>
      <c r="K191" s="217" t="e">
        <f>VLOOKUP("holanda",#REF!,3,FALSE)</f>
        <v>#REF!</v>
      </c>
      <c r="L191" s="216" t="e">
        <f>VLOOKUP("holanda",#REF!,2,FALSE)/VLOOKUP("holanda",#REF!,2,FALSE)-1</f>
        <v>#REF!</v>
      </c>
      <c r="M191" s="217" t="e">
        <f>VLOOKUP("holanda",#REF!,2,FALSE)</f>
        <v>#REF!</v>
      </c>
      <c r="N191" s="216" t="e">
        <f>VLOOKUP("holanda",#REF!,7,FALSE)/VLOOKUP("holanda",#REF!,7,FALSE)-1</f>
        <v>#REF!</v>
      </c>
      <c r="O191" s="217" t="e">
        <f>VLOOKUP("holanda",#REF!,7,FALSE)</f>
        <v>#REF!</v>
      </c>
      <c r="P191" s="216" t="e">
        <f>VLOOKUP("holanda",#REF!,8,FALSE)/VLOOKUP("holanda",#REF!,8,FALSE)-1</f>
        <v>#REF!</v>
      </c>
      <c r="Q191" s="217" t="e">
        <f>VLOOKUP("holanda",#REF!,8,FALSE)</f>
        <v>#REF!</v>
      </c>
    </row>
    <row r="192" spans="3:18" ht="24" hidden="1" customHeight="1" x14ac:dyDescent="0.2">
      <c r="C192" s="215" t="s">
        <v>42</v>
      </c>
      <c r="D192" s="216" t="e">
        <f>VLOOKUP("belgica",#REF!,6,FALSE)/VLOOKUP("belgica",#REF!,6,FALSE)-1</f>
        <v>#REF!</v>
      </c>
      <c r="E192" s="217" t="e">
        <f>VLOOKUP("belgica",#REF!,6,FALSE)</f>
        <v>#REF!</v>
      </c>
      <c r="F192" s="216" t="e">
        <f>VLOOKUP("belgica",#REF!,5,FALSE)/VLOOKUP("belgica",#REF!,5,FALSE)-1</f>
        <v>#REF!</v>
      </c>
      <c r="G192" s="217" t="e">
        <f>VLOOKUP("belgica",#REF!,5,FALSE)</f>
        <v>#REF!</v>
      </c>
      <c r="H192" s="216" t="e">
        <f>VLOOKUP("belgica",#REF!,4,FALSE)/VLOOKUP("belgica",#REF!,4,FALSE)-1</f>
        <v>#REF!</v>
      </c>
      <c r="I192" s="217" t="e">
        <f>VLOOKUP("belgica",#REF!,4,FALSE)</f>
        <v>#REF!</v>
      </c>
      <c r="J192" s="216" t="e">
        <f>VLOOKUP("belgica",#REF!,3,FALSE)/VLOOKUP("belgica",#REF!,3,FALSE)-1</f>
        <v>#REF!</v>
      </c>
      <c r="K192" s="217" t="e">
        <f>VLOOKUP("belgica",#REF!,3,FALSE)</f>
        <v>#REF!</v>
      </c>
      <c r="L192" s="216" t="e">
        <f>VLOOKUP("belgica",#REF!,2,FALSE)/VLOOKUP("belgica",#REF!,2,FALSE)-1</f>
        <v>#REF!</v>
      </c>
      <c r="M192" s="217" t="e">
        <f>VLOOKUP("belgica",#REF!,2,FALSE)</f>
        <v>#REF!</v>
      </c>
      <c r="N192" s="216" t="e">
        <f>VLOOKUP("belgica",#REF!,7,FALSE)/VLOOKUP("belgica",#REF!,7,FALSE)-1</f>
        <v>#REF!</v>
      </c>
      <c r="O192" s="217" t="e">
        <f>VLOOKUP("belgica",#REF!,7,FALSE)</f>
        <v>#REF!</v>
      </c>
      <c r="P192" s="216" t="e">
        <f>VLOOKUP("belgica",#REF!,8,FALSE)/VLOOKUP("belgica",#REF!,8,FALSE)-1</f>
        <v>#REF!</v>
      </c>
      <c r="Q192" s="217" t="e">
        <f>VLOOKUP("belgica",#REF!,8,FALSE)</f>
        <v>#REF!</v>
      </c>
    </row>
    <row r="193" spans="3:17" ht="24" hidden="1" customHeight="1" x14ac:dyDescent="0.2">
      <c r="C193" s="215" t="s">
        <v>43</v>
      </c>
      <c r="D193" s="216" t="e">
        <f>VLOOKUP("alemania",#REF!,6,FALSE)/VLOOKUP("alemania",#REF!,6,FALSE)-1</f>
        <v>#REF!</v>
      </c>
      <c r="E193" s="217" t="e">
        <f>VLOOKUP("alemania",#REF!,6,FALSE)</f>
        <v>#REF!</v>
      </c>
      <c r="F193" s="216" t="e">
        <f>VLOOKUP("alemania",#REF!,5,FALSE)/VLOOKUP("alemania",#REF!,5,FALSE)-1</f>
        <v>#REF!</v>
      </c>
      <c r="G193" s="217" t="e">
        <f>VLOOKUP("alemania",#REF!,5,FALSE)</f>
        <v>#REF!</v>
      </c>
      <c r="H193" s="216" t="e">
        <f>VLOOKUP("alemania",#REF!,4,FALSE)/VLOOKUP("alemania",#REF!,4,FALSE)-1</f>
        <v>#REF!</v>
      </c>
      <c r="I193" s="217" t="e">
        <f>VLOOKUP("alemania",#REF!,4,FALSE)</f>
        <v>#REF!</v>
      </c>
      <c r="J193" s="216" t="e">
        <f>VLOOKUP("alemania",#REF!,3,FALSE)/VLOOKUP("alemania",#REF!,3,FALSE)-1</f>
        <v>#REF!</v>
      </c>
      <c r="K193" s="217" t="e">
        <f>VLOOKUP("alemania",#REF!,3,FALSE)</f>
        <v>#REF!</v>
      </c>
      <c r="L193" s="216" t="e">
        <f>VLOOKUP("alemania",#REF!,2,FALSE)/VLOOKUP("alemania",#REF!,2,FALSE)-1</f>
        <v>#REF!</v>
      </c>
      <c r="M193" s="217" t="e">
        <f>VLOOKUP("alemania",#REF!,2,FALSE)</f>
        <v>#REF!</v>
      </c>
      <c r="N193" s="216" t="e">
        <f>VLOOKUP("alemania",#REF!,7,FALSE)/VLOOKUP("alemania",#REF!,7,FALSE)-1</f>
        <v>#REF!</v>
      </c>
      <c r="O193" s="217" t="e">
        <f>VLOOKUP("alemania",#REF!,7,FALSE)</f>
        <v>#REF!</v>
      </c>
      <c r="P193" s="216" t="e">
        <f>VLOOKUP("alemania",#REF!,8,FALSE)/VLOOKUP("alemania",#REF!,8,FALSE)-1</f>
        <v>#REF!</v>
      </c>
      <c r="Q193" s="217" t="e">
        <f>VLOOKUP("alemania",#REF!,8,FALSE)</f>
        <v>#REF!</v>
      </c>
    </row>
    <row r="194" spans="3:17" ht="24" hidden="1" customHeight="1" x14ac:dyDescent="0.2">
      <c r="C194" s="215" t="s">
        <v>44</v>
      </c>
      <c r="D194" s="216" t="e">
        <f>VLOOKUP("francia",#REF!,6,FALSE)/VLOOKUP("francia",#REF!,6,FALSE)-1</f>
        <v>#REF!</v>
      </c>
      <c r="E194" s="217" t="e">
        <f>VLOOKUP("francia",#REF!,6,FALSE)</f>
        <v>#REF!</v>
      </c>
      <c r="F194" s="216" t="e">
        <f>VLOOKUP("francia",#REF!,5,FALSE)/VLOOKUP("francia",#REF!,5,FALSE)-1</f>
        <v>#REF!</v>
      </c>
      <c r="G194" s="217" t="e">
        <f>VLOOKUP("francia",#REF!,5,FALSE)</f>
        <v>#REF!</v>
      </c>
      <c r="H194" s="216" t="e">
        <f>VLOOKUP("francia",#REF!,4,FALSE)/VLOOKUP("francia",#REF!,4,FALSE)-1</f>
        <v>#REF!</v>
      </c>
      <c r="I194" s="217" t="e">
        <f>VLOOKUP("francia",#REF!,4,FALSE)</f>
        <v>#REF!</v>
      </c>
      <c r="J194" s="216" t="e">
        <f>VLOOKUP("francia",#REF!,3,FALSE)/VLOOKUP("francia",#REF!,3,FALSE)-1</f>
        <v>#REF!</v>
      </c>
      <c r="K194" s="217" t="e">
        <f>VLOOKUP("francia",#REF!,3,FALSE)</f>
        <v>#REF!</v>
      </c>
      <c r="L194" s="216" t="e">
        <f>VLOOKUP("francia",#REF!,2,FALSE)/VLOOKUP("francia",#REF!,2,FALSE)-1</f>
        <v>#REF!</v>
      </c>
      <c r="M194" s="217" t="e">
        <f>VLOOKUP("francia",#REF!,2,FALSE)</f>
        <v>#REF!</v>
      </c>
      <c r="N194" s="216" t="e">
        <f>VLOOKUP("francia",#REF!,7,FALSE)/VLOOKUP("francia",#REF!,7,FALSE)-1</f>
        <v>#REF!</v>
      </c>
      <c r="O194" s="217" t="e">
        <f>VLOOKUP("francia",#REF!,7,FALSE)</f>
        <v>#REF!</v>
      </c>
      <c r="P194" s="216" t="e">
        <f>VLOOKUP("francia",#REF!,8,FALSE)/VLOOKUP("francia",#REF!,8,FALSE)-1</f>
        <v>#REF!</v>
      </c>
      <c r="Q194" s="217" t="e">
        <f>VLOOKUP("francia",#REF!,8,FALSE)</f>
        <v>#REF!</v>
      </c>
    </row>
    <row r="195" spans="3:17" ht="24" hidden="1" customHeight="1" x14ac:dyDescent="0.2">
      <c r="C195" s="215" t="s">
        <v>45</v>
      </c>
      <c r="D195" s="216" t="e">
        <f>VLOOKUP("reino unido",#REF!,6,FALSE)/VLOOKUP("reino unido",#REF!,6,FALSE)-1</f>
        <v>#REF!</v>
      </c>
      <c r="E195" s="217" t="e">
        <f>VLOOKUP("reino unido",#REF!,6,FALSE)</f>
        <v>#REF!</v>
      </c>
      <c r="F195" s="216" t="e">
        <f>VLOOKUP("reino unido",#REF!,5,FALSE)/VLOOKUP("reino unido",#REF!,5,FALSE)-1</f>
        <v>#REF!</v>
      </c>
      <c r="G195" s="217" t="e">
        <f>VLOOKUP("reino unido",#REF!,5,FALSE)</f>
        <v>#REF!</v>
      </c>
      <c r="H195" s="216" t="e">
        <f>VLOOKUP("reino unido",#REF!,4,FALSE)/VLOOKUP("reino unido",#REF!,4,FALSE)-1</f>
        <v>#REF!</v>
      </c>
      <c r="I195" s="217" t="e">
        <f>VLOOKUP("reino unido",#REF!,4,FALSE)</f>
        <v>#REF!</v>
      </c>
      <c r="J195" s="216" t="e">
        <f>VLOOKUP("reino unido",#REF!,3,FALSE)/VLOOKUP("reino unido",#REF!,3,FALSE)-1</f>
        <v>#REF!</v>
      </c>
      <c r="K195" s="217" t="e">
        <f>VLOOKUP("reino unido",#REF!,3,FALSE)</f>
        <v>#REF!</v>
      </c>
      <c r="L195" s="216" t="e">
        <f>VLOOKUP("reino unido",#REF!,2,FALSE)/VLOOKUP("reino unido",#REF!,2,FALSE)-1</f>
        <v>#REF!</v>
      </c>
      <c r="M195" s="217" t="e">
        <f>VLOOKUP("reino unido",#REF!,2,FALSE)</f>
        <v>#REF!</v>
      </c>
      <c r="N195" s="216" t="e">
        <f>VLOOKUP("reino unido",#REF!,7,FALSE)/VLOOKUP("reino unido",#REF!,7,FALSE)-1</f>
        <v>#REF!</v>
      </c>
      <c r="O195" s="217" t="e">
        <f>VLOOKUP("reino unido",#REF!,7,FALSE)</f>
        <v>#REF!</v>
      </c>
      <c r="P195" s="216" t="e">
        <f>VLOOKUP("reino unido",#REF!,8,FALSE)/VLOOKUP("reino unido",#REF!,8,FALSE)-1</f>
        <v>#REF!</v>
      </c>
      <c r="Q195" s="217" t="e">
        <f>VLOOKUP("reino unido",#REF!,8,FALSE)</f>
        <v>#REF!</v>
      </c>
    </row>
    <row r="196" spans="3:17" ht="24" hidden="1" customHeight="1" x14ac:dyDescent="0.2">
      <c r="C196" s="215" t="s">
        <v>46</v>
      </c>
      <c r="D196" s="216" t="e">
        <f>VLOOKUP("irlanda",#REF!,6,FALSE)/VLOOKUP("irlanda",#REF!,6,FALSE)-1</f>
        <v>#REF!</v>
      </c>
      <c r="E196" s="217" t="e">
        <f>VLOOKUP("irlanda",#REF!,6,FALSE)</f>
        <v>#REF!</v>
      </c>
      <c r="F196" s="216" t="e">
        <f>VLOOKUP("irlanda",#REF!,5,FALSE)/VLOOKUP("irlanda",#REF!,5,FALSE)-1</f>
        <v>#REF!</v>
      </c>
      <c r="G196" s="217" t="e">
        <f>VLOOKUP("irlanda",#REF!,5,FALSE)</f>
        <v>#REF!</v>
      </c>
      <c r="H196" s="216" t="e">
        <f>VLOOKUP("irlanda",#REF!,4,FALSE)/VLOOKUP("irlanda",#REF!,4,FALSE)-1</f>
        <v>#REF!</v>
      </c>
      <c r="I196" s="217" t="e">
        <f>VLOOKUP("irlanda",#REF!,4,FALSE)</f>
        <v>#REF!</v>
      </c>
      <c r="J196" s="216" t="e">
        <f>VLOOKUP("irlanda",#REF!,3,FALSE)/VLOOKUP("irlanda",#REF!,3,FALSE)-1</f>
        <v>#REF!</v>
      </c>
      <c r="K196" s="217" t="e">
        <f>VLOOKUP("irlanda",#REF!,3,FALSE)</f>
        <v>#REF!</v>
      </c>
      <c r="L196" s="216" t="e">
        <f>VLOOKUP("irlanda",#REF!,2,FALSE)/VLOOKUP("irlanda",#REF!,2,FALSE)-1</f>
        <v>#REF!</v>
      </c>
      <c r="M196" s="217" t="e">
        <f>VLOOKUP("irlanda",#REF!,2,FALSE)</f>
        <v>#REF!</v>
      </c>
      <c r="N196" s="216" t="e">
        <f>VLOOKUP("irlanda",#REF!,7,FALSE)/VLOOKUP("irlanda",#REF!,7,FALSE)-1</f>
        <v>#REF!</v>
      </c>
      <c r="O196" s="217" t="e">
        <f>VLOOKUP("irlanda",#REF!,7,FALSE)</f>
        <v>#REF!</v>
      </c>
      <c r="P196" s="216" t="e">
        <f>VLOOKUP("irlanda",#REF!,8,FALSE)/VLOOKUP("irlanda",#REF!,8,FALSE)-1</f>
        <v>#REF!</v>
      </c>
      <c r="Q196" s="217" t="e">
        <f>VLOOKUP("irlanda",#REF!,8,FALSE)</f>
        <v>#REF!</v>
      </c>
    </row>
    <row r="197" spans="3:17" ht="24" hidden="1" customHeight="1" x14ac:dyDescent="0.2">
      <c r="C197" s="215" t="s">
        <v>47</v>
      </c>
      <c r="D197" s="216" t="e">
        <f>VLOOKUP("italia",#REF!,6,FALSE)/VLOOKUP("italia",#REF!,6,FALSE)-1</f>
        <v>#REF!</v>
      </c>
      <c r="E197" s="217" t="e">
        <f>VLOOKUP("italia",#REF!,6,FALSE)</f>
        <v>#REF!</v>
      </c>
      <c r="F197" s="216" t="e">
        <f>VLOOKUP("italia",#REF!,5,FALSE)/VLOOKUP("italia",#REF!,5,FALSE)-1</f>
        <v>#REF!</v>
      </c>
      <c r="G197" s="217" t="e">
        <f>VLOOKUP("italia",#REF!,5,FALSE)</f>
        <v>#REF!</v>
      </c>
      <c r="H197" s="216" t="e">
        <f>VLOOKUP("italia",#REF!,4,FALSE)/VLOOKUP("italia",#REF!,4,FALSE)-1</f>
        <v>#REF!</v>
      </c>
      <c r="I197" s="217" t="e">
        <f>VLOOKUP("italia",#REF!,4,FALSE)</f>
        <v>#REF!</v>
      </c>
      <c r="J197" s="216" t="e">
        <f>VLOOKUP("italia",#REF!,3,FALSE)/VLOOKUP("italia",#REF!,3,FALSE)-1</f>
        <v>#REF!</v>
      </c>
      <c r="K197" s="217" t="e">
        <f>VLOOKUP("italia",#REF!,3,FALSE)</f>
        <v>#REF!</v>
      </c>
      <c r="L197" s="216" t="e">
        <f>VLOOKUP("italia",#REF!,2,FALSE)/VLOOKUP("italia",#REF!,2,FALSE)-1</f>
        <v>#REF!</v>
      </c>
      <c r="M197" s="217" t="e">
        <f>VLOOKUP("italia",#REF!,2,FALSE)</f>
        <v>#REF!</v>
      </c>
      <c r="N197" s="216" t="e">
        <f>VLOOKUP("italia",#REF!,7,FALSE)/VLOOKUP("italia",#REF!,7,FALSE)-1</f>
        <v>#REF!</v>
      </c>
      <c r="O197" s="217" t="e">
        <f>VLOOKUP("italia",#REF!,7,FALSE)</f>
        <v>#REF!</v>
      </c>
      <c r="P197" s="216" t="e">
        <f>VLOOKUP("italia",#REF!,8,FALSE)/VLOOKUP("italia",#REF!,8,FALSE)-1</f>
        <v>#REF!</v>
      </c>
      <c r="Q197" s="217" t="e">
        <f>VLOOKUP("italia",#REF!,8,FALSE)</f>
        <v>#REF!</v>
      </c>
    </row>
    <row r="198" spans="3:17" ht="24" hidden="1" customHeight="1" x14ac:dyDescent="0.2">
      <c r="C198" s="215" t="s">
        <v>48</v>
      </c>
      <c r="D198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8" s="217" t="e">
        <f>(VLOOKUP("suecia",#REF!,6,FALSE)+VLOOKUP("noruega",#REF!,6,FALSE)+VLOOKUP("dinamarca",#REF!,6,FALSE)+VLOOKUP("finlandia",#REF!,6,FALSE))</f>
        <v>#REF!</v>
      </c>
      <c r="F198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8" s="217" t="e">
        <f>(VLOOKUP("suecia",#REF!,5,FALSE)+VLOOKUP("noruega",#REF!,5,FALSE)+VLOOKUP("dinamarca",#REF!,5,FALSE)+VLOOKUP("finlandia",#REF!,5,FALSE))</f>
        <v>#REF!</v>
      </c>
      <c r="H198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8" s="217" t="e">
        <f>(VLOOKUP("suecia",#REF!,4,FALSE)+VLOOKUP("noruega",#REF!,4,FALSE)+VLOOKUP("dinamarca",#REF!,4,FALSE)+VLOOKUP("finlandia",#REF!,4,FALSE))</f>
        <v>#REF!</v>
      </c>
      <c r="J198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8" s="217" t="e">
        <f>(VLOOKUP("suecia",#REF!,3,FALSE)+VLOOKUP("noruega",#REF!,3,FALSE)+VLOOKUP("dinamarca",#REF!,3,FALSE)+VLOOKUP("finlandia",#REF!,3,FALSE))</f>
        <v>#REF!</v>
      </c>
      <c r="L198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8" s="217" t="e">
        <f>(VLOOKUP("suecia",#REF!,2,FALSE)+VLOOKUP("noruega",#REF!,2,FALSE)+VLOOKUP("dinamarca",#REF!,2,FALSE)+VLOOKUP("finlandia",#REF!,2,FALSE))</f>
        <v>#REF!</v>
      </c>
      <c r="N198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8" s="217" t="e">
        <f>(VLOOKUP("suecia",#REF!,7,FALSE)+VLOOKUP("noruega",#REF!,7,FALSE)+VLOOKUP("dinamarca",#REF!,7,FALSE)+VLOOKUP("finlandia",#REF!,7,FALSE))</f>
        <v>#REF!</v>
      </c>
      <c r="P198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8" s="217" t="e">
        <f>(VLOOKUP("suecia",#REF!,8,FALSE)+VLOOKUP("noruega",#REF!,8,FALSE)+VLOOKUP("dinamarca",#REF!,8,FALSE)+VLOOKUP("finlandia",#REF!,8,FALSE))</f>
        <v>#REF!</v>
      </c>
    </row>
    <row r="199" spans="3:17" ht="24" hidden="1" customHeight="1" x14ac:dyDescent="0.2">
      <c r="C199" s="218" t="s">
        <v>49</v>
      </c>
      <c r="D199" s="216" t="e">
        <f>VLOOKUP("suecia",#REF!,6,FALSE)/VLOOKUP("suecia",#REF!,6,FALSE)-1</f>
        <v>#REF!</v>
      </c>
      <c r="E199" s="217" t="e">
        <f>VLOOKUP("suecia",#REF!,6,FALSE)</f>
        <v>#REF!</v>
      </c>
      <c r="F199" s="216" t="e">
        <f>VLOOKUP("suecia",#REF!,5,FALSE)/VLOOKUP("suecia",#REF!,5,FALSE)-1</f>
        <v>#REF!</v>
      </c>
      <c r="G199" s="217" t="e">
        <f>VLOOKUP("suecia",#REF!,5,FALSE)</f>
        <v>#REF!</v>
      </c>
      <c r="H199" s="216" t="e">
        <f>VLOOKUP("suecia",#REF!,4,FALSE)/VLOOKUP("suecia",#REF!,4,FALSE)-1</f>
        <v>#REF!</v>
      </c>
      <c r="I199" s="217" t="e">
        <f>VLOOKUP("suecia",#REF!,4,FALSE)</f>
        <v>#REF!</v>
      </c>
      <c r="J199" s="216" t="e">
        <f>VLOOKUP("suecia",#REF!,3,FALSE)/VLOOKUP("suecia",#REF!,3,FALSE)-1</f>
        <v>#REF!</v>
      </c>
      <c r="K199" s="217" t="e">
        <f>VLOOKUP("suecia",#REF!,3,FALSE)</f>
        <v>#REF!</v>
      </c>
      <c r="L199" s="216" t="e">
        <f>VLOOKUP("suecia",#REF!,2,FALSE)/VLOOKUP("suecia",#REF!,2,FALSE)-1</f>
        <v>#REF!</v>
      </c>
      <c r="M199" s="217" t="e">
        <f>VLOOKUP("suecia",#REF!,2,FALSE)</f>
        <v>#REF!</v>
      </c>
      <c r="N199" s="216" t="e">
        <f>VLOOKUP("suecia",#REF!,7,FALSE)/VLOOKUP("suecia",#REF!,7,FALSE)-1</f>
        <v>#REF!</v>
      </c>
      <c r="O199" s="217" t="e">
        <f>VLOOKUP("suecia",#REF!,7,FALSE)</f>
        <v>#REF!</v>
      </c>
      <c r="P199" s="216" t="e">
        <f>VLOOKUP("suecia",#REF!,8,FALSE)/VLOOKUP("suecia",#REF!,8,FALSE)-1</f>
        <v>#REF!</v>
      </c>
      <c r="Q199" s="217" t="e">
        <f>VLOOKUP("suecia",#REF!,8,FALSE)</f>
        <v>#REF!</v>
      </c>
    </row>
    <row r="200" spans="3:17" ht="24" hidden="1" customHeight="1" x14ac:dyDescent="0.2">
      <c r="C200" s="218" t="s">
        <v>50</v>
      </c>
      <c r="D200" s="216" t="e">
        <f>VLOOKUP("noruega",#REF!,6,FALSE)/VLOOKUP("noruega",#REF!,6,FALSE)-1</f>
        <v>#REF!</v>
      </c>
      <c r="E200" s="217" t="e">
        <f>VLOOKUP("noruega",#REF!,6,FALSE)</f>
        <v>#REF!</v>
      </c>
      <c r="F200" s="216" t="e">
        <f>VLOOKUP("noruega",#REF!,5,FALSE)/VLOOKUP("noruega",#REF!,5,FALSE)-1</f>
        <v>#REF!</v>
      </c>
      <c r="G200" s="217" t="e">
        <f>VLOOKUP("noruega",#REF!,5,FALSE)</f>
        <v>#REF!</v>
      </c>
      <c r="H200" s="216" t="e">
        <f>VLOOKUP("noruega",#REF!,4,FALSE)/VLOOKUP("noruega",#REF!,4,FALSE)-1</f>
        <v>#REF!</v>
      </c>
      <c r="I200" s="217" t="e">
        <f>VLOOKUP("noruega",#REF!,4,FALSE)</f>
        <v>#REF!</v>
      </c>
      <c r="J200" s="216" t="e">
        <f>VLOOKUP("noruega",#REF!,3,FALSE)/VLOOKUP("noruega",#REF!,3,FALSE)-1</f>
        <v>#REF!</v>
      </c>
      <c r="K200" s="217" t="e">
        <f>VLOOKUP("noruega",#REF!,3,FALSE)</f>
        <v>#REF!</v>
      </c>
      <c r="L200" s="216" t="e">
        <f>VLOOKUP("noruega",#REF!,2,FALSE)/VLOOKUP("noruega",#REF!,2,FALSE)-1</f>
        <v>#REF!</v>
      </c>
      <c r="M200" s="217" t="e">
        <f>VLOOKUP("noruega",#REF!,2,FALSE)</f>
        <v>#REF!</v>
      </c>
      <c r="N200" s="216" t="e">
        <f>VLOOKUP("noruega",#REF!,7,FALSE)/VLOOKUP("noruega",#REF!,7,FALSE)-1</f>
        <v>#REF!</v>
      </c>
      <c r="O200" s="217" t="e">
        <f>VLOOKUP("noruega",#REF!,7,FALSE)</f>
        <v>#REF!</v>
      </c>
      <c r="P200" s="216" t="e">
        <f>VLOOKUP("noruega",#REF!,8,FALSE)/VLOOKUP("noruega",#REF!,8,FALSE)-1</f>
        <v>#REF!</v>
      </c>
      <c r="Q200" s="217" t="e">
        <f>VLOOKUP("noruega",#REF!,8,FALSE)</f>
        <v>#REF!</v>
      </c>
    </row>
    <row r="201" spans="3:17" ht="24" hidden="1" customHeight="1" x14ac:dyDescent="0.2">
      <c r="C201" s="218" t="s">
        <v>51</v>
      </c>
      <c r="D201" s="216" t="e">
        <f>VLOOKUP("dinamarca",#REF!,6,FALSE)/VLOOKUP("dinamarca",#REF!,6,FALSE)-1</f>
        <v>#REF!</v>
      </c>
      <c r="E201" s="217" t="e">
        <f>VLOOKUP("dinamarca",#REF!,6,FALSE)</f>
        <v>#REF!</v>
      </c>
      <c r="F201" s="216" t="e">
        <f>VLOOKUP("dinamarca",#REF!,5,FALSE)/VLOOKUP("dinamarca",#REF!,5,FALSE)-1</f>
        <v>#REF!</v>
      </c>
      <c r="G201" s="217" t="e">
        <f>VLOOKUP("dinamarca",#REF!,5,FALSE)</f>
        <v>#REF!</v>
      </c>
      <c r="H201" s="216" t="e">
        <f>VLOOKUP("dinamarca",#REF!,4,FALSE)/VLOOKUP("dinamarca",#REF!,4,FALSE)-1</f>
        <v>#REF!</v>
      </c>
      <c r="I201" s="217" t="e">
        <f>VLOOKUP("dinamarca",#REF!,4,FALSE)</f>
        <v>#REF!</v>
      </c>
      <c r="J201" s="216" t="e">
        <f>VLOOKUP("dinamarca",#REF!,3,FALSE)/VLOOKUP("dinamarca",#REF!,3,FALSE)-1</f>
        <v>#REF!</v>
      </c>
      <c r="K201" s="217" t="e">
        <f>VLOOKUP("dinamarca",#REF!,3,FALSE)</f>
        <v>#REF!</v>
      </c>
      <c r="L201" s="216" t="e">
        <f>VLOOKUP("dinamarca",#REF!,2,FALSE)/VLOOKUP("dinamarca",#REF!,2,FALSE)-1</f>
        <v>#REF!</v>
      </c>
      <c r="M201" s="217" t="e">
        <f>VLOOKUP("dinamarca",#REF!,2,FALSE)</f>
        <v>#REF!</v>
      </c>
      <c r="N201" s="216" t="e">
        <f>VLOOKUP("dinamarca",#REF!,7,FALSE)/VLOOKUP("dinamarca",#REF!,7,FALSE)-1</f>
        <v>#REF!</v>
      </c>
      <c r="O201" s="217" t="e">
        <f>VLOOKUP("dinamarca",#REF!,7,FALSE)</f>
        <v>#REF!</v>
      </c>
      <c r="P201" s="216" t="e">
        <f>VLOOKUP("dinamarca",#REF!,8,FALSE)/VLOOKUP("dinamarca",#REF!,8,FALSE)-1</f>
        <v>#REF!</v>
      </c>
      <c r="Q201" s="217" t="e">
        <f>VLOOKUP("dinamarca",#REF!,8,FALSE)</f>
        <v>#REF!</v>
      </c>
    </row>
    <row r="202" spans="3:17" ht="24" hidden="1" customHeight="1" x14ac:dyDescent="0.2">
      <c r="C202" s="218" t="s">
        <v>52</v>
      </c>
      <c r="D202" s="216" t="s">
        <v>38</v>
      </c>
      <c r="E202" s="217" t="e">
        <f>VLOOKUP("finlandia",#REF!,6,FALSE)</f>
        <v>#REF!</v>
      </c>
      <c r="F202" s="216" t="e">
        <f>VLOOKUP("finlandia",#REF!,5,FALSE)/VLOOKUP("finlandia",#REF!,5,FALSE)-1</f>
        <v>#REF!</v>
      </c>
      <c r="G202" s="217" t="e">
        <f>VLOOKUP("finlandia",#REF!,5,FALSE)</f>
        <v>#REF!</v>
      </c>
      <c r="H202" s="216" t="e">
        <f>VLOOKUP("finlandia",#REF!,4,FALSE)/VLOOKUP("finlandia",#REF!,4,FALSE)-1</f>
        <v>#REF!</v>
      </c>
      <c r="I202" s="217" t="e">
        <f>VLOOKUP("finlandia",#REF!,4,FALSE)</f>
        <v>#REF!</v>
      </c>
      <c r="J202" s="216" t="e">
        <f>VLOOKUP("finlandia",#REF!,3,FALSE)/VLOOKUP("finlandia",#REF!,3,FALSE)-1</f>
        <v>#REF!</v>
      </c>
      <c r="K202" s="217" t="e">
        <f>VLOOKUP("finlandia",#REF!,3,FALSE)</f>
        <v>#REF!</v>
      </c>
      <c r="L202" s="216" t="s">
        <v>38</v>
      </c>
      <c r="M202" s="217" t="e">
        <f>VLOOKUP("finlandia",#REF!,2,FALSE)</f>
        <v>#REF!</v>
      </c>
      <c r="N202" s="216" t="e">
        <f>VLOOKUP("finlandia",#REF!,7,FALSE)/VLOOKUP("finlandia",#REF!,7,FALSE)-1</f>
        <v>#REF!</v>
      </c>
      <c r="O202" s="217" t="e">
        <f>VLOOKUP("finlandia",#REF!,7,FALSE)</f>
        <v>#REF!</v>
      </c>
      <c r="P202" s="216" t="e">
        <f>VLOOKUP("finlandia",#REF!,8,FALSE)/VLOOKUP("finlandia",#REF!,8,FALSE)-1</f>
        <v>#REF!</v>
      </c>
      <c r="Q202" s="217" t="e">
        <f>VLOOKUP("finlandia",#REF!,8,FALSE)</f>
        <v>#REF!</v>
      </c>
    </row>
    <row r="203" spans="3:17" ht="24" hidden="1" customHeight="1" x14ac:dyDescent="0.2">
      <c r="C203" s="215" t="s">
        <v>53</v>
      </c>
      <c r="D203" s="216" t="e">
        <f>VLOOKUP("suiza",#REF!,6,FALSE)/VLOOKUP("suiza",#REF!,6,FALSE)-1</f>
        <v>#REF!</v>
      </c>
      <c r="E203" s="217" t="e">
        <f>VLOOKUP("suiza",#REF!,6,FALSE)</f>
        <v>#REF!</v>
      </c>
      <c r="F203" s="216" t="e">
        <f>VLOOKUP("suiza",#REF!,5,FALSE)/VLOOKUP("suiza",#REF!,5,FALSE)-1</f>
        <v>#REF!</v>
      </c>
      <c r="G203" s="217" t="e">
        <f>VLOOKUP("suiza",#REF!,5,FALSE)</f>
        <v>#REF!</v>
      </c>
      <c r="H203" s="216" t="e">
        <f>VLOOKUP("suiza",#REF!,4,FALSE)/VLOOKUP("suiza",#REF!,4,FALSE)-1</f>
        <v>#REF!</v>
      </c>
      <c r="I203" s="217" t="e">
        <f>VLOOKUP("suiza",#REF!,4,FALSE)</f>
        <v>#REF!</v>
      </c>
      <c r="J203" s="216" t="e">
        <f>VLOOKUP("suiza",#REF!,3,FALSE)/VLOOKUP("suiza",#REF!,3,FALSE)-1</f>
        <v>#REF!</v>
      </c>
      <c r="K203" s="217" t="e">
        <f>VLOOKUP("suiza",#REF!,3,FALSE)</f>
        <v>#REF!</v>
      </c>
      <c r="L203" s="216" t="e">
        <f>VLOOKUP("suiza",#REF!,2,FALSE)/VLOOKUP("suiza",#REF!,2,FALSE)-1</f>
        <v>#REF!</v>
      </c>
      <c r="M203" s="217" t="e">
        <f>VLOOKUP("suiza",#REF!,2,FALSE)</f>
        <v>#REF!</v>
      </c>
      <c r="N203" s="216" t="e">
        <f>VLOOKUP("suiza",#REF!,7,FALSE)/VLOOKUP("suiza",#REF!,7,FALSE)-1</f>
        <v>#REF!</v>
      </c>
      <c r="O203" s="217" t="e">
        <f>VLOOKUP("suiza",#REF!,7,FALSE)</f>
        <v>#REF!</v>
      </c>
      <c r="P203" s="216" t="e">
        <f>VLOOKUP("suiza",#REF!,8,FALSE)/VLOOKUP("suiza",#REF!,8,FALSE)-1</f>
        <v>#REF!</v>
      </c>
      <c r="Q203" s="217" t="e">
        <f>VLOOKUP("suiza",#REF!,8,FALSE)</f>
        <v>#REF!</v>
      </c>
    </row>
    <row r="204" spans="3:17" ht="24" hidden="1" customHeight="1" x14ac:dyDescent="0.2">
      <c r="C204" s="215" t="s">
        <v>54</v>
      </c>
      <c r="D204" s="216" t="e">
        <f>VLOOKUP("austria",#REF!,6,FALSE)/VLOOKUP("austria",#REF!,6,FALSE)-1</f>
        <v>#REF!</v>
      </c>
      <c r="E204" s="217" t="e">
        <f>VLOOKUP("austria",#REF!,6,FALSE)</f>
        <v>#REF!</v>
      </c>
      <c r="F204" s="216" t="e">
        <f>VLOOKUP("austria",#REF!,5,FALSE)/VLOOKUP("austria",#REF!,5,FALSE)-1</f>
        <v>#REF!</v>
      </c>
      <c r="G204" s="217" t="e">
        <f>VLOOKUP("austria",#REF!,5,FALSE)</f>
        <v>#REF!</v>
      </c>
      <c r="H204" s="216" t="e">
        <f>VLOOKUP("austria",#REF!,4,FALSE)/VLOOKUP("austria",#REF!,4,FALSE)-1</f>
        <v>#REF!</v>
      </c>
      <c r="I204" s="217" t="e">
        <f>VLOOKUP("austria",#REF!,4,FALSE)</f>
        <v>#REF!</v>
      </c>
      <c r="J204" s="216" t="e">
        <f>VLOOKUP("austria",#REF!,3,FALSE)/VLOOKUP("austria",#REF!,3,FALSE)-1</f>
        <v>#REF!</v>
      </c>
      <c r="K204" s="217" t="e">
        <f>VLOOKUP("austria",#REF!,3,FALSE)</f>
        <v>#REF!</v>
      </c>
      <c r="L204" s="216" t="e">
        <f>VLOOKUP("austria",#REF!,2,FALSE)/VLOOKUP("austria",#REF!,2,FALSE)-1</f>
        <v>#REF!</v>
      </c>
      <c r="M204" s="217" t="e">
        <f>VLOOKUP("austria",#REF!,2,FALSE)</f>
        <v>#REF!</v>
      </c>
      <c r="N204" s="216" t="e">
        <f>VLOOKUP("austria",#REF!,7,FALSE)/VLOOKUP("austria",#REF!,7,FALSE)-1</f>
        <v>#REF!</v>
      </c>
      <c r="O204" s="217" t="e">
        <f>VLOOKUP("austria",#REF!,7,FALSE)</f>
        <v>#REF!</v>
      </c>
      <c r="P204" s="216" t="e">
        <f>VLOOKUP("austria",#REF!,8,FALSE)/VLOOKUP("austria",#REF!,8,FALSE)-1</f>
        <v>#REF!</v>
      </c>
      <c r="Q204" s="217" t="e">
        <f>VLOOKUP("austria",#REF!,8,FALSE)</f>
        <v>#REF!</v>
      </c>
    </row>
    <row r="205" spans="3:17" ht="24" hidden="1" customHeight="1" x14ac:dyDescent="0.2">
      <c r="C205" s="215" t="s">
        <v>55</v>
      </c>
      <c r="D205" s="216" t="e">
        <f>VLOOKUP("rusia",#REF!,6,FALSE)/VLOOKUP("rusia",#REF!,6,FALSE)-1</f>
        <v>#REF!</v>
      </c>
      <c r="E205" s="217" t="e">
        <f>VLOOKUP("rusia",#REF!,6,FALSE)</f>
        <v>#REF!</v>
      </c>
      <c r="F205" s="216" t="e">
        <f>VLOOKUP("rusia",#REF!,5,FALSE)/VLOOKUP("rusia",#REF!,5,FALSE)-1</f>
        <v>#REF!</v>
      </c>
      <c r="G205" s="217" t="e">
        <f>VLOOKUP("rusia",#REF!,5,FALSE)</f>
        <v>#REF!</v>
      </c>
      <c r="H205" s="216" t="e">
        <f>VLOOKUP("rusia",#REF!,4,FALSE)/VLOOKUP("rusia",#REF!,4,FALSE)-1</f>
        <v>#REF!</v>
      </c>
      <c r="I205" s="217" t="e">
        <f>VLOOKUP("rusia",#REF!,4,FALSE)</f>
        <v>#REF!</v>
      </c>
      <c r="J205" s="216" t="e">
        <f>VLOOKUP("rusia",#REF!,3,FALSE)/VLOOKUP("rusia",#REF!,3,FALSE)-1</f>
        <v>#REF!</v>
      </c>
      <c r="K205" s="217" t="e">
        <f>VLOOKUP("rusia",#REF!,3,FALSE)</f>
        <v>#REF!</v>
      </c>
      <c r="L205" s="216" t="e">
        <f>VLOOKUP("rusia",#REF!,2,FALSE)/VLOOKUP("rusia",#REF!,2,FALSE)-1</f>
        <v>#REF!</v>
      </c>
      <c r="M205" s="217" t="e">
        <f>VLOOKUP("rusia",#REF!,2,FALSE)</f>
        <v>#REF!</v>
      </c>
      <c r="N205" s="216" t="e">
        <f>VLOOKUP("rusia",#REF!,7,FALSE)/VLOOKUP("rusia",#REF!,7,FALSE)-1</f>
        <v>#REF!</v>
      </c>
      <c r="O205" s="217" t="e">
        <f>VLOOKUP("rusia",#REF!,7,FALSE)</f>
        <v>#REF!</v>
      </c>
      <c r="P205" s="216" t="e">
        <f>VLOOKUP("rusia",#REF!,8,FALSE)/VLOOKUP("rusia",#REF!,8,FALSE)-1</f>
        <v>#REF!</v>
      </c>
      <c r="Q205" s="217" t="e">
        <f>VLOOKUP("rusia",#REF!,8,FALSE)</f>
        <v>#REF!</v>
      </c>
    </row>
    <row r="206" spans="3:17" ht="24" hidden="1" customHeight="1" x14ac:dyDescent="0.2">
      <c r="C206" s="215" t="s">
        <v>56</v>
      </c>
      <c r="D206" s="216" t="e">
        <f>VLOOKUP("paises del este",#REF!,6,FALSE)/VLOOKUP("paises del este",#REF!,6,FALSE)-1</f>
        <v>#REF!</v>
      </c>
      <c r="E206" s="217" t="e">
        <f>VLOOKUP("paises del este",#REF!,6,FALSE)</f>
        <v>#REF!</v>
      </c>
      <c r="F206" s="216" t="e">
        <f>VLOOKUP("paises del este",#REF!,5,FALSE)/VLOOKUP("paises del este",#REF!,5,FALSE)-1</f>
        <v>#REF!</v>
      </c>
      <c r="G206" s="217" t="e">
        <f>VLOOKUP("paises del este",#REF!,5,FALSE)</f>
        <v>#REF!</v>
      </c>
      <c r="H206" s="216" t="e">
        <f>VLOOKUP("paises del este",#REF!,4,FALSE)/VLOOKUP("paises del este",#REF!,4,FALSE)-1</f>
        <v>#REF!</v>
      </c>
      <c r="I206" s="217" t="e">
        <f>VLOOKUP("paises del este",#REF!,4,FALSE)</f>
        <v>#REF!</v>
      </c>
      <c r="J206" s="216" t="e">
        <f>VLOOKUP("paises del este",#REF!,3,FALSE)/VLOOKUP("paises del este",#REF!,3,FALSE)-1</f>
        <v>#REF!</v>
      </c>
      <c r="K206" s="217" t="e">
        <f>VLOOKUP("paises del este",#REF!,3,FALSE)</f>
        <v>#REF!</v>
      </c>
      <c r="L206" s="216" t="e">
        <f>VLOOKUP("paises del este",#REF!,2,FALSE)/VLOOKUP("paises del este",#REF!,2,FALSE)-1</f>
        <v>#REF!</v>
      </c>
      <c r="M206" s="217" t="e">
        <f>VLOOKUP("paises del este",#REF!,2,FALSE)</f>
        <v>#REF!</v>
      </c>
      <c r="N206" s="216" t="e">
        <f>VLOOKUP("paises del este",#REF!,7,FALSE)/VLOOKUP("paises del este",#REF!,7,FALSE)-1</f>
        <v>#REF!</v>
      </c>
      <c r="O206" s="217" t="e">
        <f>VLOOKUP("paises del este",#REF!,7,FALSE)</f>
        <v>#REF!</v>
      </c>
      <c r="P206" s="216" t="e">
        <f>VLOOKUP("paises del este",#REF!,8,FALSE)/VLOOKUP("paises del este",#REF!,8,FALSE)-1</f>
        <v>#REF!</v>
      </c>
      <c r="Q206" s="217" t="e">
        <f>VLOOKUP("paises del este",#REF!,8,FALSE)</f>
        <v>#REF!</v>
      </c>
    </row>
    <row r="207" spans="3:17" ht="24" hidden="1" customHeight="1" x14ac:dyDescent="0.2">
      <c r="C207" s="215" t="s">
        <v>57</v>
      </c>
      <c r="D207" s="216" t="e">
        <f>VLOOKUP("resto de europa",#REF!,6,FALSE)/VLOOKUP("resto de europa",#REF!,6,FALSE)-1</f>
        <v>#REF!</v>
      </c>
      <c r="E207" s="217" t="e">
        <f>VLOOKUP("resto de europa",#REF!,6,FALSE)</f>
        <v>#REF!</v>
      </c>
      <c r="F207" s="216" t="e">
        <f>VLOOKUP("resto de europa",#REF!,5,FALSE)/VLOOKUP("resto de europa",#REF!,5,FALSE)-1</f>
        <v>#REF!</v>
      </c>
      <c r="G207" s="217" t="e">
        <f>VLOOKUP("resto de europa",#REF!,5,FALSE)</f>
        <v>#REF!</v>
      </c>
      <c r="H207" s="216" t="e">
        <f>VLOOKUP("resto de europa",#REF!,4,FALSE)/VLOOKUP("resto de europa",#REF!,4,FALSE)-1</f>
        <v>#REF!</v>
      </c>
      <c r="I207" s="217" t="e">
        <f>VLOOKUP("resto de europa",#REF!,4,FALSE)</f>
        <v>#REF!</v>
      </c>
      <c r="J207" s="216" t="e">
        <f>VLOOKUP("resto de europa",#REF!,3,FALSE)/VLOOKUP("resto de europa",#REF!,3,FALSE)-1</f>
        <v>#REF!</v>
      </c>
      <c r="K207" s="217" t="e">
        <f>VLOOKUP("resto de europa",#REF!,3,FALSE)</f>
        <v>#REF!</v>
      </c>
      <c r="L207" s="216" t="e">
        <f>VLOOKUP("resto de europa",#REF!,2,FALSE)/VLOOKUP("resto de europa",#REF!,2,FALSE)-1</f>
        <v>#REF!</v>
      </c>
      <c r="M207" s="217" t="e">
        <f>VLOOKUP("resto de europa",#REF!,2,FALSE)</f>
        <v>#REF!</v>
      </c>
      <c r="N207" s="216" t="e">
        <f>VLOOKUP("resto de europa",#REF!,7,FALSE)/VLOOKUP("resto de europa",#REF!,7,FALSE)-1</f>
        <v>#REF!</v>
      </c>
      <c r="O207" s="217" t="e">
        <f>VLOOKUP("resto de europa",#REF!,7,FALSE)</f>
        <v>#REF!</v>
      </c>
      <c r="P207" s="216" t="e">
        <f>VLOOKUP("resto de europa",#REF!,8,FALSE)/VLOOKUP("resto de europa",#REF!,8,FALSE)-1</f>
        <v>#REF!</v>
      </c>
      <c r="Q207" s="217" t="e">
        <f>VLOOKUP("resto de europa",#REF!,8,FALSE)</f>
        <v>#REF!</v>
      </c>
    </row>
    <row r="208" spans="3:17" ht="24" hidden="1" customHeight="1" x14ac:dyDescent="0.2">
      <c r="C208" s="215" t="s">
        <v>58</v>
      </c>
      <c r="D208" s="216" t="e">
        <f>VLOOKUP("usa",#REF!,6,FALSE)/VLOOKUP("usa",#REF!,6,FALSE)-1</f>
        <v>#REF!</v>
      </c>
      <c r="E208" s="217" t="e">
        <f>VLOOKUP("usa",#REF!,6,FALSE)</f>
        <v>#REF!</v>
      </c>
      <c r="F208" s="216" t="e">
        <f>VLOOKUP("usa",#REF!,5,FALSE)/VLOOKUP("usa",#REF!,5,FALSE)-1</f>
        <v>#REF!</v>
      </c>
      <c r="G208" s="217" t="e">
        <f>VLOOKUP("usa",#REF!,5,FALSE)</f>
        <v>#REF!</v>
      </c>
      <c r="H208" s="216" t="e">
        <f>VLOOKUP("usa",#REF!,4,FALSE)/VLOOKUP("usa",#REF!,4,FALSE)-1</f>
        <v>#REF!</v>
      </c>
      <c r="I208" s="217" t="e">
        <f>VLOOKUP("usa",#REF!,4,FALSE)</f>
        <v>#REF!</v>
      </c>
      <c r="J208" s="216" t="e">
        <f>VLOOKUP("usa",#REF!,3,FALSE)/VLOOKUP("usa",#REF!,3,FALSE)-1</f>
        <v>#REF!</v>
      </c>
      <c r="K208" s="217" t="e">
        <f>VLOOKUP("usa",#REF!,3,FALSE)</f>
        <v>#REF!</v>
      </c>
      <c r="L208" s="216" t="e">
        <f>VLOOKUP("usa",#REF!,2,FALSE)/VLOOKUP("usa",#REF!,2,FALSE)-1</f>
        <v>#REF!</v>
      </c>
      <c r="M208" s="217" t="e">
        <f>VLOOKUP("usa",#REF!,2,FALSE)</f>
        <v>#REF!</v>
      </c>
      <c r="N208" s="216" t="e">
        <f>VLOOKUP("usa",#REF!,7,FALSE)/VLOOKUP("usa",#REF!,7,FALSE)-1</f>
        <v>#REF!</v>
      </c>
      <c r="O208" s="217" t="e">
        <f>VLOOKUP("usa",#REF!,7,FALSE)</f>
        <v>#REF!</v>
      </c>
      <c r="P208" s="216" t="e">
        <f>VLOOKUP("usa",#REF!,8,FALSE)/VLOOKUP("usa",#REF!,8,FALSE)-1</f>
        <v>#REF!</v>
      </c>
      <c r="Q208" s="217" t="e">
        <f>VLOOKUP("usa",#REF!,8,FALSE)</f>
        <v>#REF!</v>
      </c>
    </row>
    <row r="209" spans="3:18" ht="24" hidden="1" customHeight="1" x14ac:dyDescent="0.2">
      <c r="C209" s="215" t="s">
        <v>59</v>
      </c>
      <c r="D209" s="216" t="e">
        <f>VLOOKUP("resto de america",#REF!,6,FALSE)/VLOOKUP("resto de america",#REF!,6,FALSE)-1</f>
        <v>#REF!</v>
      </c>
      <c r="E209" s="217" t="e">
        <f>VLOOKUP("resto de america",#REF!,6,FALSE)</f>
        <v>#REF!</v>
      </c>
      <c r="F209" s="216" t="e">
        <f>VLOOKUP("resto de america",#REF!,5,FALSE)/VLOOKUP("resto de america",#REF!,5,FALSE)-1</f>
        <v>#REF!</v>
      </c>
      <c r="G209" s="217" t="e">
        <f>VLOOKUP("resto de america",#REF!,5,FALSE)</f>
        <v>#REF!</v>
      </c>
      <c r="H209" s="216" t="e">
        <f>VLOOKUP("resto de america",#REF!,4,FALSE)/VLOOKUP("resto de america",#REF!,4,FALSE)-1</f>
        <v>#REF!</v>
      </c>
      <c r="I209" s="217" t="e">
        <f>VLOOKUP("resto de america",#REF!,4,FALSE)</f>
        <v>#REF!</v>
      </c>
      <c r="J209" s="216" t="e">
        <f>VLOOKUP("resto de america",#REF!,3,FALSE)/VLOOKUP("resto de america",#REF!,3,FALSE)-1</f>
        <v>#REF!</v>
      </c>
      <c r="K209" s="217" t="e">
        <f>VLOOKUP("resto de america",#REF!,3,FALSE)</f>
        <v>#REF!</v>
      </c>
      <c r="L209" s="216" t="e">
        <f>VLOOKUP("resto de america",#REF!,2,FALSE)/VLOOKUP("resto de america",#REF!,2,FALSE)-1</f>
        <v>#REF!</v>
      </c>
      <c r="M209" s="217" t="e">
        <f>VLOOKUP("resto de america",#REF!,2,FALSE)</f>
        <v>#REF!</v>
      </c>
      <c r="N209" s="216" t="e">
        <f>VLOOKUP("resto de america",#REF!,7,FALSE)/VLOOKUP("resto de america",#REF!,7,FALSE)-1</f>
        <v>#REF!</v>
      </c>
      <c r="O209" s="217" t="e">
        <f>VLOOKUP("resto de america",#REF!,7,FALSE)</f>
        <v>#REF!</v>
      </c>
      <c r="P209" s="216" t="e">
        <f>VLOOKUP("resto de america",#REF!,8,FALSE)/VLOOKUP("resto de america",#REF!,8,FALSE)-1</f>
        <v>#REF!</v>
      </c>
      <c r="Q209" s="217" t="e">
        <f>VLOOKUP("resto de america",#REF!,8,FALSE)</f>
        <v>#REF!</v>
      </c>
    </row>
    <row r="210" spans="3:18" ht="24" hidden="1" customHeight="1" x14ac:dyDescent="0.2">
      <c r="C210" s="215" t="s">
        <v>60</v>
      </c>
      <c r="D210" s="216" t="e">
        <f>VLOOKUP("resto del mundo",#REF!,6,FALSE)/VLOOKUP("resto del mundo",#REF!,6,FALSE)-1</f>
        <v>#REF!</v>
      </c>
      <c r="E210" s="217" t="e">
        <f>VLOOKUP("resto del mundo",#REF!,6,FALSE)</f>
        <v>#REF!</v>
      </c>
      <c r="F210" s="216" t="e">
        <f>VLOOKUP("resto del mundo",#REF!,5,FALSE)/VLOOKUP("resto del mundo",#REF!,5,FALSE)-1</f>
        <v>#REF!</v>
      </c>
      <c r="G210" s="217" t="e">
        <f>VLOOKUP("resto del mundo",#REF!,5,FALSE)</f>
        <v>#REF!</v>
      </c>
      <c r="H210" s="216" t="e">
        <f>VLOOKUP("resto del mundo",#REF!,4,FALSE)/VLOOKUP("resto del mundo",#REF!,4,FALSE)-1</f>
        <v>#REF!</v>
      </c>
      <c r="I210" s="217" t="e">
        <f>VLOOKUP("resto del mundo",#REF!,4,FALSE)</f>
        <v>#REF!</v>
      </c>
      <c r="J210" s="216" t="e">
        <f>VLOOKUP("resto del mundo",#REF!,3,FALSE)/VLOOKUP("resto del mundo",#REF!,3,FALSE)-1</f>
        <v>#REF!</v>
      </c>
      <c r="K210" s="217" t="e">
        <f>VLOOKUP("resto del mundo",#REF!,3,FALSE)</f>
        <v>#REF!</v>
      </c>
      <c r="L210" s="216" t="e">
        <f>VLOOKUP("resto del mundo",#REF!,2,FALSE)/VLOOKUP("resto del mundo",#REF!,2,FALSE)-1</f>
        <v>#REF!</v>
      </c>
      <c r="M210" s="217" t="e">
        <f>VLOOKUP("resto del mundo",#REF!,2,FALSE)</f>
        <v>#REF!</v>
      </c>
      <c r="N210" s="216" t="e">
        <f>VLOOKUP("resto del mundo",#REF!,7,FALSE)/VLOOKUP("resto del mundo",#REF!,7,FALSE)-1</f>
        <v>#REF!</v>
      </c>
      <c r="O210" s="217" t="e">
        <f>VLOOKUP("resto del mundo",#REF!,7,FALSE)</f>
        <v>#REF!</v>
      </c>
      <c r="P210" s="216" t="e">
        <f>VLOOKUP("resto del mundo",#REF!,8,FALSE)/VLOOKUP("resto del mundo",#REF!,8,FALSE)-1</f>
        <v>#REF!</v>
      </c>
      <c r="Q210" s="217" t="e">
        <f>VLOOKUP("resto del mundo",#REF!,8,FALSE)</f>
        <v>#REF!</v>
      </c>
    </row>
    <row r="211" spans="3:18" ht="24" hidden="1" customHeight="1" x14ac:dyDescent="0.2">
      <c r="C211" s="215" t="s">
        <v>61</v>
      </c>
      <c r="D211" s="216" t="e">
        <f>(VLOOKUP("total",#REF!,6,FALSE)-VLOOKUP("españa",#REF!,6,FALSE))/(VLOOKUP("total",#REF!,6,FALSE)-VLOOKUP("españa",#REF!,6,FALSE))-1</f>
        <v>#REF!</v>
      </c>
      <c r="E211" s="217" t="e">
        <f>VLOOKUP("total",#REF!,6,FALSE)-VLOOKUP("españa",#REF!,6,FALSE)</f>
        <v>#REF!</v>
      </c>
      <c r="F211" s="216" t="e">
        <f>(VLOOKUP("total",#REF!,5,FALSE)-VLOOKUP("españa",#REF!,5,FALSE))/(VLOOKUP("total",#REF!,5,FALSE)-VLOOKUP("españa",#REF!,5,FALSE))-1</f>
        <v>#REF!</v>
      </c>
      <c r="G211" s="217" t="e">
        <f>VLOOKUP("total",#REF!,5,FALSE)-VLOOKUP("españa",#REF!,5,FALSE)</f>
        <v>#REF!</v>
      </c>
      <c r="H211" s="216" t="e">
        <f>(VLOOKUP("total",#REF!,4,FALSE)-VLOOKUP("españa",#REF!,4,FALSE))/(VLOOKUP("total",#REF!,4,FALSE)-VLOOKUP("españa",#REF!,4,FALSE))-1</f>
        <v>#REF!</v>
      </c>
      <c r="I211" s="217" t="e">
        <f>VLOOKUP("total",#REF!,4,FALSE)-VLOOKUP("españa",#REF!,4,FALSE)</f>
        <v>#REF!</v>
      </c>
      <c r="J211" s="216" t="e">
        <f>(VLOOKUP("total",#REF!,3,FALSE)-VLOOKUP("españa",#REF!,3,FALSE))/(VLOOKUP("total",#REF!,3,FALSE)-VLOOKUP("españa",#REF!,3,FALSE))-1</f>
        <v>#REF!</v>
      </c>
      <c r="K211" s="217" t="e">
        <f>VLOOKUP("total",#REF!,3,FALSE)-VLOOKUP("españa",#REF!,3,FALSE)</f>
        <v>#REF!</v>
      </c>
      <c r="L211" s="216" t="e">
        <f>(VLOOKUP("total",#REF!,2,FALSE)-VLOOKUP("españa",#REF!,2,FALSE))/(VLOOKUP("total",#REF!,2,FALSE)-VLOOKUP("españa",#REF!,2,FALSE))-1</f>
        <v>#REF!</v>
      </c>
      <c r="M211" s="217" t="e">
        <f>VLOOKUP("total",#REF!,2,FALSE)-VLOOKUP("españa",#REF!,2,FALSE)</f>
        <v>#REF!</v>
      </c>
      <c r="N211" s="216" t="e">
        <f>(VLOOKUP("total",#REF!,7,FALSE)-VLOOKUP("españa",#REF!,7,FALSE))/(VLOOKUP("total",#REF!,7,FALSE)-VLOOKUP("españa",#REF!,7,FALSE))-1</f>
        <v>#REF!</v>
      </c>
      <c r="O211" s="217" t="e">
        <f>VLOOKUP("total",#REF!,7,FALSE)-VLOOKUP("españa",#REF!,7,FALSE)</f>
        <v>#REF!</v>
      </c>
      <c r="P211" s="216" t="e">
        <f>(VLOOKUP("total",#REF!,8,FALSE)-VLOOKUP("españa",#REF!,8,FALSE))/(VLOOKUP("total",#REF!,8,FALSE)-VLOOKUP("españa",#REF!,8,FALSE))-1</f>
        <v>#REF!</v>
      </c>
      <c r="Q211" s="217" t="e">
        <f>VLOOKUP("total",#REF!,8,FALSE)-VLOOKUP("españa",#REF!,8,FALSE)</f>
        <v>#REF!</v>
      </c>
    </row>
    <row r="212" spans="3:18" ht="24" hidden="1" customHeight="1" x14ac:dyDescent="0.2">
      <c r="C212" s="215" t="s">
        <v>8</v>
      </c>
      <c r="D212" s="216" t="e">
        <f>VLOOKUP("total",#REF!,6,FALSE)/VLOOKUP("total",#REF!,6,FALSE)-1</f>
        <v>#REF!</v>
      </c>
      <c r="E212" s="217" t="e">
        <f>VLOOKUP("total",#REF!,6,FALSE)</f>
        <v>#REF!</v>
      </c>
      <c r="F212" s="216" t="e">
        <f>VLOOKUP("total",#REF!,5,FALSE)/VLOOKUP("total",#REF!,5,FALSE)-1</f>
        <v>#REF!</v>
      </c>
      <c r="G212" s="217" t="e">
        <f>VLOOKUP("total",#REF!,5,FALSE)</f>
        <v>#REF!</v>
      </c>
      <c r="H212" s="216" t="e">
        <f>VLOOKUP("total",#REF!,4,FALSE)/VLOOKUP("total",#REF!,4,FALSE)-1</f>
        <v>#REF!</v>
      </c>
      <c r="I212" s="217" t="e">
        <f>VLOOKUP("total",#REF!,4,FALSE)</f>
        <v>#REF!</v>
      </c>
      <c r="J212" s="216" t="e">
        <f>VLOOKUP("total",#REF!,3,FALSE)/VLOOKUP("total",#REF!,3,FALSE)-1</f>
        <v>#REF!</v>
      </c>
      <c r="K212" s="217" t="e">
        <f>VLOOKUP("total",#REF!,3,FALSE)</f>
        <v>#REF!</v>
      </c>
      <c r="L212" s="216" t="e">
        <f>VLOOKUP("total",#REF!,2,FALSE)/VLOOKUP("total",#REF!,2,FALSE)-1</f>
        <v>#REF!</v>
      </c>
      <c r="M212" s="217" t="e">
        <f>VLOOKUP("total",#REF!,2,FALSE)</f>
        <v>#REF!</v>
      </c>
      <c r="N212" s="216" t="e">
        <f>VLOOKUP("total",#REF!,7,FALSE)/VLOOKUP("total",#REF!,7,FALSE)-1</f>
        <v>#REF!</v>
      </c>
      <c r="O212" s="217" t="e">
        <f>VLOOKUP("total",#REF!,7,FALSE)</f>
        <v>#REF!</v>
      </c>
      <c r="P212" s="216" t="e">
        <f>VLOOKUP("total",#REF!,8,FALSE)/VLOOKUP("total",#REF!,8,FALSE)-1</f>
        <v>#REF!</v>
      </c>
      <c r="Q212" s="217" t="e">
        <f>VLOOKUP("total",#REF!,8,FALSE)</f>
        <v>#REF!</v>
      </c>
    </row>
    <row r="213" spans="3:18" hidden="1" x14ac:dyDescent="0.2">
      <c r="C213" s="160"/>
      <c r="D213" s="161"/>
      <c r="E213" s="161"/>
      <c r="F213" s="161"/>
      <c r="G213" s="161"/>
      <c r="H213" s="161"/>
      <c r="I213" s="161"/>
      <c r="J213" s="161"/>
      <c r="K213" s="161"/>
      <c r="L213" s="161"/>
      <c r="M213" s="163"/>
    </row>
    <row r="214" spans="3:18" ht="35.25" hidden="1" customHeight="1" x14ac:dyDescent="0.2">
      <c r="C214" s="206" t="s">
        <v>29</v>
      </c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8"/>
    </row>
    <row r="215" spans="3:18" ht="20.100000000000001" hidden="1" customHeight="1" x14ac:dyDescent="0.2">
      <c r="C215" s="219" t="str">
        <f>I2</f>
        <v>acumulado julio 2017</v>
      </c>
      <c r="D215" s="220"/>
      <c r="E215" s="220"/>
      <c r="F215" s="220"/>
      <c r="G215" s="220"/>
      <c r="H215" s="220"/>
      <c r="I215" s="220"/>
      <c r="J215" s="220"/>
      <c r="K215" s="220"/>
      <c r="L215" s="220"/>
      <c r="M215" s="220"/>
      <c r="N215" s="220"/>
      <c r="O215" s="220"/>
      <c r="P215" s="220"/>
      <c r="Q215" s="220"/>
      <c r="R215" s="221"/>
    </row>
    <row r="216" spans="3:18" ht="13.5" hidden="1" thickBot="1" x14ac:dyDescent="0.25">
      <c r="C216" s="211"/>
      <c r="D216" s="212" t="s">
        <v>24</v>
      </c>
      <c r="E216" s="213"/>
      <c r="F216" s="212" t="s">
        <v>23</v>
      </c>
      <c r="G216" s="213"/>
      <c r="H216" s="212" t="s">
        <v>22</v>
      </c>
      <c r="I216" s="213"/>
      <c r="J216" s="212" t="s">
        <v>21</v>
      </c>
      <c r="K216" s="213"/>
      <c r="L216" s="212" t="s">
        <v>20</v>
      </c>
      <c r="M216" s="213"/>
      <c r="N216" s="212" t="s">
        <v>63</v>
      </c>
      <c r="O216" s="213"/>
      <c r="P216" s="212" t="s">
        <v>64</v>
      </c>
      <c r="Q216" s="213"/>
    </row>
    <row r="217" spans="3:18" ht="28.5" hidden="1" customHeight="1" x14ac:dyDescent="0.2">
      <c r="C217" s="211"/>
      <c r="D217" s="214" t="s">
        <v>65</v>
      </c>
      <c r="E217" s="214" t="s">
        <v>66</v>
      </c>
      <c r="F217" s="214" t="s">
        <v>65</v>
      </c>
      <c r="G217" s="214" t="s">
        <v>66</v>
      </c>
      <c r="H217" s="214" t="s">
        <v>65</v>
      </c>
      <c r="I217" s="214" t="s">
        <v>66</v>
      </c>
      <c r="J217" s="214" t="s">
        <v>65</v>
      </c>
      <c r="K217" s="214" t="s">
        <v>66</v>
      </c>
      <c r="L217" s="214" t="s">
        <v>65</v>
      </c>
      <c r="M217" s="214" t="s">
        <v>66</v>
      </c>
      <c r="N217" s="214" t="s">
        <v>65</v>
      </c>
      <c r="O217" s="214" t="s">
        <v>66</v>
      </c>
      <c r="P217" s="214" t="s">
        <v>65</v>
      </c>
      <c r="Q217" s="214" t="s">
        <v>66</v>
      </c>
    </row>
    <row r="218" spans="3:18" ht="24" hidden="1" customHeight="1" x14ac:dyDescent="0.2">
      <c r="C218" s="215" t="s">
        <v>36</v>
      </c>
      <c r="D218" s="216" t="e">
        <f>VLOOKUP("españa",#REF!,6,FALSE)/VLOOKUP("españa",#REF!,6,FALSE)-1</f>
        <v>#REF!</v>
      </c>
      <c r="E218" s="217" t="e">
        <f>VLOOKUP("españa",#REF!,6,FALSE)</f>
        <v>#REF!</v>
      </c>
      <c r="F218" s="216" t="e">
        <f>VLOOKUP("españa",#REF!,5,FALSE)/VLOOKUP("españa",#REF!,5,FALSE)-1</f>
        <v>#REF!</v>
      </c>
      <c r="G218" s="217" t="e">
        <f>VLOOKUP("españa",#REF!,5,FALSE)</f>
        <v>#REF!</v>
      </c>
      <c r="H218" s="216" t="e">
        <f>VLOOKUP("españa",#REF!,4,FALSE)/VLOOKUP("españa",#REF!,4,FALSE)-1</f>
        <v>#REF!</v>
      </c>
      <c r="I218" s="217" t="e">
        <f>VLOOKUP("españa",#REF!,4,FALSE)</f>
        <v>#REF!</v>
      </c>
      <c r="J218" s="216" t="e">
        <f>VLOOKUP("españa",#REF!,3,FALSE)/VLOOKUP("españa",#REF!,3,FALSE)-1</f>
        <v>#REF!</v>
      </c>
      <c r="K218" s="217" t="e">
        <f>VLOOKUP("españa",#REF!,3,FALSE)</f>
        <v>#REF!</v>
      </c>
      <c r="L218" s="216" t="e">
        <f>VLOOKUP("españa",#REF!,2,FALSE)/VLOOKUP("españa",#REF!,2,FALSE)-1</f>
        <v>#REF!</v>
      </c>
      <c r="M218" s="217" t="e">
        <f>VLOOKUP("españa",#REF!,2,FALSE)</f>
        <v>#REF!</v>
      </c>
      <c r="N218" s="216" t="e">
        <f>VLOOKUP("españa",#REF!,7,FALSE)/VLOOKUP("españa",#REF!,7,FALSE)-1</f>
        <v>#REF!</v>
      </c>
      <c r="O218" s="217" t="e">
        <f>VLOOKUP("españa",#REF!,7,FALSE)</f>
        <v>#REF!</v>
      </c>
      <c r="P218" s="216" t="e">
        <f>VLOOKUP("españa",#REF!,8,FALSE)/VLOOKUP("españa",#REF!,8,FALSE)-1</f>
        <v>#REF!</v>
      </c>
      <c r="Q218" s="217" t="e">
        <f>VLOOKUP("españa",#REF!,8,FALSE)</f>
        <v>#REF!</v>
      </c>
    </row>
    <row r="219" spans="3:18" ht="24" hidden="1" customHeight="1" x14ac:dyDescent="0.2">
      <c r="C219" s="215" t="s">
        <v>41</v>
      </c>
      <c r="D219" s="216" t="e">
        <f>VLOOKUP("holanda",#REF!,6,FALSE)/VLOOKUP("holanda",#REF!,6,FALSE)-1</f>
        <v>#REF!</v>
      </c>
      <c r="E219" s="217" t="e">
        <f>VLOOKUP("holanda",#REF!,6,FALSE)</f>
        <v>#REF!</v>
      </c>
      <c r="F219" s="216" t="e">
        <f>VLOOKUP("holanda",#REF!,5,FALSE)/VLOOKUP("holanda",#REF!,5,FALSE)-1</f>
        <v>#REF!</v>
      </c>
      <c r="G219" s="217" t="e">
        <f>VLOOKUP("holanda",#REF!,5,FALSE)</f>
        <v>#REF!</v>
      </c>
      <c r="H219" s="216" t="e">
        <f>VLOOKUP("holanda",#REF!,4,FALSE)/VLOOKUP("holanda",#REF!,4,FALSE)-1</f>
        <v>#REF!</v>
      </c>
      <c r="I219" s="217" t="e">
        <f>VLOOKUP("holanda",#REF!,4,FALSE)</f>
        <v>#REF!</v>
      </c>
      <c r="J219" s="216" t="e">
        <f>VLOOKUP("holanda",#REF!,3,FALSE)/VLOOKUP("holanda",#REF!,3,FALSE)-1</f>
        <v>#REF!</v>
      </c>
      <c r="K219" s="217" t="e">
        <f>VLOOKUP("holanda",#REF!,3,FALSE)</f>
        <v>#REF!</v>
      </c>
      <c r="L219" s="216" t="e">
        <f>VLOOKUP("holanda",#REF!,2,FALSE)/VLOOKUP("holanda",#REF!,2,FALSE)-1</f>
        <v>#REF!</v>
      </c>
      <c r="M219" s="217" t="e">
        <f>VLOOKUP("holanda",#REF!,2,FALSE)</f>
        <v>#REF!</v>
      </c>
      <c r="N219" s="216" t="e">
        <f>VLOOKUP("holanda",#REF!,7,FALSE)/VLOOKUP("holanda",#REF!,7,FALSE)-1</f>
        <v>#REF!</v>
      </c>
      <c r="O219" s="217" t="e">
        <f>VLOOKUP("holanda",#REF!,7,FALSE)</f>
        <v>#REF!</v>
      </c>
      <c r="P219" s="216" t="e">
        <f>VLOOKUP("holanda",#REF!,8,FALSE)/VLOOKUP("holanda",#REF!,8,FALSE)-1</f>
        <v>#REF!</v>
      </c>
      <c r="Q219" s="217" t="e">
        <f>VLOOKUP("holanda",#REF!,8,FALSE)</f>
        <v>#REF!</v>
      </c>
    </row>
    <row r="220" spans="3:18" ht="24" hidden="1" customHeight="1" x14ac:dyDescent="0.2">
      <c r="C220" s="215" t="s">
        <v>42</v>
      </c>
      <c r="D220" s="216" t="e">
        <f>VLOOKUP("belgica",#REF!,6,FALSE)/VLOOKUP("belgica",#REF!,6,FALSE)-1</f>
        <v>#REF!</v>
      </c>
      <c r="E220" s="217" t="e">
        <f>VLOOKUP("belgica",#REF!,6,FALSE)</f>
        <v>#REF!</v>
      </c>
      <c r="F220" s="216" t="e">
        <f>VLOOKUP("belgica",#REF!,5,FALSE)/VLOOKUP("belgica",#REF!,5,FALSE)-1</f>
        <v>#REF!</v>
      </c>
      <c r="G220" s="217" t="e">
        <f>VLOOKUP("belgica",#REF!,5,FALSE)</f>
        <v>#REF!</v>
      </c>
      <c r="H220" s="216" t="e">
        <f>VLOOKUP("belgica",#REF!,4,FALSE)/VLOOKUP("belgica",#REF!,4,FALSE)-1</f>
        <v>#REF!</v>
      </c>
      <c r="I220" s="217" t="e">
        <f>VLOOKUP("belgica",#REF!,4,FALSE)</f>
        <v>#REF!</v>
      </c>
      <c r="J220" s="216" t="e">
        <f>VLOOKUP("belgica",#REF!,3,FALSE)/VLOOKUP("belgica",#REF!,3,FALSE)-1</f>
        <v>#REF!</v>
      </c>
      <c r="K220" s="217" t="e">
        <f>VLOOKUP("belgica",#REF!,3,FALSE)</f>
        <v>#REF!</v>
      </c>
      <c r="L220" s="216" t="e">
        <f>VLOOKUP("belgica",#REF!,2,FALSE)/VLOOKUP("belgica",#REF!,2,FALSE)-1</f>
        <v>#REF!</v>
      </c>
      <c r="M220" s="217" t="e">
        <f>VLOOKUP("belgica",#REF!,2,FALSE)</f>
        <v>#REF!</v>
      </c>
      <c r="N220" s="216" t="e">
        <f>VLOOKUP("belgica",#REF!,7,FALSE)/VLOOKUP("belgica",#REF!,7,FALSE)-1</f>
        <v>#REF!</v>
      </c>
      <c r="O220" s="217" t="e">
        <f>VLOOKUP("belgica",#REF!,7,FALSE)</f>
        <v>#REF!</v>
      </c>
      <c r="P220" s="216" t="e">
        <f>VLOOKUP("belgica",#REF!,8,FALSE)/VLOOKUP("belgica",#REF!,8,FALSE)-1</f>
        <v>#REF!</v>
      </c>
      <c r="Q220" s="217" t="e">
        <f>VLOOKUP("belgica",#REF!,8,FALSE)</f>
        <v>#REF!</v>
      </c>
    </row>
    <row r="221" spans="3:18" ht="24" hidden="1" customHeight="1" x14ac:dyDescent="0.2">
      <c r="C221" s="215" t="s">
        <v>43</v>
      </c>
      <c r="D221" s="216" t="e">
        <f>VLOOKUP("alemania",#REF!,6,FALSE)/VLOOKUP("alemania",#REF!,6,FALSE)-1</f>
        <v>#REF!</v>
      </c>
      <c r="E221" s="217" t="e">
        <f>VLOOKUP("alemania",#REF!,6,FALSE)</f>
        <v>#REF!</v>
      </c>
      <c r="F221" s="216" t="e">
        <f>VLOOKUP("alemania",#REF!,5,FALSE)/VLOOKUP("alemania",#REF!,5,FALSE)-1</f>
        <v>#REF!</v>
      </c>
      <c r="G221" s="217" t="e">
        <f>VLOOKUP("alemania",#REF!,5,FALSE)</f>
        <v>#REF!</v>
      </c>
      <c r="H221" s="216" t="e">
        <f>VLOOKUP("alemania",#REF!,4,FALSE)/VLOOKUP("alemania",#REF!,4,FALSE)-1</f>
        <v>#REF!</v>
      </c>
      <c r="I221" s="217" t="e">
        <f>VLOOKUP("alemania",#REF!,4,FALSE)</f>
        <v>#REF!</v>
      </c>
      <c r="J221" s="216" t="e">
        <f>VLOOKUP("alemania",#REF!,3,FALSE)/VLOOKUP("alemania",#REF!,3,FALSE)-1</f>
        <v>#REF!</v>
      </c>
      <c r="K221" s="217" t="e">
        <f>VLOOKUP("alemania",#REF!,3,FALSE)</f>
        <v>#REF!</v>
      </c>
      <c r="L221" s="216" t="e">
        <f>VLOOKUP("alemania",#REF!,2,FALSE)/VLOOKUP("alemania",#REF!,2,FALSE)-1</f>
        <v>#REF!</v>
      </c>
      <c r="M221" s="217" t="e">
        <f>VLOOKUP("alemania",#REF!,2,FALSE)</f>
        <v>#REF!</v>
      </c>
      <c r="N221" s="216" t="e">
        <f>VLOOKUP("alemania",#REF!,7,FALSE)/VLOOKUP("alemania",#REF!,7,FALSE)-1</f>
        <v>#REF!</v>
      </c>
      <c r="O221" s="217" t="e">
        <f>VLOOKUP("alemania",#REF!,7,FALSE)</f>
        <v>#REF!</v>
      </c>
      <c r="P221" s="216" t="e">
        <f>VLOOKUP("alemania",#REF!,8,FALSE)/VLOOKUP("alemania",#REF!,8,FALSE)-1</f>
        <v>#REF!</v>
      </c>
      <c r="Q221" s="217" t="e">
        <f>VLOOKUP("alemania",#REF!,8,FALSE)</f>
        <v>#REF!</v>
      </c>
    </row>
    <row r="222" spans="3:18" ht="24" hidden="1" customHeight="1" x14ac:dyDescent="0.2">
      <c r="C222" s="215" t="s">
        <v>44</v>
      </c>
      <c r="D222" s="216" t="e">
        <f>VLOOKUP("francia",#REF!,6,FALSE)/VLOOKUP("francia",#REF!,6,FALSE)-1</f>
        <v>#REF!</v>
      </c>
      <c r="E222" s="217" t="e">
        <f>VLOOKUP("francia",#REF!,6,FALSE)</f>
        <v>#REF!</v>
      </c>
      <c r="F222" s="216" t="e">
        <f>VLOOKUP("francia",#REF!,5,FALSE)/VLOOKUP("francia",#REF!,5,FALSE)-1</f>
        <v>#REF!</v>
      </c>
      <c r="G222" s="217" t="e">
        <f>VLOOKUP("francia",#REF!,5,FALSE)</f>
        <v>#REF!</v>
      </c>
      <c r="H222" s="216" t="e">
        <f>VLOOKUP("francia",#REF!,4,FALSE)/VLOOKUP("francia",#REF!,4,FALSE)-1</f>
        <v>#REF!</v>
      </c>
      <c r="I222" s="217" t="e">
        <f>VLOOKUP("francia",#REF!,4,FALSE)</f>
        <v>#REF!</v>
      </c>
      <c r="J222" s="216" t="e">
        <f>VLOOKUP("francia",#REF!,3,FALSE)/VLOOKUP("francia",#REF!,3,FALSE)-1</f>
        <v>#REF!</v>
      </c>
      <c r="K222" s="217" t="e">
        <f>VLOOKUP("francia",#REF!,3,FALSE)</f>
        <v>#REF!</v>
      </c>
      <c r="L222" s="216" t="e">
        <f>VLOOKUP("francia",#REF!,2,FALSE)/VLOOKUP("francia",#REF!,2,FALSE)-1</f>
        <v>#REF!</v>
      </c>
      <c r="M222" s="217" t="e">
        <f>VLOOKUP("francia",#REF!,2,FALSE)</f>
        <v>#REF!</v>
      </c>
      <c r="N222" s="216" t="e">
        <f>VLOOKUP("francia",#REF!,7,FALSE)/VLOOKUP("francia",#REF!,7,FALSE)-1</f>
        <v>#REF!</v>
      </c>
      <c r="O222" s="217" t="e">
        <f>VLOOKUP("francia",#REF!,7,FALSE)</f>
        <v>#REF!</v>
      </c>
      <c r="P222" s="216" t="e">
        <f>VLOOKUP("francia",#REF!,8,FALSE)/VLOOKUP("francia",#REF!,8,FALSE)-1</f>
        <v>#REF!</v>
      </c>
      <c r="Q222" s="217" t="e">
        <f>VLOOKUP("francia",#REF!,8,FALSE)</f>
        <v>#REF!</v>
      </c>
    </row>
    <row r="223" spans="3:18" ht="24" hidden="1" customHeight="1" x14ac:dyDescent="0.2">
      <c r="C223" s="215" t="s">
        <v>45</v>
      </c>
      <c r="D223" s="216" t="e">
        <f>VLOOKUP("reino unido",#REF!,6,FALSE)/VLOOKUP("reino unido",#REF!,6,FALSE)-1</f>
        <v>#REF!</v>
      </c>
      <c r="E223" s="217" t="e">
        <f>VLOOKUP("reino unido",#REF!,6,FALSE)</f>
        <v>#REF!</v>
      </c>
      <c r="F223" s="216" t="e">
        <f>VLOOKUP("reino unido",#REF!,5,FALSE)/VLOOKUP("reino unido",#REF!,5,FALSE)-1</f>
        <v>#REF!</v>
      </c>
      <c r="G223" s="217" t="e">
        <f>VLOOKUP("reino unido",#REF!,5,FALSE)</f>
        <v>#REF!</v>
      </c>
      <c r="H223" s="216" t="e">
        <f>VLOOKUP("reino unido",#REF!,4,FALSE)/VLOOKUP("reino unido",#REF!,4,FALSE)-1</f>
        <v>#REF!</v>
      </c>
      <c r="I223" s="217" t="e">
        <f>VLOOKUP("reino unido",#REF!,4,FALSE)</f>
        <v>#REF!</v>
      </c>
      <c r="J223" s="216" t="e">
        <f>VLOOKUP("reino unido",#REF!,3,FALSE)/VLOOKUP("reino unido",#REF!,3,FALSE)-1</f>
        <v>#REF!</v>
      </c>
      <c r="K223" s="217" t="e">
        <f>VLOOKUP("reino unido",#REF!,3,FALSE)</f>
        <v>#REF!</v>
      </c>
      <c r="L223" s="216" t="e">
        <f>VLOOKUP("reino unido",#REF!,2,FALSE)/VLOOKUP("reino unido",#REF!,2,FALSE)-1</f>
        <v>#REF!</v>
      </c>
      <c r="M223" s="217" t="e">
        <f>VLOOKUP("reino unido",#REF!,2,FALSE)</f>
        <v>#REF!</v>
      </c>
      <c r="N223" s="216" t="e">
        <f>VLOOKUP("reino unido",#REF!,7,FALSE)/VLOOKUP("reino unido",#REF!,7,FALSE)-1</f>
        <v>#REF!</v>
      </c>
      <c r="O223" s="217" t="e">
        <f>VLOOKUP("reino unido",#REF!,7,FALSE)</f>
        <v>#REF!</v>
      </c>
      <c r="P223" s="216" t="e">
        <f>VLOOKUP("reino unido",#REF!,8,FALSE)/VLOOKUP("reino unido",#REF!,8,FALSE)-1</f>
        <v>#REF!</v>
      </c>
      <c r="Q223" s="217" t="e">
        <f>VLOOKUP("reino unido",#REF!,8,FALSE)</f>
        <v>#REF!</v>
      </c>
    </row>
    <row r="224" spans="3:18" ht="24" hidden="1" customHeight="1" x14ac:dyDescent="0.2">
      <c r="C224" s="215" t="s">
        <v>46</v>
      </c>
      <c r="D224" s="216" t="e">
        <f>VLOOKUP("irlanda",#REF!,6,FALSE)/VLOOKUP("irlanda",#REF!,6,FALSE)-1</f>
        <v>#REF!</v>
      </c>
      <c r="E224" s="217" t="e">
        <f>VLOOKUP("irlanda",#REF!,6,FALSE)</f>
        <v>#REF!</v>
      </c>
      <c r="F224" s="216" t="e">
        <f>VLOOKUP("irlanda",#REF!,5,FALSE)/VLOOKUP("irlanda",#REF!,5,FALSE)-1</f>
        <v>#REF!</v>
      </c>
      <c r="G224" s="217" t="e">
        <f>VLOOKUP("irlanda",#REF!,5,FALSE)</f>
        <v>#REF!</v>
      </c>
      <c r="H224" s="216" t="e">
        <f>VLOOKUP("irlanda",#REF!,4,FALSE)/VLOOKUP("irlanda",#REF!,4,FALSE)-1</f>
        <v>#REF!</v>
      </c>
      <c r="I224" s="217" t="e">
        <f>VLOOKUP("irlanda",#REF!,4,FALSE)</f>
        <v>#REF!</v>
      </c>
      <c r="J224" s="216" t="e">
        <f>VLOOKUP("irlanda",#REF!,3,FALSE)/VLOOKUP("irlanda",#REF!,3,FALSE)-1</f>
        <v>#REF!</v>
      </c>
      <c r="K224" s="217" t="e">
        <f>VLOOKUP("irlanda",#REF!,3,FALSE)</f>
        <v>#REF!</v>
      </c>
      <c r="L224" s="216" t="e">
        <f>VLOOKUP("irlanda",#REF!,2,FALSE)/VLOOKUP("irlanda",#REF!,2,FALSE)-1</f>
        <v>#REF!</v>
      </c>
      <c r="M224" s="217" t="e">
        <f>VLOOKUP("irlanda",#REF!,2,FALSE)</f>
        <v>#REF!</v>
      </c>
      <c r="N224" s="216" t="e">
        <f>VLOOKUP("irlanda",#REF!,7,FALSE)/VLOOKUP("irlanda",#REF!,7,FALSE)-1</f>
        <v>#REF!</v>
      </c>
      <c r="O224" s="217" t="e">
        <f>VLOOKUP("irlanda",#REF!,7,FALSE)</f>
        <v>#REF!</v>
      </c>
      <c r="P224" s="216" t="e">
        <f>VLOOKUP("irlanda",#REF!,8,FALSE)/VLOOKUP("irlanda",#REF!,8,FALSE)-1</f>
        <v>#REF!</v>
      </c>
      <c r="Q224" s="217" t="e">
        <f>VLOOKUP("irlanda",#REF!,8,FALSE)</f>
        <v>#REF!</v>
      </c>
    </row>
    <row r="225" spans="3:17" ht="24" hidden="1" customHeight="1" x14ac:dyDescent="0.2">
      <c r="C225" s="215" t="s">
        <v>47</v>
      </c>
      <c r="D225" s="216" t="e">
        <f>VLOOKUP("italia",#REF!,6,FALSE)/VLOOKUP("italia",#REF!,6,FALSE)-1</f>
        <v>#REF!</v>
      </c>
      <c r="E225" s="217" t="e">
        <f>VLOOKUP("italia",#REF!,6,FALSE)</f>
        <v>#REF!</v>
      </c>
      <c r="F225" s="216" t="e">
        <f>VLOOKUP("italia",#REF!,5,FALSE)/VLOOKUP("italia",#REF!,5,FALSE)-1</f>
        <v>#REF!</v>
      </c>
      <c r="G225" s="217" t="e">
        <f>VLOOKUP("italia",#REF!,5,FALSE)</f>
        <v>#REF!</v>
      </c>
      <c r="H225" s="216" t="e">
        <f>VLOOKUP("italia",#REF!,4,FALSE)/VLOOKUP("italia",#REF!,4,FALSE)-1</f>
        <v>#REF!</v>
      </c>
      <c r="I225" s="217" t="e">
        <f>VLOOKUP("italia",#REF!,4,FALSE)</f>
        <v>#REF!</v>
      </c>
      <c r="J225" s="216" t="e">
        <f>VLOOKUP("italia",#REF!,3,FALSE)/VLOOKUP("italia",#REF!,3,FALSE)-1</f>
        <v>#REF!</v>
      </c>
      <c r="K225" s="217" t="e">
        <f>VLOOKUP("italia",#REF!,3,FALSE)</f>
        <v>#REF!</v>
      </c>
      <c r="L225" s="216" t="e">
        <f>VLOOKUP("italia",#REF!,2,FALSE)/VLOOKUP("italia",#REF!,2,FALSE)-1</f>
        <v>#REF!</v>
      </c>
      <c r="M225" s="217" t="e">
        <f>VLOOKUP("italia",#REF!,2,FALSE)</f>
        <v>#REF!</v>
      </c>
      <c r="N225" s="216" t="e">
        <f>VLOOKUP("italia",#REF!,7,FALSE)/VLOOKUP("italia",#REF!,7,FALSE)-1</f>
        <v>#REF!</v>
      </c>
      <c r="O225" s="217" t="e">
        <f>VLOOKUP("italia",#REF!,7,FALSE)</f>
        <v>#REF!</v>
      </c>
      <c r="P225" s="216" t="e">
        <f>VLOOKUP("italia",#REF!,8,FALSE)/VLOOKUP("italia",#REF!,8,FALSE)-1</f>
        <v>#REF!</v>
      </c>
      <c r="Q225" s="217" t="e">
        <f>VLOOKUP("italia",#REF!,8,FALSE)</f>
        <v>#REF!</v>
      </c>
    </row>
    <row r="226" spans="3:17" ht="24" hidden="1" customHeight="1" x14ac:dyDescent="0.2">
      <c r="C226" s="215" t="s">
        <v>48</v>
      </c>
      <c r="D226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6" s="217" t="e">
        <f>(VLOOKUP("suecia",#REF!,6,FALSE)+VLOOKUP("noruega",#REF!,6,FALSE)+VLOOKUP("dinamarca",#REF!,6,FALSE)+VLOOKUP("finlandia",#REF!,6,FALSE))</f>
        <v>#REF!</v>
      </c>
      <c r="F226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6" s="217" t="e">
        <f>(VLOOKUP("suecia",#REF!,5,FALSE)+VLOOKUP("noruega",#REF!,5,FALSE)+VLOOKUP("dinamarca",#REF!,5,FALSE)+VLOOKUP("finlandia",#REF!,5,FALSE))</f>
        <v>#REF!</v>
      </c>
      <c r="H226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6" s="217" t="e">
        <f>(VLOOKUP("suecia",#REF!,4,FALSE)+VLOOKUP("noruega",#REF!,4,FALSE)+VLOOKUP("dinamarca",#REF!,4,FALSE)+VLOOKUP("finlandia",#REF!,4,FALSE))</f>
        <v>#REF!</v>
      </c>
      <c r="J226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6" s="217" t="e">
        <f>(VLOOKUP("suecia",#REF!,3,FALSE)+VLOOKUP("noruega",#REF!,3,FALSE)+VLOOKUP("dinamarca",#REF!,3,FALSE)+VLOOKUP("finlandia",#REF!,3,FALSE))</f>
        <v>#REF!</v>
      </c>
      <c r="L226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6" s="217" t="e">
        <f>(VLOOKUP("suecia",#REF!,2,FALSE)+VLOOKUP("noruega",#REF!,2,FALSE)+VLOOKUP("dinamarca",#REF!,2,FALSE)+VLOOKUP("finlandia",#REF!,2,FALSE))</f>
        <v>#REF!</v>
      </c>
      <c r="N226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6" s="217" t="e">
        <f>(VLOOKUP("suecia",#REF!,7,FALSE)+VLOOKUP("noruega",#REF!,7,FALSE)+VLOOKUP("dinamarca",#REF!,7,FALSE)+VLOOKUP("finlandia",#REF!,7,FALSE))</f>
        <v>#REF!</v>
      </c>
      <c r="P226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6" s="217" t="e">
        <f>(VLOOKUP("suecia",#REF!,8,FALSE)+VLOOKUP("noruega",#REF!,8,FALSE)+VLOOKUP("dinamarca",#REF!,8,FALSE)+VLOOKUP("finlandia",#REF!,8,FALSE))</f>
        <v>#REF!</v>
      </c>
    </row>
    <row r="227" spans="3:17" ht="24" hidden="1" customHeight="1" x14ac:dyDescent="0.2">
      <c r="C227" s="218" t="s">
        <v>49</v>
      </c>
      <c r="D227" s="216" t="e">
        <f>VLOOKUP("suecia",#REF!,6,FALSE)/VLOOKUP("suecia",#REF!,6,FALSE)-1</f>
        <v>#REF!</v>
      </c>
      <c r="E227" s="217" t="e">
        <f>VLOOKUP("suecia",#REF!,6,FALSE)</f>
        <v>#REF!</v>
      </c>
      <c r="F227" s="216" t="e">
        <f>VLOOKUP("suecia",#REF!,5,FALSE)/VLOOKUP("suecia",#REF!,5,FALSE)-1</f>
        <v>#REF!</v>
      </c>
      <c r="G227" s="217" t="e">
        <f>VLOOKUP("suecia",#REF!,5,FALSE)</f>
        <v>#REF!</v>
      </c>
      <c r="H227" s="216" t="e">
        <f>VLOOKUP("suecia",#REF!,4,FALSE)/VLOOKUP("suecia",#REF!,4,FALSE)-1</f>
        <v>#REF!</v>
      </c>
      <c r="I227" s="217" t="e">
        <f>VLOOKUP("suecia",#REF!,4,FALSE)</f>
        <v>#REF!</v>
      </c>
      <c r="J227" s="216" t="e">
        <f>VLOOKUP("suecia",#REF!,3,FALSE)/VLOOKUP("suecia",#REF!,3,FALSE)-1</f>
        <v>#REF!</v>
      </c>
      <c r="K227" s="217" t="e">
        <f>VLOOKUP("suecia",#REF!,3,FALSE)</f>
        <v>#REF!</v>
      </c>
      <c r="L227" s="216" t="e">
        <f>VLOOKUP("suecia",#REF!,2,FALSE)/VLOOKUP("suecia",#REF!,2,FALSE)-1</f>
        <v>#REF!</v>
      </c>
      <c r="M227" s="217" t="e">
        <f>VLOOKUP("suecia",#REF!,2,FALSE)</f>
        <v>#REF!</v>
      </c>
      <c r="N227" s="216" t="e">
        <f>VLOOKUP("suecia",#REF!,7,FALSE)/VLOOKUP("suecia",#REF!,7,FALSE)-1</f>
        <v>#REF!</v>
      </c>
      <c r="O227" s="217" t="e">
        <f>VLOOKUP("suecia",#REF!,7,FALSE)</f>
        <v>#REF!</v>
      </c>
      <c r="P227" s="216" t="e">
        <f>VLOOKUP("suecia",#REF!,8,FALSE)/VLOOKUP("suecia",#REF!,8,FALSE)-1</f>
        <v>#REF!</v>
      </c>
      <c r="Q227" s="217" t="e">
        <f>VLOOKUP("suecia",#REF!,8,FALSE)</f>
        <v>#REF!</v>
      </c>
    </row>
    <row r="228" spans="3:17" ht="24" hidden="1" customHeight="1" x14ac:dyDescent="0.2">
      <c r="C228" s="218" t="s">
        <v>50</v>
      </c>
      <c r="D228" s="216" t="e">
        <f>VLOOKUP("noruega",#REF!,6,FALSE)/VLOOKUP("noruega",#REF!,6,FALSE)-1</f>
        <v>#REF!</v>
      </c>
      <c r="E228" s="217" t="e">
        <f>VLOOKUP("noruega",#REF!,6,FALSE)</f>
        <v>#REF!</v>
      </c>
      <c r="F228" s="216" t="e">
        <f>VLOOKUP("noruega",#REF!,5,FALSE)/VLOOKUP("noruega",#REF!,5,FALSE)-1</f>
        <v>#REF!</v>
      </c>
      <c r="G228" s="217" t="e">
        <f>VLOOKUP("noruega",#REF!,5,FALSE)</f>
        <v>#REF!</v>
      </c>
      <c r="H228" s="216" t="e">
        <f>VLOOKUP("noruega",#REF!,4,FALSE)/VLOOKUP("noruega",#REF!,4,FALSE)-1</f>
        <v>#REF!</v>
      </c>
      <c r="I228" s="217" t="e">
        <f>VLOOKUP("noruega",#REF!,4,FALSE)</f>
        <v>#REF!</v>
      </c>
      <c r="J228" s="216" t="e">
        <f>VLOOKUP("noruega",#REF!,3,FALSE)/VLOOKUP("noruega",#REF!,3,FALSE)-1</f>
        <v>#REF!</v>
      </c>
      <c r="K228" s="217" t="e">
        <f>VLOOKUP("noruega",#REF!,3,FALSE)</f>
        <v>#REF!</v>
      </c>
      <c r="L228" s="216" t="e">
        <f>VLOOKUP("noruega",#REF!,2,FALSE)/VLOOKUP("noruega",#REF!,2,FALSE)-1</f>
        <v>#REF!</v>
      </c>
      <c r="M228" s="217" t="e">
        <f>VLOOKUP("noruega",#REF!,2,FALSE)</f>
        <v>#REF!</v>
      </c>
      <c r="N228" s="216" t="e">
        <f>VLOOKUP("noruega",#REF!,7,FALSE)/VLOOKUP("noruega",#REF!,7,FALSE)-1</f>
        <v>#REF!</v>
      </c>
      <c r="O228" s="217" t="e">
        <f>VLOOKUP("noruega",#REF!,7,FALSE)</f>
        <v>#REF!</v>
      </c>
      <c r="P228" s="216" t="e">
        <f>VLOOKUP("noruega",#REF!,8,FALSE)/VLOOKUP("noruega",#REF!,8,FALSE)-1</f>
        <v>#REF!</v>
      </c>
      <c r="Q228" s="217" t="e">
        <f>VLOOKUP("noruega",#REF!,8,FALSE)</f>
        <v>#REF!</v>
      </c>
    </row>
    <row r="229" spans="3:17" ht="24" hidden="1" customHeight="1" x14ac:dyDescent="0.2">
      <c r="C229" s="218" t="s">
        <v>51</v>
      </c>
      <c r="D229" s="216" t="e">
        <f>VLOOKUP("dinamarca",#REF!,6,FALSE)/VLOOKUP("dinamarca",#REF!,6,FALSE)-1</f>
        <v>#REF!</v>
      </c>
      <c r="E229" s="217" t="e">
        <f>VLOOKUP("dinamarca",#REF!,6,FALSE)</f>
        <v>#REF!</v>
      </c>
      <c r="F229" s="216" t="e">
        <f>VLOOKUP("dinamarca",#REF!,5,FALSE)/VLOOKUP("dinamarca",#REF!,5,FALSE)-1</f>
        <v>#REF!</v>
      </c>
      <c r="G229" s="217" t="e">
        <f>VLOOKUP("dinamarca",#REF!,5,FALSE)</f>
        <v>#REF!</v>
      </c>
      <c r="H229" s="216" t="e">
        <f>VLOOKUP("dinamarca",#REF!,4,FALSE)/VLOOKUP("dinamarca",#REF!,4,FALSE)-1</f>
        <v>#REF!</v>
      </c>
      <c r="I229" s="217" t="e">
        <f>VLOOKUP("dinamarca",#REF!,4,FALSE)</f>
        <v>#REF!</v>
      </c>
      <c r="J229" s="216" t="e">
        <f>VLOOKUP("dinamarca",#REF!,3,FALSE)/VLOOKUP("dinamarca",#REF!,3,FALSE)-1</f>
        <v>#REF!</v>
      </c>
      <c r="K229" s="217" t="e">
        <f>VLOOKUP("dinamarca",#REF!,3,FALSE)</f>
        <v>#REF!</v>
      </c>
      <c r="L229" s="216" t="e">
        <f>VLOOKUP("dinamarca",#REF!,2,FALSE)/VLOOKUP("dinamarca",#REF!,2,FALSE)-1</f>
        <v>#REF!</v>
      </c>
      <c r="M229" s="217" t="e">
        <f>VLOOKUP("dinamarca",#REF!,2,FALSE)</f>
        <v>#REF!</v>
      </c>
      <c r="N229" s="216" t="e">
        <f>VLOOKUP("dinamarca",#REF!,7,FALSE)/VLOOKUP("dinamarca",#REF!,7,FALSE)-1</f>
        <v>#REF!</v>
      </c>
      <c r="O229" s="217" t="e">
        <f>VLOOKUP("dinamarca",#REF!,7,FALSE)</f>
        <v>#REF!</v>
      </c>
      <c r="P229" s="216" t="e">
        <f>VLOOKUP("dinamarca",#REF!,8,FALSE)/VLOOKUP("dinamarca",#REF!,8,FALSE)-1</f>
        <v>#REF!</v>
      </c>
      <c r="Q229" s="217" t="e">
        <f>VLOOKUP("dinamarca",#REF!,8,FALSE)</f>
        <v>#REF!</v>
      </c>
    </row>
    <row r="230" spans="3:17" ht="24" hidden="1" customHeight="1" x14ac:dyDescent="0.2">
      <c r="C230" s="218" t="s">
        <v>52</v>
      </c>
      <c r="D230" s="216" t="s">
        <v>38</v>
      </c>
      <c r="E230" s="217" t="e">
        <f>VLOOKUP("finlandia",#REF!,6,FALSE)</f>
        <v>#REF!</v>
      </c>
      <c r="F230" s="216" t="e">
        <f>VLOOKUP("finlandia",#REF!,5,FALSE)/VLOOKUP("finlandia",#REF!,5,FALSE)-1</f>
        <v>#REF!</v>
      </c>
      <c r="G230" s="217" t="e">
        <f>VLOOKUP("finlandia",#REF!,5,FALSE)</f>
        <v>#REF!</v>
      </c>
      <c r="H230" s="216" t="e">
        <f>VLOOKUP("finlandia",#REF!,4,FALSE)/VLOOKUP("finlandia",#REF!,4,FALSE)-1</f>
        <v>#REF!</v>
      </c>
      <c r="I230" s="217" t="e">
        <f>VLOOKUP("finlandia",#REF!,4,FALSE)</f>
        <v>#REF!</v>
      </c>
      <c r="J230" s="216" t="e">
        <f>VLOOKUP("finlandia",#REF!,3,FALSE)/VLOOKUP("finlandia",#REF!,3,FALSE)-1</f>
        <v>#REF!</v>
      </c>
      <c r="K230" s="217" t="e">
        <f>VLOOKUP("finlandia",#REF!,3,FALSE)</f>
        <v>#REF!</v>
      </c>
      <c r="L230" s="216" t="s">
        <v>38</v>
      </c>
      <c r="M230" s="217" t="e">
        <f>VLOOKUP("finlandia",#REF!,2,FALSE)</f>
        <v>#REF!</v>
      </c>
      <c r="N230" s="216" t="e">
        <f>VLOOKUP("finlandia",#REF!,7,FALSE)/VLOOKUP("finlandia",#REF!,7,FALSE)-1</f>
        <v>#REF!</v>
      </c>
      <c r="O230" s="217" t="e">
        <f>VLOOKUP("finlandia",#REF!,7,FALSE)</f>
        <v>#REF!</v>
      </c>
      <c r="P230" s="216" t="e">
        <f>VLOOKUP("finlandia",#REF!,8,FALSE)/VLOOKUP("finlandia",#REF!,8,FALSE)-1</f>
        <v>#REF!</v>
      </c>
      <c r="Q230" s="217" t="e">
        <f>VLOOKUP("finlandia",#REF!,8,FALSE)</f>
        <v>#REF!</v>
      </c>
    </row>
    <row r="231" spans="3:17" ht="24" hidden="1" customHeight="1" x14ac:dyDescent="0.2">
      <c r="C231" s="215" t="s">
        <v>53</v>
      </c>
      <c r="D231" s="216" t="e">
        <f>VLOOKUP("suiza",#REF!,6,FALSE)/VLOOKUP("suiza",#REF!,6,FALSE)-1</f>
        <v>#REF!</v>
      </c>
      <c r="E231" s="217" t="e">
        <f>VLOOKUP("suiza",#REF!,6,FALSE)</f>
        <v>#REF!</v>
      </c>
      <c r="F231" s="216" t="e">
        <f>VLOOKUP("suiza",#REF!,5,FALSE)/VLOOKUP("suiza",#REF!,5,FALSE)-1</f>
        <v>#REF!</v>
      </c>
      <c r="G231" s="217" t="e">
        <f>VLOOKUP("suiza",#REF!,5,FALSE)</f>
        <v>#REF!</v>
      </c>
      <c r="H231" s="216" t="e">
        <f>VLOOKUP("suiza",#REF!,4,FALSE)/VLOOKUP("suiza",#REF!,4,FALSE)-1</f>
        <v>#REF!</v>
      </c>
      <c r="I231" s="217" t="e">
        <f>VLOOKUP("suiza",#REF!,4,FALSE)</f>
        <v>#REF!</v>
      </c>
      <c r="J231" s="216" t="e">
        <f>VLOOKUP("suiza",#REF!,3,FALSE)/VLOOKUP("suiza",#REF!,3,FALSE)-1</f>
        <v>#REF!</v>
      </c>
      <c r="K231" s="217" t="e">
        <f>VLOOKUP("suiza",#REF!,3,FALSE)</f>
        <v>#REF!</v>
      </c>
      <c r="L231" s="216" t="e">
        <f>VLOOKUP("suiza",#REF!,2,FALSE)/VLOOKUP("suiza",#REF!,2,FALSE)-1</f>
        <v>#REF!</v>
      </c>
      <c r="M231" s="217" t="e">
        <f>VLOOKUP("suiza",#REF!,2,FALSE)</f>
        <v>#REF!</v>
      </c>
      <c r="N231" s="216" t="e">
        <f>VLOOKUP("suiza",#REF!,7,FALSE)/VLOOKUP("suiza",#REF!,7,FALSE)-1</f>
        <v>#REF!</v>
      </c>
      <c r="O231" s="217" t="e">
        <f>VLOOKUP("suiza",#REF!,7,FALSE)</f>
        <v>#REF!</v>
      </c>
      <c r="P231" s="216" t="e">
        <f>VLOOKUP("suiza",#REF!,8,FALSE)/VLOOKUP("suiza",#REF!,8,FALSE)-1</f>
        <v>#REF!</v>
      </c>
      <c r="Q231" s="217" t="e">
        <f>VLOOKUP("suiza",#REF!,8,FALSE)</f>
        <v>#REF!</v>
      </c>
    </row>
    <row r="232" spans="3:17" ht="24" hidden="1" customHeight="1" x14ac:dyDescent="0.2">
      <c r="C232" s="215" t="s">
        <v>54</v>
      </c>
      <c r="D232" s="216" t="e">
        <f>VLOOKUP("austria",#REF!,6,FALSE)/VLOOKUP("austria",#REF!,6,FALSE)-1</f>
        <v>#REF!</v>
      </c>
      <c r="E232" s="217" t="e">
        <f>VLOOKUP("austria",#REF!,6,FALSE)</f>
        <v>#REF!</v>
      </c>
      <c r="F232" s="216" t="e">
        <f>VLOOKUP("austria",#REF!,5,FALSE)/VLOOKUP("austria",#REF!,5,FALSE)-1</f>
        <v>#REF!</v>
      </c>
      <c r="G232" s="217" t="e">
        <f>VLOOKUP("austria",#REF!,5,FALSE)</f>
        <v>#REF!</v>
      </c>
      <c r="H232" s="216" t="e">
        <f>VLOOKUP("austria",#REF!,4,FALSE)/VLOOKUP("austria",#REF!,4,FALSE)-1</f>
        <v>#REF!</v>
      </c>
      <c r="I232" s="217" t="e">
        <f>VLOOKUP("austria",#REF!,4,FALSE)</f>
        <v>#REF!</v>
      </c>
      <c r="J232" s="216" t="e">
        <f>VLOOKUP("austria",#REF!,3,FALSE)/VLOOKUP("austria",#REF!,3,FALSE)-1</f>
        <v>#REF!</v>
      </c>
      <c r="K232" s="217" t="e">
        <f>VLOOKUP("austria",#REF!,3,FALSE)</f>
        <v>#REF!</v>
      </c>
      <c r="L232" s="216" t="e">
        <f>VLOOKUP("austria",#REF!,2,FALSE)/VLOOKUP("austria",#REF!,2,FALSE)-1</f>
        <v>#REF!</v>
      </c>
      <c r="M232" s="217" t="e">
        <f>VLOOKUP("austria",#REF!,2,FALSE)</f>
        <v>#REF!</v>
      </c>
      <c r="N232" s="216" t="e">
        <f>VLOOKUP("austria",#REF!,7,FALSE)/VLOOKUP("austria",#REF!,7,FALSE)-1</f>
        <v>#REF!</v>
      </c>
      <c r="O232" s="217" t="e">
        <f>VLOOKUP("austria",#REF!,7,FALSE)</f>
        <v>#REF!</v>
      </c>
      <c r="P232" s="216" t="e">
        <f>VLOOKUP("austria",#REF!,8,FALSE)/VLOOKUP("austria",#REF!,8,FALSE)-1</f>
        <v>#REF!</v>
      </c>
      <c r="Q232" s="217" t="e">
        <f>VLOOKUP("austria",#REF!,8,FALSE)</f>
        <v>#REF!</v>
      </c>
    </row>
    <row r="233" spans="3:17" ht="24" hidden="1" customHeight="1" x14ac:dyDescent="0.2">
      <c r="C233" s="215" t="s">
        <v>55</v>
      </c>
      <c r="D233" s="216" t="e">
        <f>VLOOKUP("rusia",#REF!,6,FALSE)/VLOOKUP("rusia",#REF!,6,FALSE)-1</f>
        <v>#REF!</v>
      </c>
      <c r="E233" s="217" t="e">
        <f>VLOOKUP("rusia",#REF!,6,FALSE)</f>
        <v>#REF!</v>
      </c>
      <c r="F233" s="216" t="e">
        <f>VLOOKUP("rusia",#REF!,5,FALSE)/VLOOKUP("rusia",#REF!,5,FALSE)-1</f>
        <v>#REF!</v>
      </c>
      <c r="G233" s="217" t="e">
        <f>VLOOKUP("rusia",#REF!,5,FALSE)</f>
        <v>#REF!</v>
      </c>
      <c r="H233" s="216" t="e">
        <f>VLOOKUP("rusia",#REF!,4,FALSE)/VLOOKUP("rusia",#REF!,4,FALSE)-1</f>
        <v>#REF!</v>
      </c>
      <c r="I233" s="217" t="e">
        <f>VLOOKUP("rusia",#REF!,4,FALSE)</f>
        <v>#REF!</v>
      </c>
      <c r="J233" s="216" t="e">
        <f>VLOOKUP("rusia",#REF!,3,FALSE)/VLOOKUP("rusia",#REF!,3,FALSE)-1</f>
        <v>#REF!</v>
      </c>
      <c r="K233" s="217" t="e">
        <f>VLOOKUP("rusia",#REF!,3,FALSE)</f>
        <v>#REF!</v>
      </c>
      <c r="L233" s="216" t="e">
        <f>VLOOKUP("rusia",#REF!,2,FALSE)/VLOOKUP("rusia",#REF!,2,FALSE)-1</f>
        <v>#REF!</v>
      </c>
      <c r="M233" s="217" t="e">
        <f>VLOOKUP("rusia",#REF!,2,FALSE)</f>
        <v>#REF!</v>
      </c>
      <c r="N233" s="216" t="e">
        <f>VLOOKUP("rusia",#REF!,7,FALSE)/VLOOKUP("rusia",#REF!,7,FALSE)-1</f>
        <v>#REF!</v>
      </c>
      <c r="O233" s="217" t="e">
        <f>VLOOKUP("rusia",#REF!,7,FALSE)</f>
        <v>#REF!</v>
      </c>
      <c r="P233" s="216" t="e">
        <f>VLOOKUP("rusia",#REF!,8,FALSE)/VLOOKUP("rusia",#REF!,8,FALSE)-1</f>
        <v>#REF!</v>
      </c>
      <c r="Q233" s="217" t="e">
        <f>VLOOKUP("rusia",#REF!,8,FALSE)</f>
        <v>#REF!</v>
      </c>
    </row>
    <row r="234" spans="3:17" ht="24" hidden="1" customHeight="1" x14ac:dyDescent="0.2">
      <c r="C234" s="215" t="s">
        <v>56</v>
      </c>
      <c r="D234" s="216" t="e">
        <f>VLOOKUP("paises del este",#REF!,6,FALSE)/VLOOKUP("paises del este",#REF!,6,FALSE)-1</f>
        <v>#REF!</v>
      </c>
      <c r="E234" s="217" t="e">
        <f>VLOOKUP("paises del este",#REF!,6,FALSE)</f>
        <v>#REF!</v>
      </c>
      <c r="F234" s="216" t="e">
        <f>VLOOKUP("paises del este",#REF!,5,FALSE)/VLOOKUP("paises del este",#REF!,5,FALSE)-1</f>
        <v>#REF!</v>
      </c>
      <c r="G234" s="217" t="e">
        <f>VLOOKUP("paises del este",#REF!,5,FALSE)</f>
        <v>#REF!</v>
      </c>
      <c r="H234" s="216" t="e">
        <f>VLOOKUP("paises del este",#REF!,4,FALSE)/VLOOKUP("paises del este",#REF!,4,FALSE)-1</f>
        <v>#REF!</v>
      </c>
      <c r="I234" s="217" t="e">
        <f>VLOOKUP("paises del este",#REF!,4,FALSE)</f>
        <v>#REF!</v>
      </c>
      <c r="J234" s="216" t="e">
        <f>VLOOKUP("paises del este",#REF!,3,FALSE)/VLOOKUP("paises del este",#REF!,3,FALSE)-1</f>
        <v>#REF!</v>
      </c>
      <c r="K234" s="217" t="e">
        <f>VLOOKUP("paises del este",#REF!,3,FALSE)</f>
        <v>#REF!</v>
      </c>
      <c r="L234" s="216" t="e">
        <f>VLOOKUP("paises del este",#REF!,2,FALSE)/VLOOKUP("paises del este",#REF!,2,FALSE)-1</f>
        <v>#REF!</v>
      </c>
      <c r="M234" s="217" t="e">
        <f>VLOOKUP("paises del este",#REF!,2,FALSE)</f>
        <v>#REF!</v>
      </c>
      <c r="N234" s="216" t="e">
        <f>VLOOKUP("paises del este",#REF!,7,FALSE)/VLOOKUP("paises del este",#REF!,7,FALSE)-1</f>
        <v>#REF!</v>
      </c>
      <c r="O234" s="217" t="e">
        <f>VLOOKUP("paises del este",#REF!,7,FALSE)</f>
        <v>#REF!</v>
      </c>
      <c r="P234" s="216" t="e">
        <f>VLOOKUP("paises del este",#REF!,8,FALSE)/VLOOKUP("paises del este",#REF!,8,FALSE)-1</f>
        <v>#REF!</v>
      </c>
      <c r="Q234" s="217" t="e">
        <f>VLOOKUP("paises del este",#REF!,8,FALSE)</f>
        <v>#REF!</v>
      </c>
    </row>
    <row r="235" spans="3:17" ht="24" hidden="1" customHeight="1" x14ac:dyDescent="0.2">
      <c r="C235" s="215" t="s">
        <v>57</v>
      </c>
      <c r="D235" s="216" t="e">
        <f>VLOOKUP("resto de europa",#REF!,6,FALSE)/VLOOKUP("resto de europa",#REF!,6,FALSE)-1</f>
        <v>#REF!</v>
      </c>
      <c r="E235" s="217" t="e">
        <f>VLOOKUP("resto de europa",#REF!,6,FALSE)</f>
        <v>#REF!</v>
      </c>
      <c r="F235" s="216" t="e">
        <f>VLOOKUP("resto de europa",#REF!,5,FALSE)/VLOOKUP("resto de europa",#REF!,5,FALSE)-1</f>
        <v>#REF!</v>
      </c>
      <c r="G235" s="217" t="e">
        <f>VLOOKUP("resto de europa",#REF!,5,FALSE)</f>
        <v>#REF!</v>
      </c>
      <c r="H235" s="216" t="e">
        <f>VLOOKUP("resto de europa",#REF!,4,FALSE)/VLOOKUP("resto de europa",#REF!,4,FALSE)-1</f>
        <v>#REF!</v>
      </c>
      <c r="I235" s="217" t="e">
        <f>VLOOKUP("resto de europa",#REF!,4,FALSE)</f>
        <v>#REF!</v>
      </c>
      <c r="J235" s="216" t="e">
        <f>VLOOKUP("resto de europa",#REF!,3,FALSE)/VLOOKUP("resto de europa",#REF!,3,FALSE)-1</f>
        <v>#REF!</v>
      </c>
      <c r="K235" s="217" t="e">
        <f>VLOOKUP("resto de europa",#REF!,3,FALSE)</f>
        <v>#REF!</v>
      </c>
      <c r="L235" s="216" t="e">
        <f>VLOOKUP("resto de europa",#REF!,2,FALSE)/VLOOKUP("resto de europa",#REF!,2,FALSE)-1</f>
        <v>#REF!</v>
      </c>
      <c r="M235" s="217" t="e">
        <f>VLOOKUP("resto de europa",#REF!,2,FALSE)</f>
        <v>#REF!</v>
      </c>
      <c r="N235" s="216" t="e">
        <f>VLOOKUP("resto de europa",#REF!,7,FALSE)/VLOOKUP("resto de europa",#REF!,7,FALSE)-1</f>
        <v>#REF!</v>
      </c>
      <c r="O235" s="217" t="e">
        <f>VLOOKUP("resto de europa",#REF!,7,FALSE)</f>
        <v>#REF!</v>
      </c>
      <c r="P235" s="216" t="e">
        <f>VLOOKUP("resto de europa",#REF!,8,FALSE)/VLOOKUP("resto de europa",#REF!,8,FALSE)-1</f>
        <v>#REF!</v>
      </c>
      <c r="Q235" s="217" t="e">
        <f>VLOOKUP("resto de europa",#REF!,8,FALSE)</f>
        <v>#REF!</v>
      </c>
    </row>
    <row r="236" spans="3:17" ht="24" hidden="1" customHeight="1" x14ac:dyDescent="0.2">
      <c r="C236" s="215" t="s">
        <v>58</v>
      </c>
      <c r="D236" s="216" t="e">
        <f>VLOOKUP("usa",#REF!,6,FALSE)/VLOOKUP("usa",#REF!,6,FALSE)-1</f>
        <v>#REF!</v>
      </c>
      <c r="E236" s="217" t="e">
        <f>VLOOKUP("usa",#REF!,6,FALSE)</f>
        <v>#REF!</v>
      </c>
      <c r="F236" s="216" t="e">
        <f>VLOOKUP("usa",#REF!,5,FALSE)/VLOOKUP("usa",#REF!,5,FALSE)-1</f>
        <v>#REF!</v>
      </c>
      <c r="G236" s="217" t="e">
        <f>VLOOKUP("usa",#REF!,5,FALSE)</f>
        <v>#REF!</v>
      </c>
      <c r="H236" s="216" t="e">
        <f>VLOOKUP("usa",#REF!,4,FALSE)/VLOOKUP("usa",#REF!,4,FALSE)-1</f>
        <v>#REF!</v>
      </c>
      <c r="I236" s="217" t="e">
        <f>VLOOKUP("usa",#REF!,4,FALSE)</f>
        <v>#REF!</v>
      </c>
      <c r="J236" s="216" t="e">
        <f>VLOOKUP("usa",#REF!,3,FALSE)/VLOOKUP("usa",#REF!,3,FALSE)-1</f>
        <v>#REF!</v>
      </c>
      <c r="K236" s="217" t="e">
        <f>VLOOKUP("usa",#REF!,3,FALSE)</f>
        <v>#REF!</v>
      </c>
      <c r="L236" s="216" t="e">
        <f>VLOOKUP("usa",#REF!,2,FALSE)/VLOOKUP("usa",#REF!,2,FALSE)-1</f>
        <v>#REF!</v>
      </c>
      <c r="M236" s="217" t="e">
        <f>VLOOKUP("usa",#REF!,2,FALSE)</f>
        <v>#REF!</v>
      </c>
      <c r="N236" s="216" t="e">
        <f>VLOOKUP("usa",#REF!,7,FALSE)/VLOOKUP("usa",#REF!,7,FALSE)-1</f>
        <v>#REF!</v>
      </c>
      <c r="O236" s="217" t="e">
        <f>VLOOKUP("usa",#REF!,7,FALSE)</f>
        <v>#REF!</v>
      </c>
      <c r="P236" s="216" t="e">
        <f>VLOOKUP("usa",#REF!,8,FALSE)/VLOOKUP("usa",#REF!,8,FALSE)-1</f>
        <v>#REF!</v>
      </c>
      <c r="Q236" s="217" t="e">
        <f>VLOOKUP("usa",#REF!,8,FALSE)</f>
        <v>#REF!</v>
      </c>
    </row>
    <row r="237" spans="3:17" ht="24" hidden="1" customHeight="1" x14ac:dyDescent="0.2">
      <c r="C237" s="215" t="s">
        <v>59</v>
      </c>
      <c r="D237" s="216" t="e">
        <f>VLOOKUP("resto de america",#REF!,6,FALSE)/VLOOKUP("resto de america",#REF!,6,FALSE)-1</f>
        <v>#REF!</v>
      </c>
      <c r="E237" s="217" t="e">
        <f>VLOOKUP("resto de america",#REF!,6,FALSE)</f>
        <v>#REF!</v>
      </c>
      <c r="F237" s="216" t="e">
        <f>VLOOKUP("resto de america",#REF!,5,FALSE)/VLOOKUP("resto de america",#REF!,5,FALSE)-1</f>
        <v>#REF!</v>
      </c>
      <c r="G237" s="217" t="e">
        <f>VLOOKUP("resto de america",#REF!,5,FALSE)</f>
        <v>#REF!</v>
      </c>
      <c r="H237" s="216" t="e">
        <f>VLOOKUP("resto de america",#REF!,4,FALSE)/VLOOKUP("resto de america",#REF!,4,FALSE)-1</f>
        <v>#REF!</v>
      </c>
      <c r="I237" s="217" t="e">
        <f>VLOOKUP("resto de america",#REF!,4,FALSE)</f>
        <v>#REF!</v>
      </c>
      <c r="J237" s="216" t="e">
        <f>VLOOKUP("resto de america",#REF!,3,FALSE)/VLOOKUP("resto de america",#REF!,3,FALSE)-1</f>
        <v>#REF!</v>
      </c>
      <c r="K237" s="217" t="e">
        <f>VLOOKUP("resto de america",#REF!,3,FALSE)</f>
        <v>#REF!</v>
      </c>
      <c r="L237" s="216" t="e">
        <f>VLOOKUP("resto de america",#REF!,2,FALSE)/VLOOKUP("resto de america",#REF!,2,FALSE)-1</f>
        <v>#REF!</v>
      </c>
      <c r="M237" s="217" t="e">
        <f>VLOOKUP("resto de america",#REF!,2,FALSE)</f>
        <v>#REF!</v>
      </c>
      <c r="N237" s="216" t="e">
        <f>VLOOKUP("resto de america",#REF!,7,FALSE)/VLOOKUP("resto de america",#REF!,7,FALSE)-1</f>
        <v>#REF!</v>
      </c>
      <c r="O237" s="217" t="e">
        <f>VLOOKUP("resto de america",#REF!,7,FALSE)</f>
        <v>#REF!</v>
      </c>
      <c r="P237" s="216" t="e">
        <f>VLOOKUP("resto de america",#REF!,8,FALSE)/VLOOKUP("resto de america",#REF!,8,FALSE)-1</f>
        <v>#REF!</v>
      </c>
      <c r="Q237" s="217" t="e">
        <f>VLOOKUP("resto de america",#REF!,8,FALSE)</f>
        <v>#REF!</v>
      </c>
    </row>
    <row r="238" spans="3:17" ht="24" hidden="1" customHeight="1" x14ac:dyDescent="0.2">
      <c r="C238" s="215" t="s">
        <v>60</v>
      </c>
      <c r="D238" s="216" t="e">
        <f>VLOOKUP("resto del mundo",#REF!,6,FALSE)/VLOOKUP("resto del mundo",#REF!,6,FALSE)-1</f>
        <v>#REF!</v>
      </c>
      <c r="E238" s="217" t="e">
        <f>VLOOKUP("resto del mundo",#REF!,6,FALSE)</f>
        <v>#REF!</v>
      </c>
      <c r="F238" s="216" t="e">
        <f>VLOOKUP("resto del mundo",#REF!,5,FALSE)/VLOOKUP("resto del mundo",#REF!,5,FALSE)-1</f>
        <v>#REF!</v>
      </c>
      <c r="G238" s="217" t="e">
        <f>VLOOKUP("resto del mundo",#REF!,5,FALSE)</f>
        <v>#REF!</v>
      </c>
      <c r="H238" s="216" t="e">
        <f>VLOOKUP("resto del mundo",#REF!,4,FALSE)/VLOOKUP("resto del mundo",#REF!,4,FALSE)-1</f>
        <v>#REF!</v>
      </c>
      <c r="I238" s="217" t="e">
        <f>VLOOKUP("resto del mundo",#REF!,4,FALSE)</f>
        <v>#REF!</v>
      </c>
      <c r="J238" s="216" t="e">
        <f>VLOOKUP("resto del mundo",#REF!,3,FALSE)/VLOOKUP("resto del mundo",#REF!,3,FALSE)-1</f>
        <v>#REF!</v>
      </c>
      <c r="K238" s="217" t="e">
        <f>VLOOKUP("resto del mundo",#REF!,3,FALSE)</f>
        <v>#REF!</v>
      </c>
      <c r="L238" s="216" t="e">
        <f>VLOOKUP("resto del mundo",#REF!,2,FALSE)/VLOOKUP("resto del mundo",#REF!,2,FALSE)-1</f>
        <v>#REF!</v>
      </c>
      <c r="M238" s="217" t="e">
        <f>VLOOKUP("resto del mundo",#REF!,2,FALSE)</f>
        <v>#REF!</v>
      </c>
      <c r="N238" s="216" t="e">
        <f>VLOOKUP("resto del mundo",#REF!,7,FALSE)/VLOOKUP("resto del mundo",#REF!,7,FALSE)-1</f>
        <v>#REF!</v>
      </c>
      <c r="O238" s="217" t="e">
        <f>VLOOKUP("resto del mundo",#REF!,7,FALSE)</f>
        <v>#REF!</v>
      </c>
      <c r="P238" s="216" t="e">
        <f>VLOOKUP("resto del mundo",#REF!,8,FALSE)/VLOOKUP("resto del mundo",#REF!,8,FALSE)-1</f>
        <v>#REF!</v>
      </c>
      <c r="Q238" s="217" t="e">
        <f>VLOOKUP("resto del mundo",#REF!,8,FALSE)</f>
        <v>#REF!</v>
      </c>
    </row>
    <row r="239" spans="3:17" ht="24" hidden="1" customHeight="1" x14ac:dyDescent="0.2">
      <c r="C239" s="215" t="s">
        <v>61</v>
      </c>
      <c r="D239" s="216" t="e">
        <f>(VLOOKUP("total",#REF!,6,FALSE)-VLOOKUP("españa",#REF!,6,FALSE))/(VLOOKUP("total",#REF!,6,FALSE)-VLOOKUP("españa",#REF!,6,FALSE))-1</f>
        <v>#REF!</v>
      </c>
      <c r="E239" s="217" t="e">
        <f>VLOOKUP("total",#REF!,6,FALSE)-VLOOKUP("españa",#REF!,6,FALSE)</f>
        <v>#REF!</v>
      </c>
      <c r="F239" s="216" t="e">
        <f>(VLOOKUP("total",#REF!,5,FALSE)-VLOOKUP("españa",#REF!,5,FALSE))/(VLOOKUP("total",#REF!,5,FALSE)-VLOOKUP("españa",#REF!,5,FALSE))-1</f>
        <v>#REF!</v>
      </c>
      <c r="G239" s="217" t="e">
        <f>VLOOKUP("total",#REF!,5,FALSE)-VLOOKUP("españa",#REF!,5,FALSE)</f>
        <v>#REF!</v>
      </c>
      <c r="H239" s="216" t="e">
        <f>(VLOOKUP("total",#REF!,4,FALSE)-VLOOKUP("españa",#REF!,4,FALSE))/(VLOOKUP("total",#REF!,4,FALSE)-VLOOKUP("españa",#REF!,4,FALSE))-1</f>
        <v>#REF!</v>
      </c>
      <c r="I239" s="217" t="e">
        <f>VLOOKUP("total",#REF!,4,FALSE)-VLOOKUP("españa",#REF!,4,FALSE)</f>
        <v>#REF!</v>
      </c>
      <c r="J239" s="216" t="e">
        <f>(VLOOKUP("total",#REF!,3,FALSE)-VLOOKUP("españa",#REF!,3,FALSE))/(VLOOKUP("total",#REF!,3,FALSE)-VLOOKUP("españa",#REF!,3,FALSE))-1</f>
        <v>#REF!</v>
      </c>
      <c r="K239" s="217" t="e">
        <f>VLOOKUP("total",#REF!,3,FALSE)-VLOOKUP("españa",#REF!,3,FALSE)</f>
        <v>#REF!</v>
      </c>
      <c r="L239" s="216" t="e">
        <f>(VLOOKUP("total",#REF!,2,FALSE)-VLOOKUP("españa",#REF!,2,FALSE))/(VLOOKUP("total",#REF!,2,FALSE)-VLOOKUP("españa",#REF!,2,FALSE))-1</f>
        <v>#REF!</v>
      </c>
      <c r="M239" s="217" t="e">
        <f>VLOOKUP("total",#REF!,2,FALSE)-VLOOKUP("españa",#REF!,2,FALSE)</f>
        <v>#REF!</v>
      </c>
      <c r="N239" s="216" t="e">
        <f>(VLOOKUP("total",#REF!,7,FALSE)-VLOOKUP("españa",#REF!,7,FALSE))/(VLOOKUP("total",#REF!,7,FALSE)-VLOOKUP("españa",#REF!,7,FALSE))-1</f>
        <v>#REF!</v>
      </c>
      <c r="O239" s="217" t="e">
        <f>VLOOKUP("total",#REF!,7,FALSE)-VLOOKUP("españa",#REF!,7,FALSE)</f>
        <v>#REF!</v>
      </c>
      <c r="P239" s="216" t="e">
        <f>(VLOOKUP("total",#REF!,8,FALSE)-VLOOKUP("españa",#REF!,8,FALSE))/(VLOOKUP("total",#REF!,8,FALSE)-VLOOKUP("españa",#REF!,8,FALSE))-1</f>
        <v>#REF!</v>
      </c>
      <c r="Q239" s="217" t="e">
        <f>VLOOKUP("total",#REF!,8,FALSE)-VLOOKUP("españa",#REF!,8,FALSE)</f>
        <v>#REF!</v>
      </c>
    </row>
    <row r="240" spans="3:17" ht="24" hidden="1" customHeight="1" x14ac:dyDescent="0.2">
      <c r="C240" s="215" t="s">
        <v>8</v>
      </c>
      <c r="D240" s="216" t="e">
        <f>VLOOKUP("total",#REF!,6,FALSE)/VLOOKUP("total",#REF!,6,FALSE)-1</f>
        <v>#REF!</v>
      </c>
      <c r="E240" s="217" t="e">
        <f>VLOOKUP("total",#REF!,6,FALSE)</f>
        <v>#REF!</v>
      </c>
      <c r="F240" s="216" t="e">
        <f>VLOOKUP("total",#REF!,5,FALSE)/VLOOKUP("total",#REF!,5,FALSE)-1</f>
        <v>#REF!</v>
      </c>
      <c r="G240" s="217" t="e">
        <f>VLOOKUP("total",#REF!,5,FALSE)</f>
        <v>#REF!</v>
      </c>
      <c r="H240" s="216" t="e">
        <f>VLOOKUP("total",#REF!,4,FALSE)/VLOOKUP("total",#REF!,4,FALSE)-1</f>
        <v>#REF!</v>
      </c>
      <c r="I240" s="217" t="e">
        <f>VLOOKUP("total",#REF!,4,FALSE)</f>
        <v>#REF!</v>
      </c>
      <c r="J240" s="216" t="e">
        <f>VLOOKUP("total",#REF!,3,FALSE)/VLOOKUP("total",#REF!,3,FALSE)-1</f>
        <v>#REF!</v>
      </c>
      <c r="K240" s="217" t="e">
        <f>VLOOKUP("total",#REF!,3,FALSE)</f>
        <v>#REF!</v>
      </c>
      <c r="L240" s="216" t="e">
        <f>VLOOKUP("total",#REF!,2,FALSE)/VLOOKUP("total",#REF!,2,FALSE)-1</f>
        <v>#REF!</v>
      </c>
      <c r="M240" s="217" t="e">
        <f>VLOOKUP("total",#REF!,2,FALSE)</f>
        <v>#REF!</v>
      </c>
      <c r="N240" s="216" t="e">
        <f>VLOOKUP("total",#REF!,7,FALSE)/VLOOKUP("total",#REF!,7,FALSE)-1</f>
        <v>#REF!</v>
      </c>
      <c r="O240" s="217" t="e">
        <f>VLOOKUP("total",#REF!,7,FALSE)</f>
        <v>#REF!</v>
      </c>
      <c r="P240" s="216" t="e">
        <f>VLOOKUP("total",#REF!,8,FALSE)/VLOOKUP("total",#REF!,8,FALSE)-1</f>
        <v>#REF!</v>
      </c>
      <c r="Q240" s="217" t="e">
        <f>VLOOKUP("total",#REF!,8,FALSE)</f>
        <v>#REF!</v>
      </c>
    </row>
    <row r="241" spans="3:13" ht="18" customHeight="1" thickBot="1" x14ac:dyDescent="0.25">
      <c r="C241" s="4"/>
    </row>
    <row r="242" spans="3:13" ht="50.25" customHeight="1" thickBot="1" x14ac:dyDescent="0.25">
      <c r="C242" s="2"/>
      <c r="D242" s="2"/>
      <c r="E242" s="3" t="str">
        <f>$E$1</f>
        <v>INDICADORES TURÍSTICOS DE TENERIFE definitivo</v>
      </c>
      <c r="F242" s="3"/>
      <c r="G242" s="3"/>
      <c r="H242" s="3"/>
      <c r="I242" s="3"/>
      <c r="J242" s="3"/>
      <c r="K242" s="3"/>
      <c r="L242" s="2"/>
      <c r="M242" s="2"/>
    </row>
    <row r="243" spans="3:13" ht="5.25" customHeight="1" thickBot="1" x14ac:dyDescent="0.25">
      <c r="C243" s="4"/>
    </row>
    <row r="244" spans="3:13" ht="28.5" customHeight="1" thickBot="1" x14ac:dyDescent="0.25">
      <c r="C244" s="222" t="s">
        <v>67</v>
      </c>
      <c r="D244" s="223"/>
      <c r="E244" s="223"/>
      <c r="F244" s="223"/>
      <c r="G244" s="223"/>
      <c r="H244" s="223"/>
      <c r="I244" s="223"/>
      <c r="J244" s="223"/>
      <c r="K244" s="223"/>
      <c r="L244" s="223"/>
      <c r="M244" s="224"/>
    </row>
    <row r="245" spans="3:13" ht="5.25" customHeight="1" thickBot="1" x14ac:dyDescent="0.25">
      <c r="C245" s="225"/>
      <c r="D245" s="226"/>
      <c r="E245" s="226"/>
      <c r="F245" s="226"/>
      <c r="G245" s="227"/>
      <c r="H245" s="227"/>
      <c r="I245" s="227"/>
      <c r="J245" s="226"/>
      <c r="K245" s="226"/>
      <c r="L245" s="226"/>
      <c r="M245" s="228"/>
    </row>
    <row r="246" spans="3:13" ht="32.25" customHeight="1" thickTop="1" thickBot="1" x14ac:dyDescent="0.25">
      <c r="C246" s="175"/>
      <c r="D246" s="176" t="s">
        <v>7</v>
      </c>
      <c r="E246" s="177"/>
      <c r="F246" s="176" t="s">
        <v>30</v>
      </c>
      <c r="G246" s="177"/>
      <c r="H246" s="176" t="s">
        <v>31</v>
      </c>
      <c r="I246" s="177"/>
      <c r="J246" s="176" t="s">
        <v>32</v>
      </c>
      <c r="K246" s="177"/>
      <c r="L246" s="176" t="s">
        <v>33</v>
      </c>
      <c r="M246" s="229"/>
    </row>
    <row r="247" spans="3:13" ht="31.5" customHeight="1" thickBot="1" x14ac:dyDescent="0.25">
      <c r="C247" s="178"/>
      <c r="D247" s="230" t="s">
        <v>68</v>
      </c>
      <c r="E247" s="231" t="s">
        <v>69</v>
      </c>
      <c r="F247" s="230" t="s">
        <v>68</v>
      </c>
      <c r="G247" s="231" t="s">
        <v>69</v>
      </c>
      <c r="H247" s="230" t="s">
        <v>68</v>
      </c>
      <c r="I247" s="231" t="s">
        <v>69</v>
      </c>
      <c r="J247" s="230" t="s">
        <v>68</v>
      </c>
      <c r="K247" s="231" t="s">
        <v>69</v>
      </c>
      <c r="L247" s="230" t="s">
        <v>68</v>
      </c>
      <c r="M247" s="232" t="s">
        <v>69</v>
      </c>
    </row>
    <row r="248" spans="3:13" ht="18.75" thickBot="1" x14ac:dyDescent="0.25">
      <c r="C248" s="181" t="s">
        <v>36</v>
      </c>
      <c r="D248" s="233">
        <v>0.28066540499767534</v>
      </c>
      <c r="E248" s="234">
        <v>0.21286855055491169</v>
      </c>
      <c r="F248" s="233">
        <v>0.78675692828432409</v>
      </c>
      <c r="G248" s="234">
        <v>0.70474472668971389</v>
      </c>
      <c r="H248" s="233">
        <v>0.73101391650099401</v>
      </c>
      <c r="I248" s="234">
        <v>0.49686328237669453</v>
      </c>
      <c r="J248" s="233">
        <v>0.53877132469469557</v>
      </c>
      <c r="K248" s="234">
        <v>0.45879439460696647</v>
      </c>
      <c r="L248" s="233">
        <v>0.17858314413164822</v>
      </c>
      <c r="M248" s="235">
        <v>0.12108538581294159</v>
      </c>
    </row>
    <row r="249" spans="3:13" ht="26.25" thickBot="1" x14ac:dyDescent="0.25">
      <c r="C249" s="236" t="s">
        <v>70</v>
      </c>
      <c r="D249" s="237">
        <v>8.278894116980938E-2</v>
      </c>
      <c r="E249" s="238">
        <v>5.5887518814597678E-2</v>
      </c>
      <c r="F249" s="237"/>
      <c r="G249" s="238"/>
      <c r="H249" s="237"/>
      <c r="I249" s="238"/>
      <c r="J249" s="237"/>
      <c r="K249" s="238"/>
      <c r="L249" s="237"/>
      <c r="M249" s="239"/>
    </row>
    <row r="250" spans="3:13" ht="26.25" thickBot="1" x14ac:dyDescent="0.25">
      <c r="C250" s="236" t="s">
        <v>39</v>
      </c>
      <c r="D250" s="237">
        <v>3.9393077703741196E-2</v>
      </c>
      <c r="E250" s="238">
        <v>2.5767749759262486E-2</v>
      </c>
      <c r="F250" s="237"/>
      <c r="G250" s="238"/>
      <c r="H250" s="237"/>
      <c r="I250" s="238"/>
      <c r="J250" s="237"/>
      <c r="K250" s="238"/>
      <c r="L250" s="237"/>
      <c r="M250" s="239"/>
    </row>
    <row r="251" spans="3:13" ht="18.75" thickBot="1" x14ac:dyDescent="0.25">
      <c r="C251" s="236" t="s">
        <v>40</v>
      </c>
      <c r="D251" s="237">
        <v>0.15848338612412477</v>
      </c>
      <c r="E251" s="238">
        <v>0.13121328198103871</v>
      </c>
      <c r="F251" s="237"/>
      <c r="G251" s="238"/>
      <c r="H251" s="237"/>
      <c r="I251" s="238"/>
      <c r="J251" s="237"/>
      <c r="K251" s="238"/>
      <c r="L251" s="237"/>
      <c r="M251" s="239"/>
    </row>
    <row r="252" spans="3:13" ht="18.75" thickBot="1" x14ac:dyDescent="0.25">
      <c r="C252" s="240" t="s">
        <v>41</v>
      </c>
      <c r="D252" s="241">
        <v>3.4115220859593988E-2</v>
      </c>
      <c r="E252" s="242">
        <v>2.9368753830377244E-2</v>
      </c>
      <c r="F252" s="241">
        <v>4.4954516606727311E-3</v>
      </c>
      <c r="G252" s="242">
        <v>7.3364683315081634E-3</v>
      </c>
      <c r="H252" s="241">
        <v>1.0934393638170975E-2</v>
      </c>
      <c r="I252" s="242">
        <v>2.21012402653591E-2</v>
      </c>
      <c r="J252" s="241">
        <v>1.7246201174606134E-2</v>
      </c>
      <c r="K252" s="242">
        <v>1.2338986095584238E-2</v>
      </c>
      <c r="L252" s="241">
        <v>4.0536945342022401E-2</v>
      </c>
      <c r="M252" s="243">
        <v>3.4916370603967906E-2</v>
      </c>
    </row>
    <row r="253" spans="3:13" ht="24" customHeight="1" thickBot="1" x14ac:dyDescent="0.25">
      <c r="C253" s="244" t="s">
        <v>42</v>
      </c>
      <c r="D253" s="237">
        <v>2.9363705988683562E-2</v>
      </c>
      <c r="E253" s="238">
        <v>2.7904260289682709E-2</v>
      </c>
      <c r="F253" s="237">
        <v>7.9331499894224663E-3</v>
      </c>
      <c r="G253" s="238">
        <v>7.1145848990430381E-3</v>
      </c>
      <c r="H253" s="237">
        <v>1.1928429423459244E-2</v>
      </c>
      <c r="I253" s="238">
        <v>1.434958177098356E-2</v>
      </c>
      <c r="J253" s="237">
        <v>1.1242658711662161E-2</v>
      </c>
      <c r="K253" s="238">
        <v>9.901021859878005E-3</v>
      </c>
      <c r="L253" s="237">
        <v>3.5657737380312179E-2</v>
      </c>
      <c r="M253" s="239">
        <v>3.3694463294878449E-2</v>
      </c>
    </row>
    <row r="254" spans="3:13" ht="24" customHeight="1" thickBot="1" x14ac:dyDescent="0.25">
      <c r="C254" s="240" t="s">
        <v>43</v>
      </c>
      <c r="D254" s="241">
        <v>8.6898898643995207E-2</v>
      </c>
      <c r="E254" s="242">
        <v>0.107364336381454</v>
      </c>
      <c r="F254" s="241">
        <v>1.9727099640363868E-2</v>
      </c>
      <c r="G254" s="242">
        <v>3.3146521798257854E-2</v>
      </c>
      <c r="H254" s="241">
        <v>7.0377733598409542E-2</v>
      </c>
      <c r="I254" s="242">
        <v>0.19555811941159504</v>
      </c>
      <c r="J254" s="241">
        <v>0.14382399552530997</v>
      </c>
      <c r="K254" s="242">
        <v>0.20914525294680908</v>
      </c>
      <c r="L254" s="241">
        <v>7.4621661203710166E-2</v>
      </c>
      <c r="M254" s="243">
        <v>8.5195800566843644E-2</v>
      </c>
    </row>
    <row r="255" spans="3:13" ht="24" customHeight="1" thickBot="1" x14ac:dyDescent="0.25">
      <c r="C255" s="244" t="s">
        <v>44</v>
      </c>
      <c r="D255" s="237">
        <v>3.243685385281686E-2</v>
      </c>
      <c r="E255" s="238">
        <v>3.3809564262352779E-2</v>
      </c>
      <c r="F255" s="237">
        <v>2.6338057964882589E-2</v>
      </c>
      <c r="G255" s="238">
        <v>2.6461388703986028E-2</v>
      </c>
      <c r="H255" s="237">
        <v>4.4930417495029823E-2</v>
      </c>
      <c r="I255" s="238">
        <v>7.7805018748197285E-2</v>
      </c>
      <c r="J255" s="237">
        <v>3.6552624219259811E-2</v>
      </c>
      <c r="K255" s="238">
        <v>3.4065738422476746E-2</v>
      </c>
      <c r="L255" s="237">
        <v>3.1432017832743124E-2</v>
      </c>
      <c r="M255" s="239">
        <v>3.3668516226897129E-2</v>
      </c>
    </row>
    <row r="256" spans="3:13" ht="24" customHeight="1" thickBot="1" x14ac:dyDescent="0.25">
      <c r="C256" s="240" t="s">
        <v>45</v>
      </c>
      <c r="D256" s="241">
        <v>0.36254270672369254</v>
      </c>
      <c r="E256" s="242">
        <v>0.36547320708005415</v>
      </c>
      <c r="F256" s="241">
        <v>2.9035328961286227E-2</v>
      </c>
      <c r="G256" s="242">
        <v>4.5156857271692684E-2</v>
      </c>
      <c r="H256" s="241">
        <v>2.0874751491053677E-2</v>
      </c>
      <c r="I256" s="242">
        <v>5.054802422843957E-2</v>
      </c>
      <c r="J256" s="241">
        <v>0.10245175724806563</v>
      </c>
      <c r="K256" s="242">
        <v>0.10010890642868714</v>
      </c>
      <c r="L256" s="241">
        <v>0.45533419604135833</v>
      </c>
      <c r="M256" s="243">
        <v>0.45286854816175004</v>
      </c>
    </row>
    <row r="257" spans="3:13" ht="24" customHeight="1" thickBot="1" x14ac:dyDescent="0.25">
      <c r="C257" s="244" t="s">
        <v>46</v>
      </c>
      <c r="D257" s="237">
        <v>2.2420668221567595E-2</v>
      </c>
      <c r="E257" s="238">
        <v>1.8589693023707381E-2</v>
      </c>
      <c r="F257" s="237">
        <v>3.4905859953458852E-3</v>
      </c>
      <c r="G257" s="238">
        <v>4.8384903337556273E-3</v>
      </c>
      <c r="H257" s="237">
        <v>4.970178926441352E-3</v>
      </c>
      <c r="I257" s="238">
        <v>4.7231035477357944E-3</v>
      </c>
      <c r="J257" s="237">
        <v>9.5646499487275095E-3</v>
      </c>
      <c r="K257" s="238">
        <v>6.2216205725687318E-3</v>
      </c>
      <c r="L257" s="237">
        <v>2.7133975456731577E-2</v>
      </c>
      <c r="M257" s="239">
        <v>2.2588319827551794E-2</v>
      </c>
    </row>
    <row r="258" spans="3:13" ht="24" customHeight="1" thickBot="1" x14ac:dyDescent="0.25">
      <c r="C258" s="240" t="s">
        <v>47</v>
      </c>
      <c r="D258" s="241">
        <v>2.2088853135170276E-2</v>
      </c>
      <c r="E258" s="242">
        <v>2.6417315428911233E-2</v>
      </c>
      <c r="F258" s="241">
        <v>2.5386079966151893E-2</v>
      </c>
      <c r="G258" s="242">
        <v>3.0483920608676357E-2</v>
      </c>
      <c r="H258" s="241">
        <v>2.6640159045725646E-2</v>
      </c>
      <c r="I258" s="242">
        <v>2.8518892414190943E-2</v>
      </c>
      <c r="J258" s="241">
        <v>1.6295329542276499E-2</v>
      </c>
      <c r="K258" s="242">
        <v>1.5327096208163651E-2</v>
      </c>
      <c r="L258" s="241">
        <v>2.3473923745909241E-2</v>
      </c>
      <c r="M258" s="243">
        <v>2.8927388128218434E-2</v>
      </c>
    </row>
    <row r="259" spans="3:13" ht="24" customHeight="1" thickBot="1" x14ac:dyDescent="0.25">
      <c r="C259" s="244" t="s">
        <v>48</v>
      </c>
      <c r="D259" s="237">
        <v>1.3770326085488685E-2</v>
      </c>
      <c r="E259" s="238">
        <v>7.423680681549262E-2</v>
      </c>
      <c r="F259" s="237">
        <v>7.5629363232494178E-3</v>
      </c>
      <c r="G259" s="238">
        <v>3.7297889244379545E-2</v>
      </c>
      <c r="H259" s="237">
        <v>6.5606361829025845E-3</v>
      </c>
      <c r="I259" s="238">
        <v>1.2366599365445631E-2</v>
      </c>
      <c r="J259" s="237">
        <v>8.9959914235107682E-3</v>
      </c>
      <c r="K259" s="238">
        <v>5.7102896526061354E-2</v>
      </c>
      <c r="L259" s="237">
        <v>1.5490000077488743E-2</v>
      </c>
      <c r="M259" s="239">
        <v>8.1246257634425764E-2</v>
      </c>
    </row>
    <row r="260" spans="3:13" ht="24" customHeight="1" thickBot="1" x14ac:dyDescent="0.25">
      <c r="C260" s="245" t="s">
        <v>49</v>
      </c>
      <c r="D260" s="241">
        <v>3.4088212654887233E-3</v>
      </c>
      <c r="E260" s="242">
        <v>2.6737701834333528E-2</v>
      </c>
      <c r="F260" s="241">
        <v>2.4328326634228898E-3</v>
      </c>
      <c r="G260" s="242">
        <v>1.3864135764030549E-2</v>
      </c>
      <c r="H260" s="241">
        <v>2.5844930417495029E-3</v>
      </c>
      <c r="I260" s="242">
        <v>4.1822901644072681E-3</v>
      </c>
      <c r="J260" s="241">
        <v>2.4144681644448587E-3</v>
      </c>
      <c r="K260" s="242">
        <v>1.6228501405839243E-2</v>
      </c>
      <c r="L260" s="241">
        <v>3.7427063718994814E-3</v>
      </c>
      <c r="M260" s="243">
        <v>3.0320945271645843E-2</v>
      </c>
    </row>
    <row r="261" spans="3:13" ht="24" customHeight="1" thickBot="1" x14ac:dyDescent="0.25">
      <c r="C261" s="236" t="s">
        <v>50</v>
      </c>
      <c r="D261" s="237">
        <v>4.7939563354496189E-3</v>
      </c>
      <c r="E261" s="238">
        <v>1.3401314312413154E-2</v>
      </c>
      <c r="F261" s="237">
        <v>2.8559339961920882E-3</v>
      </c>
      <c r="G261" s="238">
        <v>9.0328029603544413E-3</v>
      </c>
      <c r="H261" s="237">
        <v>3.1809145129224653E-3</v>
      </c>
      <c r="I261" s="238">
        <v>2.0190366310931639E-3</v>
      </c>
      <c r="J261" s="237">
        <v>2.2839563717721636E-3</v>
      </c>
      <c r="K261" s="238">
        <v>6.90649605194147E-3</v>
      </c>
      <c r="L261" s="237">
        <v>5.6050192042939101E-3</v>
      </c>
      <c r="M261" s="239">
        <v>1.5387409684244142E-2</v>
      </c>
    </row>
    <row r="262" spans="3:13" ht="24" customHeight="1" thickBot="1" x14ac:dyDescent="0.25">
      <c r="C262" s="245" t="s">
        <v>51</v>
      </c>
      <c r="D262" s="241">
        <v>5.0428176502476073E-3</v>
      </c>
      <c r="E262" s="242">
        <v>1.7909478704619512E-2</v>
      </c>
      <c r="F262" s="241">
        <v>1.3221916649037444E-3</v>
      </c>
      <c r="G262" s="242">
        <v>6.2699963496596596E-3</v>
      </c>
      <c r="H262" s="241">
        <v>5.9642147117296227E-4</v>
      </c>
      <c r="I262" s="242">
        <v>4.5428324199596193E-3</v>
      </c>
      <c r="J262" s="241">
        <v>3.9060315092756598E-3</v>
      </c>
      <c r="K262" s="242">
        <v>1.0630807206750595E-2</v>
      </c>
      <c r="L262" s="241">
        <v>5.597270329817927E-3</v>
      </c>
      <c r="M262" s="243">
        <v>2.0518142988303859E-2</v>
      </c>
    </row>
    <row r="263" spans="3:13" ht="24" customHeight="1" thickBot="1" x14ac:dyDescent="0.25">
      <c r="C263" s="236" t="s">
        <v>52</v>
      </c>
      <c r="D263" s="237">
        <v>5.2473083430273492E-4</v>
      </c>
      <c r="E263" s="238">
        <v>1.6188311964126432E-2</v>
      </c>
      <c r="F263" s="237">
        <v>9.5197799873069603E-4</v>
      </c>
      <c r="G263" s="238">
        <v>8.1309541703349017E-3</v>
      </c>
      <c r="H263" s="237">
        <v>1.9880715705765408E-4</v>
      </c>
      <c r="I263" s="238">
        <v>1.6224401499855784E-3</v>
      </c>
      <c r="J263" s="237">
        <v>3.9153537801808519E-4</v>
      </c>
      <c r="K263" s="238">
        <v>2.3337091861530046E-2</v>
      </c>
      <c r="L263" s="237">
        <v>5.450041714774262E-4</v>
      </c>
      <c r="M263" s="239">
        <v>1.5019759690231926E-2</v>
      </c>
    </row>
    <row r="264" spans="3:13" ht="24" customHeight="1" thickBot="1" x14ac:dyDescent="0.25">
      <c r="C264" s="240" t="s">
        <v>53</v>
      </c>
      <c r="D264" s="241">
        <v>1.0326779985376986E-2</v>
      </c>
      <c r="E264" s="242">
        <v>9.4635348086480053E-3</v>
      </c>
      <c r="F264" s="241">
        <v>3.7550243283266341E-3</v>
      </c>
      <c r="G264" s="242">
        <v>5.6544487628209256E-3</v>
      </c>
      <c r="H264" s="241">
        <v>1.0934393638170975E-2</v>
      </c>
      <c r="I264" s="242">
        <v>1.9216902220940295E-2</v>
      </c>
      <c r="J264" s="241">
        <v>8.3247879183369067E-3</v>
      </c>
      <c r="K264" s="242">
        <v>9.0060323575595329E-3</v>
      </c>
      <c r="L264" s="241">
        <v>1.1194540659635854E-2</v>
      </c>
      <c r="M264" s="243">
        <v>9.6818490279829156E-3</v>
      </c>
    </row>
    <row r="265" spans="3:13" ht="24" customHeight="1" thickBot="1" x14ac:dyDescent="0.25">
      <c r="C265" s="244" t="s">
        <v>54</v>
      </c>
      <c r="D265" s="237">
        <v>6.4433859800409367E-3</v>
      </c>
      <c r="E265" s="238">
        <v>6.2353990570445566E-3</v>
      </c>
      <c r="F265" s="237">
        <v>1.1106409985191454E-3</v>
      </c>
      <c r="G265" s="238">
        <v>2.7055463700586201E-3</v>
      </c>
      <c r="H265" s="237">
        <v>4.970178926441352E-3</v>
      </c>
      <c r="I265" s="238">
        <v>1.0924430343236226E-2</v>
      </c>
      <c r="J265" s="237">
        <v>6.5722009881607158E-3</v>
      </c>
      <c r="K265" s="238">
        <v>7.4774929387252977E-3</v>
      </c>
      <c r="L265" s="237">
        <v>6.6872786727727798E-3</v>
      </c>
      <c r="M265" s="239">
        <v>6.0712147219671867E-3</v>
      </c>
    </row>
    <row r="266" spans="3:13" ht="24" customHeight="1" thickBot="1" x14ac:dyDescent="0.25">
      <c r="C266" s="240" t="s">
        <v>55</v>
      </c>
      <c r="D266" s="241">
        <v>1.6004290446233416E-2</v>
      </c>
      <c r="E266" s="242">
        <v>1.5159798787628716E-2</v>
      </c>
      <c r="F266" s="241">
        <v>4.1781256610958321E-3</v>
      </c>
      <c r="G266" s="242">
        <v>6.9571192372935948E-3</v>
      </c>
      <c r="H266" s="241">
        <v>9.9403578528827028E-4</v>
      </c>
      <c r="I266" s="242">
        <v>4.9394289010672053E-3</v>
      </c>
      <c r="J266" s="241">
        <v>8.8375128181224939E-3</v>
      </c>
      <c r="K266" s="242">
        <v>7.9795211004200679E-3</v>
      </c>
      <c r="L266" s="241">
        <v>1.8762608064511962E-2</v>
      </c>
      <c r="M266" s="243">
        <v>1.7517464372679734E-2</v>
      </c>
    </row>
    <row r="267" spans="3:13" ht="24" customHeight="1" thickBot="1" x14ac:dyDescent="0.25">
      <c r="C267" s="244" t="s">
        <v>56</v>
      </c>
      <c r="D267" s="237">
        <v>2.9359847673725455E-2</v>
      </c>
      <c r="E267" s="238">
        <v>2.6427024107863423E-2</v>
      </c>
      <c r="F267" s="237">
        <v>6.9811719906917704E-3</v>
      </c>
      <c r="G267" s="238">
        <v>1.0714822529041679E-2</v>
      </c>
      <c r="H267" s="237">
        <v>7.5546719681908545E-3</v>
      </c>
      <c r="I267" s="238">
        <v>7.9679838477069512E-3</v>
      </c>
      <c r="J267" s="237">
        <v>2.6782884310618066E-2</v>
      </c>
      <c r="K267" s="238">
        <v>1.9607968935203082E-2</v>
      </c>
      <c r="L267" s="237">
        <v>3.1450098539853755E-2</v>
      </c>
      <c r="M267" s="239">
        <v>2.9204822162787913E-2</v>
      </c>
    </row>
    <row r="268" spans="3:13" ht="24" customHeight="1" thickBot="1" x14ac:dyDescent="0.25">
      <c r="C268" s="240" t="s">
        <v>57</v>
      </c>
      <c r="D268" s="241">
        <v>3.3833563867652079E-2</v>
      </c>
      <c r="E268" s="242">
        <v>2.8475251970558432E-2</v>
      </c>
      <c r="F268" s="241">
        <v>1.8034694309287076E-2</v>
      </c>
      <c r="G268" s="242">
        <v>2.6862210388439157E-2</v>
      </c>
      <c r="H268" s="241">
        <v>1.6500994035785289E-2</v>
      </c>
      <c r="I268" s="242">
        <v>1.4241419094317854E-2</v>
      </c>
      <c r="J268" s="241">
        <v>4.5082502097510954E-2</v>
      </c>
      <c r="K268" s="242">
        <v>3.4878927808991919E-2</v>
      </c>
      <c r="L268" s="241">
        <v>3.1713560272037151E-2</v>
      </c>
      <c r="M268" s="243">
        <v>2.7129056724282462E-2</v>
      </c>
    </row>
    <row r="269" spans="3:13" ht="24" customHeight="1" thickBot="1" x14ac:dyDescent="0.25">
      <c r="C269" s="244" t="s">
        <v>58</v>
      </c>
      <c r="D269" s="237">
        <v>3.7637862416346909E-3</v>
      </c>
      <c r="E269" s="238">
        <v>3.8370519596361671E-3</v>
      </c>
      <c r="F269" s="237">
        <v>1.3221916649037444E-2</v>
      </c>
      <c r="G269" s="238">
        <v>1.1380472826437053E-2</v>
      </c>
      <c r="H269" s="237">
        <v>1.0934393638170975E-2</v>
      </c>
      <c r="I269" s="238">
        <v>1.4457744447649265E-2</v>
      </c>
      <c r="J269" s="237">
        <v>3.0204157732823715E-3</v>
      </c>
      <c r="K269" s="238">
        <v>3.2832320990070106E-3</v>
      </c>
      <c r="L269" s="237">
        <v>3.4146706857495616E-3</v>
      </c>
      <c r="M269" s="239">
        <v>3.436589357710271E-3</v>
      </c>
    </row>
    <row r="270" spans="3:13" ht="24" customHeight="1" thickBot="1" x14ac:dyDescent="0.25">
      <c r="C270" s="240" t="s">
        <v>59</v>
      </c>
      <c r="D270" s="241">
        <v>3.3625214859914231E-3</v>
      </c>
      <c r="E270" s="242">
        <v>3.2927591458789692E-3</v>
      </c>
      <c r="F270" s="241">
        <v>2.4962978633382694E-2</v>
      </c>
      <c r="G270" s="242">
        <v>1.6877455927508535E-2</v>
      </c>
      <c r="H270" s="241">
        <v>1.1530815109343936E-2</v>
      </c>
      <c r="I270" s="242">
        <v>9.4822613210268237E-3</v>
      </c>
      <c r="J270" s="241">
        <v>3.5517852148783443E-3</v>
      </c>
      <c r="K270" s="242">
        <v>3.7932798798981831E-3</v>
      </c>
      <c r="L270" s="241">
        <v>2.1490211880057755E-3</v>
      </c>
      <c r="M270" s="243">
        <v>2.3420222745598978E-3</v>
      </c>
    </row>
    <row r="271" spans="3:13" ht="24" customHeight="1" thickBot="1" x14ac:dyDescent="0.25">
      <c r="C271" s="244" t="s">
        <v>60</v>
      </c>
      <c r="D271" s="237">
        <v>1.2603185810660909E-2</v>
      </c>
      <c r="E271" s="238">
        <v>1.1076692495797963E-2</v>
      </c>
      <c r="F271" s="237">
        <v>1.7029828643960229E-2</v>
      </c>
      <c r="G271" s="238">
        <v>2.2267076077387215E-2</v>
      </c>
      <c r="H271" s="237">
        <v>8.3499005964214716E-3</v>
      </c>
      <c r="I271" s="238">
        <v>1.5935967695413902E-2</v>
      </c>
      <c r="J271" s="237">
        <v>1.2883378390976042E-2</v>
      </c>
      <c r="K271" s="238">
        <v>1.0967631212999481E-2</v>
      </c>
      <c r="L271" s="237">
        <v>1.2364620705509191E-2</v>
      </c>
      <c r="M271" s="239">
        <v>1.0425931100554868E-2</v>
      </c>
    </row>
    <row r="272" spans="3:13" ht="30.75" customHeight="1" thickBot="1" x14ac:dyDescent="0.25">
      <c r="C272" s="246" t="s">
        <v>61</v>
      </c>
      <c r="D272" s="247">
        <v>0.71933459500232466</v>
      </c>
      <c r="E272" s="248">
        <v>0.78713144944508828</v>
      </c>
      <c r="F272" s="247">
        <v>0.21324307171567591</v>
      </c>
      <c r="G272" s="248">
        <v>0.29525527331028611</v>
      </c>
      <c r="H272" s="247">
        <v>0.26898608349900599</v>
      </c>
      <c r="I272" s="248">
        <v>0.50313671762330547</v>
      </c>
      <c r="J272" s="247">
        <v>0.46122867530530443</v>
      </c>
      <c r="K272" s="248">
        <v>0.54120560539303353</v>
      </c>
      <c r="L272" s="247">
        <v>0.82141685586835178</v>
      </c>
      <c r="M272" s="249">
        <v>0.87891461418705841</v>
      </c>
    </row>
    <row r="273" spans="3:18" ht="24" customHeight="1" thickBot="1" x14ac:dyDescent="0.25">
      <c r="C273" s="250" t="s">
        <v>8</v>
      </c>
      <c r="D273" s="251">
        <v>1</v>
      </c>
      <c r="E273" s="252">
        <v>1</v>
      </c>
      <c r="F273" s="251">
        <v>1</v>
      </c>
      <c r="G273" s="252">
        <v>1</v>
      </c>
      <c r="H273" s="251">
        <v>1</v>
      </c>
      <c r="I273" s="252">
        <v>1</v>
      </c>
      <c r="J273" s="251">
        <v>1</v>
      </c>
      <c r="K273" s="252">
        <v>1</v>
      </c>
      <c r="L273" s="251">
        <v>1</v>
      </c>
      <c r="M273" s="253">
        <v>1</v>
      </c>
    </row>
    <row r="274" spans="3:18" ht="18" customHeight="1" x14ac:dyDescent="0.2">
      <c r="C274" s="254"/>
      <c r="D274" s="255"/>
      <c r="E274" s="256"/>
      <c r="F274" s="255"/>
      <c r="G274" s="256"/>
      <c r="H274" s="255"/>
      <c r="I274" s="256"/>
      <c r="J274" s="255"/>
      <c r="K274" s="256"/>
      <c r="L274" s="255"/>
      <c r="M274" s="256"/>
      <c r="N274" s="257"/>
    </row>
    <row r="275" spans="3:18" ht="5.25" customHeight="1" thickBot="1" x14ac:dyDescent="0.25"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</row>
    <row r="276" spans="3:18" ht="20.100000000000001" customHeight="1" thickBot="1" x14ac:dyDescent="0.25">
      <c r="C276" s="27" t="s">
        <v>71</v>
      </c>
      <c r="D276" s="28"/>
      <c r="E276" s="28"/>
      <c r="F276" s="28"/>
      <c r="G276" s="28"/>
      <c r="H276" s="28"/>
      <c r="I276" s="28"/>
      <c r="J276" s="28"/>
      <c r="K276" s="28"/>
      <c r="L276" s="28"/>
      <c r="M276" s="29"/>
    </row>
    <row r="277" spans="3:18" ht="5.25" customHeight="1" x14ac:dyDescent="0.2"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151"/>
    </row>
    <row r="278" spans="3:18" ht="45.75" customHeight="1" x14ac:dyDescent="0.2">
      <c r="C278" s="258" t="s">
        <v>7</v>
      </c>
      <c r="D278" s="259" t="s">
        <v>72</v>
      </c>
      <c r="E278" s="260" t="s">
        <v>73</v>
      </c>
      <c r="F278" s="261">
        <v>1060.9774339162589</v>
      </c>
      <c r="G278" s="262" t="s">
        <v>96</v>
      </c>
      <c r="H278" s="263"/>
      <c r="I278" s="263"/>
      <c r="J278" s="263"/>
      <c r="K278" s="263"/>
      <c r="L278" s="264"/>
      <c r="M278" s="265" t="s">
        <v>97</v>
      </c>
      <c r="O278" s="145"/>
      <c r="R278" s="145"/>
    </row>
    <row r="279" spans="3:18" ht="45.75" customHeight="1" x14ac:dyDescent="0.2">
      <c r="C279" s="258"/>
      <c r="D279" s="266"/>
      <c r="E279" s="267" t="s">
        <v>74</v>
      </c>
      <c r="F279" s="268">
        <v>688.84519020018081</v>
      </c>
      <c r="G279" s="262" t="str">
        <f>CONCATENATE("El gasto medio por turista en origen se situó en ",FIXED(F279,0),"€.")</f>
        <v>El gasto medio por turista en origen se situó en 689€.</v>
      </c>
      <c r="H279" s="263"/>
      <c r="I279" s="263"/>
      <c r="J279" s="263"/>
      <c r="K279" s="263"/>
      <c r="L279" s="264"/>
      <c r="M279" s="265"/>
      <c r="O279" s="145"/>
      <c r="R279" s="145"/>
    </row>
    <row r="280" spans="3:18" ht="45.75" customHeight="1" thickBot="1" x14ac:dyDescent="0.25">
      <c r="C280" s="258"/>
      <c r="D280" s="269"/>
      <c r="E280" s="270" t="s">
        <v>75</v>
      </c>
      <c r="F280" s="271">
        <v>377.76406870126056</v>
      </c>
      <c r="G280" s="262" t="str">
        <f>CONCATENATE("El gasto medio por turista en destino ascendió a ",FIXED(F280,0),"€. ")</f>
        <v xml:space="preserve">El gasto medio por turista en destino ascendió a 378€. </v>
      </c>
      <c r="H280" s="263"/>
      <c r="I280" s="263"/>
      <c r="J280" s="263"/>
      <c r="K280" s="263"/>
      <c r="L280" s="264"/>
      <c r="M280" s="265"/>
      <c r="O280" s="145"/>
      <c r="R280" s="145"/>
    </row>
    <row r="281" spans="3:18" ht="45.75" customHeight="1" thickTop="1" x14ac:dyDescent="0.2">
      <c r="C281" s="258"/>
      <c r="D281" s="272" t="s">
        <v>76</v>
      </c>
      <c r="E281" s="273" t="s">
        <v>73</v>
      </c>
      <c r="F281" s="274">
        <v>117.20005759920436</v>
      </c>
      <c r="G281" s="275" t="str">
        <f>CONCATENATE("El gasto total diario por turista se situó en ",FIXED(F281,0),"€.")</f>
        <v>El gasto total diario por turista se situó en 117€.</v>
      </c>
      <c r="H281" s="276"/>
      <c r="I281" s="276"/>
      <c r="J281" s="276"/>
      <c r="K281" s="276"/>
      <c r="L281" s="277"/>
      <c r="M281" s="265"/>
      <c r="O281" s="145"/>
      <c r="R281" s="145"/>
    </row>
    <row r="282" spans="3:18" ht="45.75" customHeight="1" x14ac:dyDescent="0.2">
      <c r="C282" s="258"/>
      <c r="D282" s="278"/>
      <c r="E282" s="279" t="s">
        <v>74</v>
      </c>
      <c r="F282" s="280">
        <v>76.057853503431247</v>
      </c>
      <c r="G282" s="275" t="str">
        <f>CONCATENATE("La media del gasto diario por turista en origen fue de ",FIXED(F282,0),"€.")</f>
        <v>La media del gasto diario por turista en origen fue de 76€.</v>
      </c>
      <c r="H282" s="276"/>
      <c r="I282" s="276"/>
      <c r="J282" s="276"/>
      <c r="K282" s="276"/>
      <c r="L282" s="277"/>
      <c r="M282" s="265"/>
      <c r="O282" s="145"/>
      <c r="R282" s="145"/>
    </row>
    <row r="283" spans="3:18" ht="45.75" customHeight="1" x14ac:dyDescent="0.2">
      <c r="C283" s="258"/>
      <c r="D283" s="281"/>
      <c r="E283" s="282" t="s">
        <v>75</v>
      </c>
      <c r="F283" s="283">
        <v>41.132880940055614</v>
      </c>
      <c r="G283" s="275" t="str">
        <f>CONCATENATE("El gasto medio en Tenerife, por turista y día  fue de ",FIXED(F283,1),"€.")</f>
        <v>El gasto medio en Tenerife, por turista y día  fue de 41,1€.</v>
      </c>
      <c r="H283" s="276"/>
      <c r="I283" s="276"/>
      <c r="J283" s="276"/>
      <c r="K283" s="276"/>
      <c r="L283" s="277"/>
      <c r="M283" s="265"/>
      <c r="O283" s="145"/>
      <c r="R283" s="145"/>
    </row>
    <row r="284" spans="3:18" ht="5.25" customHeight="1" thickBot="1" x14ac:dyDescent="0.25">
      <c r="C284" s="284"/>
      <c r="D284" s="284"/>
      <c r="E284" s="284"/>
      <c r="F284" s="284"/>
      <c r="G284" s="284"/>
      <c r="H284" s="284"/>
      <c r="I284" s="284"/>
      <c r="J284" s="284"/>
      <c r="K284" s="284"/>
      <c r="L284" s="284"/>
      <c r="M284" s="285"/>
      <c r="N284" s="257"/>
      <c r="O284" s="145"/>
      <c r="R284" s="145"/>
    </row>
    <row r="285" spans="3:18" ht="19.5" customHeight="1" thickBot="1" x14ac:dyDescent="0.25">
      <c r="C285" s="27" t="s">
        <v>77</v>
      </c>
      <c r="D285" s="28"/>
      <c r="E285" s="28"/>
      <c r="F285" s="28"/>
      <c r="G285" s="28"/>
      <c r="H285" s="28"/>
      <c r="I285" s="28"/>
      <c r="J285" s="28"/>
      <c r="K285" s="28"/>
      <c r="L285" s="28"/>
      <c r="M285" s="29"/>
      <c r="N285" s="257"/>
      <c r="O285" s="145"/>
      <c r="P285" s="145"/>
      <c r="Q285" s="145"/>
    </row>
    <row r="286" spans="3:18" ht="5.25" customHeight="1" x14ac:dyDescent="0.2"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151"/>
      <c r="N286" s="257"/>
      <c r="O286" s="145"/>
      <c r="P286" s="145"/>
      <c r="Q286" s="145"/>
    </row>
    <row r="287" spans="3:18" s="145" customFormat="1" ht="47.25" customHeight="1" thickBot="1" x14ac:dyDescent="0.25">
      <c r="C287" s="258" t="s">
        <v>7</v>
      </c>
      <c r="D287" s="286"/>
      <c r="E287" s="287" t="s">
        <v>8</v>
      </c>
      <c r="F287" s="288">
        <v>137179</v>
      </c>
      <c r="G287" s="289">
        <v>4.4371874382198584E-3</v>
      </c>
      <c r="H287" s="290" t="s">
        <v>98</v>
      </c>
      <c r="I287" s="290"/>
      <c r="J287" s="290"/>
      <c r="K287" s="290"/>
      <c r="L287" s="291"/>
      <c r="M287" s="265" t="s">
        <v>78</v>
      </c>
      <c r="Q287" s="292"/>
    </row>
    <row r="288" spans="3:18" s="145" customFormat="1" ht="47.25" customHeight="1" thickTop="1" thickBot="1" x14ac:dyDescent="0.25">
      <c r="C288" s="258"/>
      <c r="D288" s="286"/>
      <c r="E288" s="293" t="s">
        <v>79</v>
      </c>
      <c r="F288" s="294">
        <v>84083</v>
      </c>
      <c r="G288" s="295">
        <v>-5.7115152661826318E-3</v>
      </c>
      <c r="H288" s="296" t="s">
        <v>99</v>
      </c>
      <c r="I288" s="297"/>
      <c r="J288" s="297"/>
      <c r="K288" s="297"/>
      <c r="L288" s="298"/>
      <c r="M288" s="265"/>
      <c r="O288" s="299"/>
      <c r="Q288" s="292"/>
    </row>
    <row r="289" spans="3:20" s="145" customFormat="1" ht="47.25" customHeight="1" thickTop="1" thickBot="1" x14ac:dyDescent="0.25">
      <c r="C289" s="258"/>
      <c r="D289" s="286"/>
      <c r="E289" s="300" t="s">
        <v>80</v>
      </c>
      <c r="F289" s="301">
        <v>51626</v>
      </c>
      <c r="G289" s="295">
        <v>2.1366675899180843E-2</v>
      </c>
      <c r="H289" s="302" t="s">
        <v>100</v>
      </c>
      <c r="I289" s="297"/>
      <c r="J289" s="297"/>
      <c r="K289" s="297"/>
      <c r="L289" s="298"/>
      <c r="M289" s="265"/>
      <c r="O289" s="299"/>
      <c r="Q289" s="292"/>
    </row>
    <row r="290" spans="3:20" s="145" customFormat="1" ht="47.25" customHeight="1" thickTop="1" thickBot="1" x14ac:dyDescent="0.25">
      <c r="C290" s="258"/>
      <c r="D290" s="286"/>
      <c r="E290" s="293" t="s">
        <v>81</v>
      </c>
      <c r="F290" s="294">
        <v>557</v>
      </c>
      <c r="G290" s="295">
        <v>0</v>
      </c>
      <c r="H290" s="296" t="s">
        <v>101</v>
      </c>
      <c r="I290" s="297"/>
      <c r="J290" s="297"/>
      <c r="K290" s="297"/>
      <c r="L290" s="298"/>
      <c r="M290" s="265"/>
      <c r="O290" s="299"/>
      <c r="Q290" s="292"/>
    </row>
    <row r="291" spans="3:20" s="145" customFormat="1" ht="47.25" customHeight="1" thickTop="1" x14ac:dyDescent="0.2">
      <c r="C291" s="258"/>
      <c r="D291" s="286"/>
      <c r="E291" s="303" t="s">
        <v>82</v>
      </c>
      <c r="F291" s="304">
        <v>913</v>
      </c>
      <c r="G291" s="305">
        <v>9.9557522123894238E-3</v>
      </c>
      <c r="H291" s="306" t="s">
        <v>102</v>
      </c>
      <c r="I291" s="307"/>
      <c r="J291" s="307"/>
      <c r="K291" s="307"/>
      <c r="L291" s="308"/>
      <c r="M291" s="265"/>
      <c r="O291" s="299"/>
      <c r="Q291" s="292"/>
    </row>
    <row r="292" spans="3:20" ht="5.25" customHeight="1" x14ac:dyDescent="0.2">
      <c r="C292" s="96" t="s">
        <v>83</v>
      </c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309"/>
      <c r="P292" s="145"/>
      <c r="Q292" s="145"/>
      <c r="R292" s="145"/>
    </row>
    <row r="293" spans="3:20" s="1" customFormat="1" ht="18.75" customHeight="1" thickBot="1" x14ac:dyDescent="0.25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309"/>
      <c r="P293" s="310"/>
      <c r="Q293" s="310"/>
      <c r="R293" s="310"/>
    </row>
    <row r="294" spans="3:20" ht="50.25" customHeight="1" thickBot="1" x14ac:dyDescent="0.25">
      <c r="C294" s="2"/>
      <c r="D294" s="2"/>
      <c r="E294" s="3" t="str">
        <f>E242</f>
        <v>INDICADORES TURÍSTICOS DE TENERIFE definitivo</v>
      </c>
      <c r="F294" s="3"/>
      <c r="G294" s="3"/>
      <c r="H294" s="3"/>
      <c r="I294" s="3"/>
      <c r="J294" s="3"/>
      <c r="K294" s="3"/>
      <c r="L294" s="2"/>
      <c r="M294" s="2"/>
      <c r="O294" s="145"/>
      <c r="P294" s="145"/>
      <c r="Q294" s="145"/>
      <c r="R294" s="145"/>
      <c r="S294" s="145"/>
      <c r="T294" s="145"/>
    </row>
    <row r="295" spans="3:20" ht="5.25" customHeight="1" thickBot="1" x14ac:dyDescent="0.25">
      <c r="C295" s="4"/>
      <c r="O295" s="145"/>
      <c r="P295" s="145"/>
      <c r="Q295" s="145"/>
      <c r="R295" s="145"/>
      <c r="S295" s="145"/>
      <c r="T295" s="145"/>
    </row>
    <row r="296" spans="3:20" ht="18" customHeight="1" thickBot="1" x14ac:dyDescent="0.25">
      <c r="C296" s="222" t="s">
        <v>84</v>
      </c>
      <c r="D296" s="223"/>
      <c r="E296" s="223"/>
      <c r="F296" s="223"/>
      <c r="G296" s="223"/>
      <c r="H296" s="223"/>
      <c r="I296" s="223"/>
      <c r="J296" s="223"/>
      <c r="K296" s="223"/>
      <c r="L296" s="223"/>
      <c r="M296" s="224"/>
      <c r="O296" s="145"/>
      <c r="P296" s="145"/>
      <c r="Q296" s="145"/>
      <c r="R296" s="145"/>
      <c r="S296" s="145"/>
      <c r="T296" s="145"/>
    </row>
    <row r="297" spans="3:20" ht="5.25" customHeight="1" x14ac:dyDescent="0.2"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151"/>
      <c r="N297" s="257"/>
      <c r="O297" s="145"/>
      <c r="P297" s="145"/>
      <c r="Q297" s="145"/>
      <c r="R297" s="145"/>
      <c r="S297" s="145"/>
      <c r="T297" s="145"/>
    </row>
    <row r="298" spans="3:20" ht="27.75" customHeight="1" x14ac:dyDescent="0.2">
      <c r="C298" s="311" t="s">
        <v>7</v>
      </c>
      <c r="D298" s="312"/>
      <c r="E298" s="313" t="s">
        <v>8</v>
      </c>
      <c r="F298" s="35">
        <v>160825</v>
      </c>
      <c r="G298" s="314">
        <v>1.5982816892510909E-2</v>
      </c>
      <c r="H298" s="315" t="s">
        <v>103</v>
      </c>
      <c r="I298" s="315"/>
      <c r="J298" s="315"/>
      <c r="K298" s="315"/>
      <c r="L298" s="316"/>
      <c r="M298" s="265" t="s">
        <v>9</v>
      </c>
      <c r="O298" s="145"/>
      <c r="P298" s="145"/>
      <c r="Q298" s="145"/>
      <c r="R298" s="145"/>
      <c r="S298" s="145"/>
      <c r="T298" s="145"/>
    </row>
    <row r="299" spans="3:20" ht="34.5" customHeight="1" x14ac:dyDescent="0.2">
      <c r="C299" s="317"/>
      <c r="D299" s="318"/>
      <c r="E299" s="319" t="s">
        <v>85</v>
      </c>
      <c r="F299" s="46">
        <v>93428</v>
      </c>
      <c r="G299" s="140">
        <v>9.4431358990427761E-3</v>
      </c>
      <c r="H299" s="320" t="str">
        <f>CONCATENATE("La oferta hotelera estimada por el STDE del Cabildo de Tenerife se sitúa en ",FIXED(F299,0)," plazas, un ",FIXED(F299/F298*100,1),"% del total de plazas. ",IF(G299&gt;0,"Aumentan un ","Disminuyen un"),FIXED(G299*100,1),"% respecto al mismo periodo del año anterior.")</f>
        <v>La oferta hotelera estimada por el STDE del Cabildo de Tenerife se sitúa en 93.428 plazas, un 58,1% del total de plazas. Aumentan un 0,9% respecto al mismo periodo del año anterior.</v>
      </c>
      <c r="I299" s="320"/>
      <c r="J299" s="320"/>
      <c r="K299" s="320"/>
      <c r="L299" s="321"/>
      <c r="M299" s="265"/>
      <c r="O299" s="145"/>
      <c r="P299" s="145"/>
      <c r="Q299" s="145"/>
      <c r="R299" s="145"/>
      <c r="S299" s="145"/>
      <c r="T299" s="145"/>
    </row>
    <row r="300" spans="3:20" ht="41.25" customHeight="1" thickBot="1" x14ac:dyDescent="0.25">
      <c r="C300" s="322"/>
      <c r="D300" s="323"/>
      <c r="E300" s="324" t="s">
        <v>86</v>
      </c>
      <c r="F300" s="325">
        <v>67397</v>
      </c>
      <c r="G300" s="326">
        <v>2.5189759815031687E-2</v>
      </c>
      <c r="H300" s="327" t="s">
        <v>104</v>
      </c>
      <c r="I300" s="327"/>
      <c r="J300" s="327"/>
      <c r="K300" s="327"/>
      <c r="L300" s="328"/>
      <c r="M300" s="265"/>
      <c r="Q300" s="329"/>
    </row>
    <row r="301" spans="3:20" ht="34.5" hidden="1" customHeight="1" x14ac:dyDescent="0.2">
      <c r="C301" s="330" t="s">
        <v>12</v>
      </c>
      <c r="D301" s="331"/>
      <c r="E301" s="332" t="s">
        <v>8</v>
      </c>
      <c r="F301" s="333">
        <v>2943</v>
      </c>
      <c r="G301" s="334">
        <v>4.7330960854092607E-2</v>
      </c>
      <c r="H301" s="335" t="str">
        <f>CONCATENATE("Las plazas estimadas por el STDE  del Cabildo de Tenerife en la zona de Santa Cruz, ascienden a ",FIXED(F302,0),", todas ellas pertenecientes a la tipología hotelera. Se registra un ",IF(G302&gt;0,"incremento ","descenso "),"con respecto al año anterior del ",FIXED(G302*100,1),"%.")</f>
        <v>Las plazas estimadas por el STDE  del Cabildo de Tenerife en la zona de Santa Cruz, ascienden a 2.537, todas ellas pertenecientes a la tipología hotelera. Se registra un descenso con respecto al año anterior del 0,0%.</v>
      </c>
      <c r="I301" s="335"/>
      <c r="J301" s="335"/>
      <c r="K301" s="335"/>
      <c r="L301" s="336"/>
      <c r="M301" s="265"/>
      <c r="Q301" s="329"/>
    </row>
    <row r="302" spans="3:20" ht="48.75" customHeight="1" thickTop="1" thickBot="1" x14ac:dyDescent="0.25">
      <c r="C302" s="337"/>
      <c r="D302" s="338"/>
      <c r="E302" s="339" t="s">
        <v>85</v>
      </c>
      <c r="F302" s="340">
        <v>2537</v>
      </c>
      <c r="G302" s="326">
        <v>0</v>
      </c>
      <c r="H302" s="341"/>
      <c r="I302" s="341"/>
      <c r="J302" s="341"/>
      <c r="K302" s="341"/>
      <c r="L302" s="342"/>
      <c r="M302" s="265"/>
    </row>
    <row r="303" spans="3:20" ht="42" customHeight="1" thickTop="1" x14ac:dyDescent="0.2">
      <c r="C303" s="343" t="s">
        <v>13</v>
      </c>
      <c r="D303" s="344"/>
      <c r="E303" s="345" t="s">
        <v>8</v>
      </c>
      <c r="F303" s="346">
        <v>1418</v>
      </c>
      <c r="G303" s="334">
        <v>0.42799597180261828</v>
      </c>
      <c r="H303" s="347" t="s">
        <v>105</v>
      </c>
      <c r="I303" s="347"/>
      <c r="J303" s="347"/>
      <c r="K303" s="347"/>
      <c r="L303" s="348"/>
      <c r="M303" s="265"/>
    </row>
    <row r="304" spans="3:20" ht="34.5" customHeight="1" x14ac:dyDescent="0.2">
      <c r="C304" s="349"/>
      <c r="D304" s="350"/>
      <c r="E304" s="351" t="s">
        <v>85</v>
      </c>
      <c r="F304" s="79">
        <v>824</v>
      </c>
      <c r="G304" s="140">
        <v>0.42560553633218001</v>
      </c>
      <c r="H304" s="352" t="str">
        <f>CONCATENATE("Las plazas hoteleras estimadas se sitúan en ",FIXED(F304,0)," plazas, registrando un ",IF(G304&gt;0,"incremento del ","descenso del "),FIXED(G304*100,1),"%.")</f>
        <v>Las plazas hoteleras estimadas se sitúan en 824 plazas, registrando un incremento del 42,6%.</v>
      </c>
      <c r="I304" s="352"/>
      <c r="J304" s="352"/>
      <c r="K304" s="352"/>
      <c r="L304" s="353"/>
      <c r="M304" s="265"/>
    </row>
    <row r="305" spans="3:18" ht="34.5" customHeight="1" thickBot="1" x14ac:dyDescent="0.25">
      <c r="C305" s="354"/>
      <c r="D305" s="355"/>
      <c r="E305" s="356" t="s">
        <v>86</v>
      </c>
      <c r="F305" s="357">
        <v>594</v>
      </c>
      <c r="G305" s="326">
        <v>0.43132530120481927</v>
      </c>
      <c r="H305" s="358" t="s">
        <v>106</v>
      </c>
      <c r="I305" s="358"/>
      <c r="J305" s="358"/>
      <c r="K305" s="358"/>
      <c r="L305" s="359"/>
      <c r="M305" s="265"/>
    </row>
    <row r="306" spans="3:18" ht="39.75" customHeight="1" thickTop="1" x14ac:dyDescent="0.2">
      <c r="C306" s="360" t="s">
        <v>14</v>
      </c>
      <c r="D306" s="361"/>
      <c r="E306" s="332" t="s">
        <v>8</v>
      </c>
      <c r="F306" s="333">
        <v>28590</v>
      </c>
      <c r="G306" s="334">
        <v>5.5799697182318475E-2</v>
      </c>
      <c r="H306" s="335" t="s">
        <v>107</v>
      </c>
      <c r="I306" s="335"/>
      <c r="J306" s="335"/>
      <c r="K306" s="335"/>
      <c r="L306" s="336"/>
      <c r="M306" s="265"/>
    </row>
    <row r="307" spans="3:18" ht="34.5" customHeight="1" x14ac:dyDescent="0.2">
      <c r="C307" s="362"/>
      <c r="D307" s="363"/>
      <c r="E307" s="364" t="s">
        <v>85</v>
      </c>
      <c r="F307" s="66">
        <v>19606</v>
      </c>
      <c r="G307" s="140">
        <v>6.369357638888884E-2</v>
      </c>
      <c r="H307" s="365" t="str">
        <f>CONCATENATE("La oferta hotelera asciende a ",FIXED(F307,0),", cifra que se ",IF(G307&gt;0,"incrementa un ","reduce un "),FIXED(G307*100,1),"% respecto al año anterior.")</f>
        <v>La oferta hotelera asciende a 19.606, cifra que se incrementa un 6,4% respecto al año anterior.</v>
      </c>
      <c r="I307" s="365"/>
      <c r="J307" s="365"/>
      <c r="K307" s="365"/>
      <c r="L307" s="366"/>
      <c r="M307" s="265"/>
    </row>
    <row r="308" spans="3:18" ht="34.5" customHeight="1" thickBot="1" x14ac:dyDescent="0.25">
      <c r="C308" s="367"/>
      <c r="D308" s="368"/>
      <c r="E308" s="339" t="s">
        <v>86</v>
      </c>
      <c r="F308" s="340">
        <v>8984</v>
      </c>
      <c r="G308" s="326">
        <v>3.8973054238464311E-2</v>
      </c>
      <c r="H308" s="341" t="str">
        <f>CONCATENATE("Las plazas extrahoteras estimadas ascienden a ",FIXED(F308,0),", las cuales ",IF(G308&gt;0,"se incrementan un ","descienden un "),FIXED(G308*100,1),"%.")</f>
        <v>Las plazas extrahoteras estimadas ascienden a 8.984, las cuales se incrementan un 3,9%.</v>
      </c>
      <c r="I308" s="341"/>
      <c r="J308" s="341"/>
      <c r="K308" s="341"/>
      <c r="L308" s="342"/>
      <c r="M308" s="265"/>
    </row>
    <row r="309" spans="3:18" ht="34.5" customHeight="1" thickTop="1" x14ac:dyDescent="0.2">
      <c r="C309" s="369" t="s">
        <v>15</v>
      </c>
      <c r="D309" s="370"/>
      <c r="E309" s="371" t="s">
        <v>8</v>
      </c>
      <c r="F309" s="372">
        <v>127874</v>
      </c>
      <c r="G309" s="334">
        <v>3.6181551333065443E-3</v>
      </c>
      <c r="H309" s="347" t="str">
        <f>CONCATENATE("Las plazas estimadas para la zona Sur por el STDE del Cabildo ascienden a ",FIXED(F309,0)," experimentando un ",IF(G309&gt;0,"incremento interanual del ","descenso interanual del "),FIXED(G309*100,1),"%.")</f>
        <v>Las plazas estimadas para la zona Sur por el STDE del Cabildo ascienden a 127.874 experimentando un incremento interanual del 0,4%.</v>
      </c>
      <c r="I309" s="347"/>
      <c r="J309" s="347"/>
      <c r="K309" s="347"/>
      <c r="L309" s="348"/>
      <c r="M309" s="265"/>
    </row>
    <row r="310" spans="3:18" ht="34.5" customHeight="1" x14ac:dyDescent="0.2">
      <c r="C310" s="373"/>
      <c r="D310" s="374"/>
      <c r="E310" s="375" t="s">
        <v>85</v>
      </c>
      <c r="F310" s="91">
        <v>70461</v>
      </c>
      <c r="G310" s="140">
        <v>-7.6893827369132195E-3</v>
      </c>
      <c r="H310" s="352" t="str">
        <f>CONCATENATE("Las plazas hoteleras, con un oferta de ",FIXED(F310,0)," plazas, se ",IF(G310&gt;0,"incrementan un ","reducen un "),FIXED(G310*100,1),"% respecto al mismo período del año anterior.")</f>
        <v>Las plazas hoteleras, con un oferta de 70.461 plazas, se reducen un -0,8% respecto al mismo período del año anterior.</v>
      </c>
      <c r="I310" s="352"/>
      <c r="J310" s="352"/>
      <c r="K310" s="352"/>
      <c r="L310" s="353"/>
      <c r="M310" s="265"/>
    </row>
    <row r="311" spans="3:18" ht="34.5" customHeight="1" x14ac:dyDescent="0.2">
      <c r="C311" s="373"/>
      <c r="D311" s="374"/>
      <c r="E311" s="376" t="s">
        <v>86</v>
      </c>
      <c r="F311" s="377">
        <v>57413</v>
      </c>
      <c r="G311" s="378">
        <v>1.785271070453498E-2</v>
      </c>
      <c r="H311" s="379" t="s">
        <v>108</v>
      </c>
      <c r="I311" s="379"/>
      <c r="J311" s="379"/>
      <c r="K311" s="379"/>
      <c r="L311" s="380"/>
      <c r="M311" s="265"/>
    </row>
    <row r="312" spans="3:18" ht="5.25" customHeight="1" thickBot="1" x14ac:dyDescent="0.25">
      <c r="C312" s="284"/>
      <c r="D312" s="284"/>
      <c r="E312" s="284"/>
      <c r="F312" s="284"/>
      <c r="G312" s="284"/>
      <c r="H312" s="284"/>
      <c r="I312" s="284"/>
      <c r="J312" s="284"/>
      <c r="K312" s="284"/>
      <c r="L312" s="284"/>
      <c r="M312" s="285"/>
      <c r="N312" s="257"/>
      <c r="O312" s="145"/>
      <c r="R312" s="145"/>
    </row>
    <row r="313" spans="3:18" ht="19.5" customHeight="1" thickBot="1" x14ac:dyDescent="0.25">
      <c r="C313" s="27" t="s">
        <v>87</v>
      </c>
      <c r="D313" s="28"/>
      <c r="E313" s="28"/>
      <c r="F313" s="28"/>
      <c r="G313" s="28"/>
      <c r="H313" s="28"/>
      <c r="I313" s="28"/>
      <c r="J313" s="28"/>
      <c r="K313" s="28"/>
      <c r="L313" s="28"/>
      <c r="M313" s="29"/>
      <c r="N313" s="257"/>
      <c r="O313" s="145"/>
      <c r="P313" s="145"/>
      <c r="Q313" s="145"/>
    </row>
    <row r="314" spans="3:18" ht="5.25" customHeight="1" x14ac:dyDescent="0.2"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151"/>
      <c r="O314" s="145"/>
      <c r="P314" s="145"/>
      <c r="Q314" s="145"/>
    </row>
    <row r="315" spans="3:18" ht="95.25" customHeight="1" thickBot="1" x14ac:dyDescent="0.25">
      <c r="C315" s="381" t="s">
        <v>88</v>
      </c>
      <c r="D315" s="382"/>
      <c r="E315" s="383" t="s">
        <v>89</v>
      </c>
      <c r="F315" s="384">
        <v>264640</v>
      </c>
      <c r="G315" s="289">
        <v>-0.14140922569802672</v>
      </c>
      <c r="H315" s="385" t="s">
        <v>109</v>
      </c>
      <c r="I315" s="385"/>
      <c r="J315" s="385"/>
      <c r="K315" s="385"/>
      <c r="L315" s="386"/>
      <c r="M315" s="265" t="s">
        <v>111</v>
      </c>
    </row>
    <row r="316" spans="3:18" ht="45.75" hidden="1" customHeight="1" x14ac:dyDescent="0.2">
      <c r="C316" s="381"/>
      <c r="D316" s="382"/>
      <c r="E316" s="387" t="s">
        <v>90</v>
      </c>
      <c r="F316" s="304">
        <v>0</v>
      </c>
      <c r="G316" s="305">
        <v>-1</v>
      </c>
      <c r="H316" s="388" t="s">
        <v>110</v>
      </c>
      <c r="I316" s="388"/>
      <c r="J316" s="388"/>
      <c r="K316" s="388"/>
      <c r="L316" s="389"/>
      <c r="M316" s="265"/>
    </row>
    <row r="317" spans="3:18" ht="13.5" thickTop="1" x14ac:dyDescent="0.2">
      <c r="C317" s="390"/>
      <c r="D317" s="391"/>
      <c r="E317" s="391"/>
      <c r="F317" s="391"/>
      <c r="G317" s="391"/>
      <c r="H317" s="391"/>
      <c r="I317" s="391"/>
      <c r="J317" s="391"/>
      <c r="K317" s="391"/>
      <c r="L317" s="391"/>
      <c r="M317" s="391"/>
    </row>
    <row r="318" spans="3:18" ht="29.25" customHeight="1" x14ac:dyDescent="0.2"/>
    <row r="319" spans="3:18" ht="18" customHeight="1" x14ac:dyDescent="0.2">
      <c r="C319" s="392" t="s">
        <v>91</v>
      </c>
      <c r="D319" s="392"/>
      <c r="E319" s="392"/>
      <c r="F319" s="392"/>
      <c r="G319" s="392"/>
      <c r="H319" s="392"/>
      <c r="I319" s="392"/>
      <c r="J319" s="392"/>
      <c r="K319" s="392"/>
      <c r="L319" s="392"/>
      <c r="M319" s="392"/>
    </row>
    <row r="321" spans="5:6" ht="6.75" customHeight="1" x14ac:dyDescent="0.2"/>
    <row r="323" spans="5:6" ht="8.25" customHeight="1" x14ac:dyDescent="0.2"/>
    <row r="326" spans="5:6" x14ac:dyDescent="0.2">
      <c r="E326" s="393"/>
      <c r="F326" s="393"/>
    </row>
    <row r="327" spans="5:6" x14ac:dyDescent="0.2">
      <c r="E327" s="393"/>
      <c r="F327" s="393"/>
    </row>
    <row r="330" spans="5:6" ht="21.75" customHeight="1" x14ac:dyDescent="0.2"/>
    <row r="332" spans="5:6" ht="6" customHeight="1" x14ac:dyDescent="0.2"/>
  </sheetData>
  <mergeCells count="162">
    <mergeCell ref="C319:M319"/>
    <mergeCell ref="C309:D311"/>
    <mergeCell ref="H309:L309"/>
    <mergeCell ref="H310:L310"/>
    <mergeCell ref="H311:L311"/>
    <mergeCell ref="C313:M313"/>
    <mergeCell ref="C315:D316"/>
    <mergeCell ref="H315:L315"/>
    <mergeCell ref="M315:M316"/>
    <mergeCell ref="H316:L316"/>
    <mergeCell ref="H303:L303"/>
    <mergeCell ref="H304:L304"/>
    <mergeCell ref="H305:L305"/>
    <mergeCell ref="C306:D308"/>
    <mergeCell ref="H306:L306"/>
    <mergeCell ref="H307:L307"/>
    <mergeCell ref="H308:L308"/>
    <mergeCell ref="E294:K294"/>
    <mergeCell ref="C296:M296"/>
    <mergeCell ref="C298:D300"/>
    <mergeCell ref="H298:L298"/>
    <mergeCell ref="M298:M311"/>
    <mergeCell ref="H299:L299"/>
    <mergeCell ref="H300:L300"/>
    <mergeCell ref="C301:D302"/>
    <mergeCell ref="H301:L302"/>
    <mergeCell ref="C303:D305"/>
    <mergeCell ref="G283:L283"/>
    <mergeCell ref="C285:M285"/>
    <mergeCell ref="C287:D291"/>
    <mergeCell ref="H287:L287"/>
    <mergeCell ref="M287:M291"/>
    <mergeCell ref="H288:L288"/>
    <mergeCell ref="H289:L289"/>
    <mergeCell ref="H290:L290"/>
    <mergeCell ref="H291:L291"/>
    <mergeCell ref="C276:M276"/>
    <mergeCell ref="C278:C283"/>
    <mergeCell ref="D278:D280"/>
    <mergeCell ref="G278:L278"/>
    <mergeCell ref="M278:M283"/>
    <mergeCell ref="G279:L279"/>
    <mergeCell ref="G280:L280"/>
    <mergeCell ref="D281:D283"/>
    <mergeCell ref="G281:L281"/>
    <mergeCell ref="G282:L282"/>
    <mergeCell ref="E242:K242"/>
    <mergeCell ref="C244:M244"/>
    <mergeCell ref="D246:E246"/>
    <mergeCell ref="F246:G246"/>
    <mergeCell ref="H246:I246"/>
    <mergeCell ref="J246:K246"/>
    <mergeCell ref="L246:M246"/>
    <mergeCell ref="P188:Q188"/>
    <mergeCell ref="C214:Q214"/>
    <mergeCell ref="C215:Q215"/>
    <mergeCell ref="D216:E216"/>
    <mergeCell ref="F216:G216"/>
    <mergeCell ref="H216:I216"/>
    <mergeCell ref="J216:K216"/>
    <mergeCell ref="L216:M216"/>
    <mergeCell ref="N216:O216"/>
    <mergeCell ref="P216:Q216"/>
    <mergeCell ref="C183:M183"/>
    <mergeCell ref="E184:K184"/>
    <mergeCell ref="C186:Q186"/>
    <mergeCell ref="C187:Q187"/>
    <mergeCell ref="D188:E188"/>
    <mergeCell ref="F188:G188"/>
    <mergeCell ref="H188:I188"/>
    <mergeCell ref="J188:K188"/>
    <mergeCell ref="L188:M188"/>
    <mergeCell ref="N188:O188"/>
    <mergeCell ref="C151:M151"/>
    <mergeCell ref="G152:I152"/>
    <mergeCell ref="D154:E154"/>
    <mergeCell ref="F154:G154"/>
    <mergeCell ref="H154:I154"/>
    <mergeCell ref="J154:K154"/>
    <mergeCell ref="L154:M154"/>
    <mergeCell ref="C116:M116"/>
    <mergeCell ref="E117:K117"/>
    <mergeCell ref="C119:M119"/>
    <mergeCell ref="G120:I120"/>
    <mergeCell ref="D122:E122"/>
    <mergeCell ref="F122:G122"/>
    <mergeCell ref="H122:I122"/>
    <mergeCell ref="J122:K122"/>
    <mergeCell ref="L122:M122"/>
    <mergeCell ref="C100:M100"/>
    <mergeCell ref="C102:D106"/>
    <mergeCell ref="I102:I106"/>
    <mergeCell ref="M102:M106"/>
    <mergeCell ref="C108:M108"/>
    <mergeCell ref="C110:D114"/>
    <mergeCell ref="I110:I114"/>
    <mergeCell ref="M110:M114"/>
    <mergeCell ref="C86:D90"/>
    <mergeCell ref="I86:I90"/>
    <mergeCell ref="M86:M90"/>
    <mergeCell ref="C92:M92"/>
    <mergeCell ref="C94:D98"/>
    <mergeCell ref="I94:I98"/>
    <mergeCell ref="M94:M98"/>
    <mergeCell ref="I74:I76"/>
    <mergeCell ref="C77:D79"/>
    <mergeCell ref="I77:I79"/>
    <mergeCell ref="C80:D82"/>
    <mergeCell ref="I80:I82"/>
    <mergeCell ref="C84:M84"/>
    <mergeCell ref="C62:G63"/>
    <mergeCell ref="I62:M63"/>
    <mergeCell ref="C64:D64"/>
    <mergeCell ref="C66:M66"/>
    <mergeCell ref="C68:D70"/>
    <mergeCell ref="I68:I70"/>
    <mergeCell ref="M68:M82"/>
    <mergeCell ref="C71:D73"/>
    <mergeCell ref="I71:I73"/>
    <mergeCell ref="C74:D76"/>
    <mergeCell ref="C54:D56"/>
    <mergeCell ref="I54:I56"/>
    <mergeCell ref="C57:D59"/>
    <mergeCell ref="I57:I59"/>
    <mergeCell ref="C60:M60"/>
    <mergeCell ref="E61:K61"/>
    <mergeCell ref="C39:D41"/>
    <mergeCell ref="I39:I41"/>
    <mergeCell ref="C43:M43"/>
    <mergeCell ref="C45:D47"/>
    <mergeCell ref="I45:I47"/>
    <mergeCell ref="M45:M59"/>
    <mergeCell ref="C48:D50"/>
    <mergeCell ref="I48:I50"/>
    <mergeCell ref="C51:D53"/>
    <mergeCell ref="I51:I53"/>
    <mergeCell ref="C25:M25"/>
    <mergeCell ref="C27:D29"/>
    <mergeCell ref="I27:I29"/>
    <mergeCell ref="M27:M41"/>
    <mergeCell ref="C30:D32"/>
    <mergeCell ref="I30:I32"/>
    <mergeCell ref="C33:D35"/>
    <mergeCell ref="I33:I35"/>
    <mergeCell ref="C36:D38"/>
    <mergeCell ref="I36:I38"/>
    <mergeCell ref="C15:D17"/>
    <mergeCell ref="I15:I17"/>
    <mergeCell ref="C18:D20"/>
    <mergeCell ref="I18:I20"/>
    <mergeCell ref="C21:D23"/>
    <mergeCell ref="I21:I23"/>
    <mergeCell ref="E1:K1"/>
    <mergeCell ref="C2:G3"/>
    <mergeCell ref="I2:M3"/>
    <mergeCell ref="C5:D5"/>
    <mergeCell ref="C7:M7"/>
    <mergeCell ref="C9:D11"/>
    <mergeCell ref="I9:I11"/>
    <mergeCell ref="M9:M23"/>
    <mergeCell ref="C12:D14"/>
    <mergeCell ref="I12:I14"/>
  </mergeCells>
  <conditionalFormatting sqref="D190:D212 F190:F212 H190:H212 J190:J212 L190:L212 N190:N212 D218:D240 F218:F240 H218:H240 J218:J240 L218:L240 N218:N240 P190:P212 P218:P240 G9:G10 G15:G23">
    <cfRule type="cellIs" dxfId="257" priority="256" stopIfTrue="1" operator="greaterThan">
      <formula>0</formula>
    </cfRule>
    <cfRule type="cellIs" dxfId="256" priority="257" stopIfTrue="1" operator="lessThan">
      <formula>0</formula>
    </cfRule>
    <cfRule type="cellIs" dxfId="255" priority="258" stopIfTrue="1" operator="equal">
      <formula>0</formula>
    </cfRule>
  </conditionalFormatting>
  <conditionalFormatting sqref="G9:G10 G15:G23">
    <cfRule type="cellIs" dxfId="254" priority="253" operator="equal">
      <formula>0</formula>
    </cfRule>
    <cfRule type="cellIs" dxfId="253" priority="254" operator="lessThan">
      <formula>0</formula>
    </cfRule>
    <cfRule type="cellIs" dxfId="252" priority="255" operator="greaterThan">
      <formula>0</formula>
    </cfRule>
  </conditionalFormatting>
  <conditionalFormatting sqref="G10 G15:G23">
    <cfRule type="cellIs" dxfId="251" priority="250" stopIfTrue="1" operator="greaterThan">
      <formula>0</formula>
    </cfRule>
    <cfRule type="cellIs" dxfId="250" priority="251" stopIfTrue="1" operator="lessThan">
      <formula>0</formula>
    </cfRule>
    <cfRule type="cellIs" dxfId="249" priority="252" stopIfTrue="1" operator="equal">
      <formula>0</formula>
    </cfRule>
  </conditionalFormatting>
  <conditionalFormatting sqref="G10 G15:G23">
    <cfRule type="cellIs" dxfId="248" priority="247" operator="equal">
      <formula>0</formula>
    </cfRule>
    <cfRule type="cellIs" dxfId="247" priority="248" operator="lessThan">
      <formula>0</formula>
    </cfRule>
    <cfRule type="cellIs" dxfId="246" priority="249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5" priority="241" operator="equal">
      <formula>0</formula>
    </cfRule>
    <cfRule type="cellIs" dxfId="244" priority="242" operator="lessThan">
      <formula>0</formula>
    </cfRule>
    <cfRule type="cellIs" dxfId="243" priority="243" operator="greaterThan">
      <formula>0</formula>
    </cfRule>
  </conditionalFormatting>
  <conditionalFormatting sqref="G315:G316 G298:G311 G287:G291 L110:L114 G110:G114 L102:L106 G102:G106 L94:L98 G94:G98 L87:L90 G86:G90 L9:L11 L15:L23">
    <cfRule type="cellIs" dxfId="242" priority="244" stopIfTrue="1" operator="greaterThan">
      <formula>0</formula>
    </cfRule>
    <cfRule type="cellIs" dxfId="241" priority="245" stopIfTrue="1" operator="lessThan">
      <formula>0</formula>
    </cfRule>
    <cfRule type="cellIs" dxfId="240" priority="246" stopIfTrue="1" operator="equal">
      <formula>0</formula>
    </cfRule>
  </conditionalFormatting>
  <conditionalFormatting sqref="G27:G28 G33:G41">
    <cfRule type="cellIs" dxfId="239" priority="190" stopIfTrue="1" operator="greaterThan">
      <formula>0</formula>
    </cfRule>
    <cfRule type="cellIs" dxfId="238" priority="191" stopIfTrue="1" operator="lessThan">
      <formula>0</formula>
    </cfRule>
    <cfRule type="cellIs" dxfId="237" priority="192" stopIfTrue="1" operator="equal">
      <formula>0</formula>
    </cfRule>
  </conditionalFormatting>
  <conditionalFormatting sqref="G27:G28 G33:G41">
    <cfRule type="cellIs" dxfId="236" priority="187" operator="equal">
      <formula>0</formula>
    </cfRule>
    <cfRule type="cellIs" dxfId="235" priority="188" operator="lessThan">
      <formula>0</formula>
    </cfRule>
    <cfRule type="cellIs" dxfId="234" priority="189" operator="greaterThan">
      <formula>0</formula>
    </cfRule>
  </conditionalFormatting>
  <conditionalFormatting sqref="G45:G47 G51:G59">
    <cfRule type="cellIs" dxfId="233" priority="232" stopIfTrue="1" operator="greaterThan">
      <formula>0</formula>
    </cfRule>
    <cfRule type="cellIs" dxfId="232" priority="233" stopIfTrue="1" operator="lessThan">
      <formula>0</formula>
    </cfRule>
    <cfRule type="cellIs" dxfId="231" priority="234" stopIfTrue="1" operator="equal">
      <formula>0</formula>
    </cfRule>
  </conditionalFormatting>
  <conditionalFormatting sqref="G45:G47 G51:G59">
    <cfRule type="cellIs" dxfId="230" priority="229" operator="equal">
      <formula>0</formula>
    </cfRule>
    <cfRule type="cellIs" dxfId="229" priority="230" operator="lessThan">
      <formula>0</formula>
    </cfRule>
    <cfRule type="cellIs" dxfId="228" priority="231" operator="greaterThan">
      <formula>0</formula>
    </cfRule>
  </conditionalFormatting>
  <conditionalFormatting sqref="G46:G47 G51:G59">
    <cfRule type="cellIs" dxfId="227" priority="226" stopIfTrue="1" operator="greaterThan">
      <formula>0</formula>
    </cfRule>
    <cfRule type="cellIs" dxfId="226" priority="227" stopIfTrue="1" operator="lessThan">
      <formula>0</formula>
    </cfRule>
    <cfRule type="cellIs" dxfId="225" priority="228" stopIfTrue="1" operator="equal">
      <formula>0</formula>
    </cfRule>
  </conditionalFormatting>
  <conditionalFormatting sqref="G46:G47 G51:G59">
    <cfRule type="cellIs" dxfId="224" priority="223" operator="equal">
      <formula>0</formula>
    </cfRule>
    <cfRule type="cellIs" dxfId="223" priority="224" operator="lessThan">
      <formula>0</formula>
    </cfRule>
    <cfRule type="cellIs" dxfId="222" priority="225" operator="greaterThan">
      <formula>0</formula>
    </cfRule>
  </conditionalFormatting>
  <conditionalFormatting sqref="L27:L29 L33:L41">
    <cfRule type="cellIs" dxfId="221" priority="235" operator="equal">
      <formula>0</formula>
    </cfRule>
    <cfRule type="cellIs" dxfId="220" priority="236" operator="lessThan">
      <formula>0</formula>
    </cfRule>
    <cfRule type="cellIs" dxfId="219" priority="237" operator="greaterThan">
      <formula>0</formula>
    </cfRule>
  </conditionalFormatting>
  <conditionalFormatting sqref="L27:L29 L33:L41">
    <cfRule type="cellIs" dxfId="218" priority="238" stopIfTrue="1" operator="greaterThan">
      <formula>0</formula>
    </cfRule>
    <cfRule type="cellIs" dxfId="217" priority="239" stopIfTrue="1" operator="lessThan">
      <formula>0</formula>
    </cfRule>
    <cfRule type="cellIs" dxfId="216" priority="240" stopIfTrue="1" operator="equal">
      <formula>0</formula>
    </cfRule>
  </conditionalFormatting>
  <conditionalFormatting sqref="L45:L47 L51:L59">
    <cfRule type="cellIs" dxfId="215" priority="217" operator="equal">
      <formula>0</formula>
    </cfRule>
    <cfRule type="cellIs" dxfId="214" priority="218" operator="lessThan">
      <formula>0</formula>
    </cfRule>
    <cfRule type="cellIs" dxfId="213" priority="219" operator="greaterThan">
      <formula>0</formula>
    </cfRule>
  </conditionalFormatting>
  <conditionalFormatting sqref="L45:L47 L51:L59">
    <cfRule type="cellIs" dxfId="212" priority="220" stopIfTrue="1" operator="greaterThan">
      <formula>0</formula>
    </cfRule>
    <cfRule type="cellIs" dxfId="211" priority="221" stopIfTrue="1" operator="lessThan">
      <formula>0</formula>
    </cfRule>
    <cfRule type="cellIs" dxfId="210" priority="222" stopIfTrue="1" operator="equal">
      <formula>0</formula>
    </cfRule>
  </conditionalFormatting>
  <conditionalFormatting sqref="G68:G70 G74:G82">
    <cfRule type="cellIs" dxfId="209" priority="214" stopIfTrue="1" operator="greaterThan">
      <formula>0</formula>
    </cfRule>
    <cfRule type="cellIs" dxfId="208" priority="215" stopIfTrue="1" operator="lessThan">
      <formula>0</formula>
    </cfRule>
    <cfRule type="cellIs" dxfId="207" priority="216" stopIfTrue="1" operator="equal">
      <formula>0</formula>
    </cfRule>
  </conditionalFormatting>
  <conditionalFormatting sqref="G68:G70 G74:G82">
    <cfRule type="cellIs" dxfId="206" priority="211" operator="equal">
      <formula>0</formula>
    </cfRule>
    <cfRule type="cellIs" dxfId="205" priority="212" operator="lessThan">
      <formula>0</formula>
    </cfRule>
    <cfRule type="cellIs" dxfId="204" priority="213" operator="greaterThan">
      <formula>0</formula>
    </cfRule>
  </conditionalFormatting>
  <conditionalFormatting sqref="G69:G70 G74:G82">
    <cfRule type="cellIs" dxfId="203" priority="208" stopIfTrue="1" operator="greaterThan">
      <formula>0</formula>
    </cfRule>
    <cfRule type="cellIs" dxfId="202" priority="209" stopIfTrue="1" operator="lessThan">
      <formula>0</formula>
    </cfRule>
    <cfRule type="cellIs" dxfId="201" priority="210" stopIfTrue="1" operator="equal">
      <formula>0</formula>
    </cfRule>
  </conditionalFormatting>
  <conditionalFormatting sqref="G69:G70 G74:G82">
    <cfRule type="cellIs" dxfId="200" priority="205" operator="equal">
      <formula>0</formula>
    </cfRule>
    <cfRule type="cellIs" dxfId="199" priority="206" operator="lessThan">
      <formula>0</formula>
    </cfRule>
    <cfRule type="cellIs" dxfId="198" priority="207" operator="greaterThan">
      <formula>0</formula>
    </cfRule>
  </conditionalFormatting>
  <conditionalFormatting sqref="L68:L70 L74:L82">
    <cfRule type="cellIs" dxfId="197" priority="199" operator="equal">
      <formula>0</formula>
    </cfRule>
    <cfRule type="cellIs" dxfId="196" priority="200" operator="lessThan">
      <formula>0</formula>
    </cfRule>
    <cfRule type="cellIs" dxfId="195" priority="201" operator="greaterThan">
      <formula>0</formula>
    </cfRule>
  </conditionalFormatting>
  <conditionalFormatting sqref="L68:L70 L74:L82">
    <cfRule type="cellIs" dxfId="194" priority="202" stopIfTrue="1" operator="greaterThan">
      <formula>0</formula>
    </cfRule>
    <cfRule type="cellIs" dxfId="193" priority="203" stopIfTrue="1" operator="lessThan">
      <formula>0</formula>
    </cfRule>
    <cfRule type="cellIs" dxfId="192" priority="204" stopIfTrue="1" operator="equal">
      <formula>0</formula>
    </cfRule>
  </conditionalFormatting>
  <conditionalFormatting sqref="G11">
    <cfRule type="cellIs" dxfId="191" priority="196" stopIfTrue="1" operator="greaterThan">
      <formula>0</formula>
    </cfRule>
    <cfRule type="cellIs" dxfId="190" priority="197" stopIfTrue="1" operator="lessThan">
      <formula>0</formula>
    </cfRule>
    <cfRule type="cellIs" dxfId="189" priority="198" stopIfTrue="1" operator="equal">
      <formula>0</formula>
    </cfRule>
  </conditionalFormatting>
  <conditionalFormatting sqref="G11">
    <cfRule type="cellIs" dxfId="188" priority="193" operator="equal">
      <formula>0</formula>
    </cfRule>
    <cfRule type="cellIs" dxfId="187" priority="194" operator="lessThan">
      <formula>0</formula>
    </cfRule>
    <cfRule type="cellIs" dxfId="186" priority="195" operator="greaterThan">
      <formula>0</formula>
    </cfRule>
  </conditionalFormatting>
  <conditionalFormatting sqref="G28 G33:G41">
    <cfRule type="cellIs" dxfId="185" priority="184" stopIfTrue="1" operator="greaterThan">
      <formula>0</formula>
    </cfRule>
    <cfRule type="cellIs" dxfId="184" priority="185" stopIfTrue="1" operator="lessThan">
      <formula>0</formula>
    </cfRule>
    <cfRule type="cellIs" dxfId="183" priority="186" stopIfTrue="1" operator="equal">
      <formula>0</formula>
    </cfRule>
  </conditionalFormatting>
  <conditionalFormatting sqref="G28 G33:G41">
    <cfRule type="cellIs" dxfId="182" priority="181" operator="equal">
      <formula>0</formula>
    </cfRule>
    <cfRule type="cellIs" dxfId="181" priority="182" operator="lessThan">
      <formula>0</formula>
    </cfRule>
    <cfRule type="cellIs" dxfId="180" priority="183" operator="greaterThan">
      <formula>0</formula>
    </cfRule>
  </conditionalFormatting>
  <conditionalFormatting sqref="G29">
    <cfRule type="cellIs" dxfId="179" priority="178" stopIfTrue="1" operator="greaterThan">
      <formula>0</formula>
    </cfRule>
    <cfRule type="cellIs" dxfId="178" priority="179" stopIfTrue="1" operator="lessThan">
      <formula>0</formula>
    </cfRule>
    <cfRule type="cellIs" dxfId="177" priority="180" stopIfTrue="1" operator="equal">
      <formula>0</formula>
    </cfRule>
  </conditionalFormatting>
  <conditionalFormatting sqref="G29">
    <cfRule type="cellIs" dxfId="176" priority="175" operator="equal">
      <formula>0</formula>
    </cfRule>
    <cfRule type="cellIs" dxfId="175" priority="176" operator="lessThan">
      <formula>0</formula>
    </cfRule>
    <cfRule type="cellIs" dxfId="174" priority="177" operator="greaterThan">
      <formula>0</formula>
    </cfRule>
  </conditionalFormatting>
  <conditionalFormatting sqref="E124:E149">
    <cfRule type="cellIs" dxfId="173" priority="169" operator="equal">
      <formula>0</formula>
    </cfRule>
    <cfRule type="cellIs" dxfId="172" priority="170" operator="lessThan">
      <formula>0</formula>
    </cfRule>
    <cfRule type="cellIs" dxfId="171" priority="171" operator="greaterThan">
      <formula>0</formula>
    </cfRule>
  </conditionalFormatting>
  <conditionalFormatting sqref="E124:E149">
    <cfRule type="cellIs" dxfId="170" priority="172" stopIfTrue="1" operator="greaterThan">
      <formula>0</formula>
    </cfRule>
    <cfRule type="cellIs" dxfId="169" priority="173" stopIfTrue="1" operator="lessThan">
      <formula>0</formula>
    </cfRule>
    <cfRule type="cellIs" dxfId="168" priority="174" stopIfTrue="1" operator="equal">
      <formula>0</formula>
    </cfRule>
  </conditionalFormatting>
  <conditionalFormatting sqref="G124:G149 I124:I149 K124:K149 M124:M149">
    <cfRule type="cellIs" dxfId="167" priority="163" operator="equal">
      <formula>0</formula>
    </cfRule>
    <cfRule type="cellIs" dxfId="166" priority="164" operator="lessThan">
      <formula>0</formula>
    </cfRule>
    <cfRule type="cellIs" dxfId="165" priority="165" operator="greaterThan">
      <formula>0</formula>
    </cfRule>
  </conditionalFormatting>
  <conditionalFormatting sqref="G124:G149 I124:I149 K124:K149 M124:M149">
    <cfRule type="cellIs" dxfId="164" priority="166" stopIfTrue="1" operator="greaterThan">
      <formula>0</formula>
    </cfRule>
    <cfRule type="cellIs" dxfId="163" priority="167" stopIfTrue="1" operator="lessThan">
      <formula>0</formula>
    </cfRule>
    <cfRule type="cellIs" dxfId="162" priority="168" stopIfTrue="1" operator="equal">
      <formula>0</formula>
    </cfRule>
  </conditionalFormatting>
  <conditionalFormatting sqref="E156:E181">
    <cfRule type="cellIs" dxfId="161" priority="157" operator="equal">
      <formula>0</formula>
    </cfRule>
    <cfRule type="cellIs" dxfId="160" priority="158" operator="lessThan">
      <formula>0</formula>
    </cfRule>
    <cfRule type="cellIs" dxfId="159" priority="159" operator="greaterThan">
      <formula>0</formula>
    </cfRule>
  </conditionalFormatting>
  <conditionalFormatting sqref="E156:E181">
    <cfRule type="cellIs" dxfId="158" priority="160" stopIfTrue="1" operator="greaterThan">
      <formula>0</formula>
    </cfRule>
    <cfRule type="cellIs" dxfId="157" priority="161" stopIfTrue="1" operator="lessThan">
      <formula>0</formula>
    </cfRule>
    <cfRule type="cellIs" dxfId="156" priority="162" stopIfTrue="1" operator="equal">
      <formula>0</formula>
    </cfRule>
  </conditionalFormatting>
  <conditionalFormatting sqref="G156:G181 I156:I181 K156:K181 M156:M181">
    <cfRule type="cellIs" dxfId="155" priority="151" operator="equal">
      <formula>0</formula>
    </cfRule>
    <cfRule type="cellIs" dxfId="154" priority="152" operator="lessThan">
      <formula>0</formula>
    </cfRule>
    <cfRule type="cellIs" dxfId="153" priority="153" operator="greaterThan">
      <formula>0</formula>
    </cfRule>
  </conditionalFormatting>
  <conditionalFormatting sqref="G156:G181 I156:I181 K156:K181 M156:M181">
    <cfRule type="cellIs" dxfId="152" priority="154" stopIfTrue="1" operator="greaterThan">
      <formula>0</formula>
    </cfRule>
    <cfRule type="cellIs" dxfId="151" priority="155" stopIfTrue="1" operator="lessThan">
      <formula>0</formula>
    </cfRule>
    <cfRule type="cellIs" dxfId="150" priority="156" stopIfTrue="1" operator="equal">
      <formula>0</formula>
    </cfRule>
  </conditionalFormatting>
  <conditionalFormatting sqref="L86">
    <cfRule type="cellIs" dxfId="149" priority="145" operator="equal">
      <formula>0</formula>
    </cfRule>
    <cfRule type="cellIs" dxfId="148" priority="146" operator="lessThan">
      <formula>0</formula>
    </cfRule>
    <cfRule type="cellIs" dxfId="147" priority="147" operator="greaterThan">
      <formula>0</formula>
    </cfRule>
  </conditionalFormatting>
  <conditionalFormatting sqref="L86">
    <cfRule type="cellIs" dxfId="146" priority="148" stopIfTrue="1" operator="greaterThan">
      <formula>0</formula>
    </cfRule>
    <cfRule type="cellIs" dxfId="145" priority="149" stopIfTrue="1" operator="lessThan">
      <formula>0</formula>
    </cfRule>
    <cfRule type="cellIs" dxfId="144" priority="150" stopIfTrue="1" operator="equal">
      <formula>0</formula>
    </cfRule>
  </conditionalFormatting>
  <conditionalFormatting sqref="G12:G13">
    <cfRule type="cellIs" dxfId="143" priority="142" stopIfTrue="1" operator="greaterThan">
      <formula>0</formula>
    </cfRule>
    <cfRule type="cellIs" dxfId="142" priority="143" stopIfTrue="1" operator="lessThan">
      <formula>0</formula>
    </cfRule>
    <cfRule type="cellIs" dxfId="141" priority="144" stopIfTrue="1" operator="equal">
      <formula>0</formula>
    </cfRule>
  </conditionalFormatting>
  <conditionalFormatting sqref="G12:G13">
    <cfRule type="cellIs" dxfId="140" priority="139" operator="equal">
      <formula>0</formula>
    </cfRule>
    <cfRule type="cellIs" dxfId="139" priority="140" operator="lessThan">
      <formula>0</formula>
    </cfRule>
    <cfRule type="cellIs" dxfId="138" priority="141" operator="greaterThan">
      <formula>0</formula>
    </cfRule>
  </conditionalFormatting>
  <conditionalFormatting sqref="G12:G13">
    <cfRule type="cellIs" dxfId="137" priority="136" stopIfTrue="1" operator="greaterThan">
      <formula>0</formula>
    </cfRule>
    <cfRule type="cellIs" dxfId="136" priority="137" stopIfTrue="1" operator="lessThan">
      <formula>0</formula>
    </cfRule>
    <cfRule type="cellIs" dxfId="135" priority="138" stopIfTrue="1" operator="equal">
      <formula>0</formula>
    </cfRule>
  </conditionalFormatting>
  <conditionalFormatting sqref="G12:G13">
    <cfRule type="cellIs" dxfId="134" priority="133" operator="equal">
      <formula>0</formula>
    </cfRule>
    <cfRule type="cellIs" dxfId="133" priority="134" operator="lessThan">
      <formula>0</formula>
    </cfRule>
    <cfRule type="cellIs" dxfId="132" priority="135" operator="greaterThan">
      <formula>0</formula>
    </cfRule>
  </conditionalFormatting>
  <conditionalFormatting sqref="L12:L13">
    <cfRule type="cellIs" dxfId="131" priority="127" operator="equal">
      <formula>0</formula>
    </cfRule>
    <cfRule type="cellIs" dxfId="130" priority="128" operator="lessThan">
      <formula>0</formula>
    </cfRule>
    <cfRule type="cellIs" dxfId="129" priority="129" operator="greaterThan">
      <formula>0</formula>
    </cfRule>
  </conditionalFormatting>
  <conditionalFormatting sqref="L12:L13">
    <cfRule type="cellIs" dxfId="128" priority="130" stopIfTrue="1" operator="greaterThan">
      <formula>0</formula>
    </cfRule>
    <cfRule type="cellIs" dxfId="127" priority="131" stopIfTrue="1" operator="lessThan">
      <formula>0</formula>
    </cfRule>
    <cfRule type="cellIs" dxfId="126" priority="132" stopIfTrue="1" operator="equal">
      <formula>0</formula>
    </cfRule>
  </conditionalFormatting>
  <conditionalFormatting sqref="G30:G31">
    <cfRule type="cellIs" dxfId="125" priority="118" stopIfTrue="1" operator="greaterThan">
      <formula>0</formula>
    </cfRule>
    <cfRule type="cellIs" dxfId="124" priority="119" stopIfTrue="1" operator="lessThan">
      <formula>0</formula>
    </cfRule>
    <cfRule type="cellIs" dxfId="123" priority="120" stopIfTrue="1" operator="equal">
      <formula>0</formula>
    </cfRule>
  </conditionalFormatting>
  <conditionalFormatting sqref="G30:G31">
    <cfRule type="cellIs" dxfId="122" priority="115" operator="equal">
      <formula>0</formula>
    </cfRule>
    <cfRule type="cellIs" dxfId="121" priority="116" operator="lessThan">
      <formula>0</formula>
    </cfRule>
    <cfRule type="cellIs" dxfId="120" priority="117" operator="greaterThan">
      <formula>0</formula>
    </cfRule>
  </conditionalFormatting>
  <conditionalFormatting sqref="L30:L31">
    <cfRule type="cellIs" dxfId="119" priority="121" operator="equal">
      <formula>0</formula>
    </cfRule>
    <cfRule type="cellIs" dxfId="118" priority="122" operator="lessThan">
      <formula>0</formula>
    </cfRule>
    <cfRule type="cellIs" dxfId="117" priority="123" operator="greaterThan">
      <formula>0</formula>
    </cfRule>
  </conditionalFormatting>
  <conditionalFormatting sqref="L30:L31">
    <cfRule type="cellIs" dxfId="116" priority="124" stopIfTrue="1" operator="greaterThan">
      <formula>0</formula>
    </cfRule>
    <cfRule type="cellIs" dxfId="115" priority="125" stopIfTrue="1" operator="lessThan">
      <formula>0</formula>
    </cfRule>
    <cfRule type="cellIs" dxfId="114" priority="126" stopIfTrue="1" operator="equal">
      <formula>0</formula>
    </cfRule>
  </conditionalFormatting>
  <conditionalFormatting sqref="G30:G31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30:G31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48:G49">
    <cfRule type="cellIs" dxfId="107" priority="106" stopIfTrue="1" operator="greaterThan">
      <formula>0</formula>
    </cfRule>
    <cfRule type="cellIs" dxfId="106" priority="107" stopIfTrue="1" operator="lessThan">
      <formula>0</formula>
    </cfRule>
    <cfRule type="cellIs" dxfId="105" priority="108" stopIfTrue="1" operator="equal">
      <formula>0</formula>
    </cfRule>
  </conditionalFormatting>
  <conditionalFormatting sqref="G48:G49">
    <cfRule type="cellIs" dxfId="104" priority="103" operator="equal">
      <formula>0</formula>
    </cfRule>
    <cfRule type="cellIs" dxfId="103" priority="104" operator="lessThan">
      <formula>0</formula>
    </cfRule>
    <cfRule type="cellIs" dxfId="102" priority="105" operator="greaterThan">
      <formula>0</formula>
    </cfRule>
  </conditionalFormatting>
  <conditionalFormatting sqref="G48:G49">
    <cfRule type="cellIs" dxfId="101" priority="100" stopIfTrue="1" operator="greaterThan">
      <formula>0</formula>
    </cfRule>
    <cfRule type="cellIs" dxfId="100" priority="101" stopIfTrue="1" operator="lessThan">
      <formula>0</formula>
    </cfRule>
    <cfRule type="cellIs" dxfId="99" priority="102" stopIfTrue="1" operator="equal">
      <formula>0</formula>
    </cfRule>
  </conditionalFormatting>
  <conditionalFormatting sqref="G48:G49">
    <cfRule type="cellIs" dxfId="98" priority="97" operator="equal">
      <formula>0</formula>
    </cfRule>
    <cfRule type="cellIs" dxfId="97" priority="98" operator="lessThan">
      <formula>0</formula>
    </cfRule>
    <cfRule type="cellIs" dxfId="96" priority="99" operator="greaterThan">
      <formula>0</formula>
    </cfRule>
  </conditionalFormatting>
  <conditionalFormatting sqref="L48:L49">
    <cfRule type="cellIs" dxfId="95" priority="91" operator="equal">
      <formula>0</formula>
    </cfRule>
    <cfRule type="cellIs" dxfId="94" priority="92" operator="lessThan">
      <formula>0</formula>
    </cfRule>
    <cfRule type="cellIs" dxfId="93" priority="93" operator="greaterThan">
      <formula>0</formula>
    </cfRule>
  </conditionalFormatting>
  <conditionalFormatting sqref="L48:L49">
    <cfRule type="cellIs" dxfId="92" priority="94" stopIfTrue="1" operator="greaterThan">
      <formula>0</formula>
    </cfRule>
    <cfRule type="cellIs" dxfId="91" priority="95" stopIfTrue="1" operator="lessThan">
      <formula>0</formula>
    </cfRule>
    <cfRule type="cellIs" dxfId="90" priority="96" stopIfTrue="1" operator="equal">
      <formula>0</formula>
    </cfRule>
  </conditionalFormatting>
  <conditionalFormatting sqref="G71:G7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71:G7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71:G7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71:G7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L71:L7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L71:L7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G14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G14">
    <cfRule type="cellIs" dxfId="68" priority="67" operator="equal">
      <formula>0</formula>
    </cfRule>
    <cfRule type="cellIs" dxfId="67" priority="68" operator="lessThan">
      <formula>0</formula>
    </cfRule>
    <cfRule type="cellIs" dxfId="66" priority="69" operator="greaterThan">
      <formula>0</formula>
    </cfRule>
  </conditionalFormatting>
  <conditionalFormatting sqref="G14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G14">
    <cfRule type="cellIs" dxfId="62" priority="61" operator="equal">
      <formula>0</formula>
    </cfRule>
    <cfRule type="cellIs" dxfId="61" priority="62" operator="lessThan">
      <formula>0</formula>
    </cfRule>
    <cfRule type="cellIs" dxfId="60" priority="63" operator="greaterThan">
      <formula>0</formula>
    </cfRule>
  </conditionalFormatting>
  <conditionalFormatting sqref="L14">
    <cfRule type="cellIs" dxfId="59" priority="55" operator="equal">
      <formula>0</formula>
    </cfRule>
    <cfRule type="cellIs" dxfId="58" priority="56" operator="lessThan">
      <formula>0</formula>
    </cfRule>
    <cfRule type="cellIs" dxfId="57" priority="57" operator="greaterThan">
      <formula>0</formula>
    </cfRule>
  </conditionalFormatting>
  <conditionalFormatting sqref="L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G32">
    <cfRule type="cellIs" dxfId="53" priority="52" stopIfTrue="1" operator="greaterThan">
      <formula>0</formula>
    </cfRule>
    <cfRule type="cellIs" dxfId="52" priority="53" stopIfTrue="1" operator="lessThan">
      <formula>0</formula>
    </cfRule>
    <cfRule type="cellIs" dxfId="51" priority="54" stopIfTrue="1" operator="equal">
      <formula>0</formula>
    </cfRule>
  </conditionalFormatting>
  <conditionalFormatting sqref="G32">
    <cfRule type="cellIs" dxfId="50" priority="49" operator="equal">
      <formula>0</formula>
    </cfRule>
    <cfRule type="cellIs" dxfId="49" priority="50" operator="lessThan">
      <formula>0</formula>
    </cfRule>
    <cfRule type="cellIs" dxfId="48" priority="51" operator="greaterThan">
      <formula>0</formula>
    </cfRule>
  </conditionalFormatting>
  <conditionalFormatting sqref="G32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32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L32">
    <cfRule type="cellIs" dxfId="41" priority="37" operator="equal">
      <formula>0</formula>
    </cfRule>
    <cfRule type="cellIs" dxfId="40" priority="38" operator="lessThan">
      <formula>0</formula>
    </cfRule>
    <cfRule type="cellIs" dxfId="39" priority="39" operator="greaterThan">
      <formula>0</formula>
    </cfRule>
  </conditionalFormatting>
  <conditionalFormatting sqref="L32">
    <cfRule type="cellIs" dxfId="38" priority="40" stopIfTrue="1" operator="greaterThan">
      <formula>0</formula>
    </cfRule>
    <cfRule type="cellIs" dxfId="37" priority="41" stopIfTrue="1" operator="lessThan">
      <formula>0</formula>
    </cfRule>
    <cfRule type="cellIs" dxfId="36" priority="42" stopIfTrue="1" operator="equal">
      <formula>0</formula>
    </cfRule>
  </conditionalFormatting>
  <conditionalFormatting sqref="G50">
    <cfRule type="cellIs" dxfId="35" priority="34" stopIfTrue="1" operator="greaterThan">
      <formula>0</formula>
    </cfRule>
    <cfRule type="cellIs" dxfId="34" priority="35" stopIfTrue="1" operator="lessThan">
      <formula>0</formula>
    </cfRule>
    <cfRule type="cellIs" dxfId="33" priority="36" stopIfTrue="1" operator="equal">
      <formula>0</formula>
    </cfRule>
  </conditionalFormatting>
  <conditionalFormatting sqref="G50">
    <cfRule type="cellIs" dxfId="32" priority="31" operator="equal">
      <formula>0</formula>
    </cfRule>
    <cfRule type="cellIs" dxfId="31" priority="32" operator="lessThan">
      <formula>0</formula>
    </cfRule>
    <cfRule type="cellIs" dxfId="30" priority="33" operator="greaterThan">
      <formula>0</formula>
    </cfRule>
  </conditionalFormatting>
  <conditionalFormatting sqref="G50">
    <cfRule type="cellIs" dxfId="29" priority="28" stopIfTrue="1" operator="greaterThan">
      <formula>0</formula>
    </cfRule>
    <cfRule type="cellIs" dxfId="28" priority="29" stopIfTrue="1" operator="lessThan">
      <formula>0</formula>
    </cfRule>
    <cfRule type="cellIs" dxfId="27" priority="30" stopIfTrue="1" operator="equal">
      <formula>0</formula>
    </cfRule>
  </conditionalFormatting>
  <conditionalFormatting sqref="G50">
    <cfRule type="cellIs" dxfId="26" priority="25" operator="equal">
      <formula>0</formula>
    </cfRule>
    <cfRule type="cellIs" dxfId="25" priority="26" operator="lessThan">
      <formula>0</formula>
    </cfRule>
    <cfRule type="cellIs" dxfId="24" priority="27" operator="greaterThan">
      <formula>0</formula>
    </cfRule>
  </conditionalFormatting>
  <conditionalFormatting sqref="L50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L50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73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G73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G73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G73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L73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L73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60" min="2" max="12" man="1"/>
    <brk id="115" min="2" max="12" man="1"/>
    <brk id="181" min="2" max="12" man="1"/>
    <brk id="29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julio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2017-08-25T09:20:27+00:00</PublishingStartDate>
    <_dlc_DocId xmlns="8b099203-c902-4a5b-992f-1f849b15ff82">Q5F7QW3RQ55V-2035-360</_dlc_DocId>
    <_dlc_DocIdUrl xmlns="8b099203-c902-4a5b-992f-1f849b15ff82">
      <Url>http://admin.webtenerife.com/es/investigacion/Situacion-turistica/indicadores-turisticos/_layouts/DocIdRedir.aspx?ID=Q5F7QW3RQ55V-2035-360</Url>
      <Description>Q5F7QW3RQ55V-2035-360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654262-55D3-42C8-8870-D37C86BCF4E9}"/>
</file>

<file path=customXml/itemProps2.xml><?xml version="1.0" encoding="utf-8"?>
<ds:datastoreItem xmlns:ds="http://schemas.openxmlformats.org/officeDocument/2006/customXml" ds:itemID="{C55B41A0-FADE-48B9-8982-C95973364462}"/>
</file>

<file path=customXml/itemProps3.xml><?xml version="1.0" encoding="utf-8"?>
<ds:datastoreItem xmlns:ds="http://schemas.openxmlformats.org/officeDocument/2006/customXml" ds:itemID="{FCF2964E-3197-4679-BE40-89C44C790D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(vinculo)</vt:lpstr>
      <vt:lpstr>'Ind turísticos (vinculo)'!Área_de_impresión</vt:lpstr>
      <vt:lpstr>'Ind turísticos (vinculo)'!Print_Area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(julio y acumulado 2017)</dc:title>
  <dc:creator>Manuela Rabaneda</dc:creator>
  <cp:lastModifiedBy>Manuela Rabaneda</cp:lastModifiedBy>
  <dcterms:created xsi:type="dcterms:W3CDTF">2017-08-22T10:13:46Z</dcterms:created>
  <dcterms:modified xsi:type="dcterms:W3CDTF">2017-08-22T10:14:26Z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ccf9d07a-4524-458e-bda3-8261e9f60042</vt:lpwstr>
  </property>
</Properties>
</file>