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19200" windowHeight="1047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H280" i="1"/>
  <c r="H301" i="1"/>
  <c r="H304" i="1"/>
  <c r="H308" i="1"/>
  <c r="H282" i="1"/>
  <c r="H307" i="1"/>
  <c r="H299" i="1"/>
  <c r="H310" i="1"/>
  <c r="E184" i="1"/>
  <c r="E117" i="1"/>
  <c r="E242" i="1"/>
  <c r="E294" i="1" s="1"/>
  <c r="C215" i="1"/>
  <c r="G152" i="1"/>
  <c r="I62" i="1"/>
</calcChain>
</file>

<file path=xl/sharedStrings.xml><?xml version="1.0" encoding="utf-8"?>
<sst xmlns="http://schemas.openxmlformats.org/spreadsheetml/2006/main" count="590" uniqueCount="115">
  <si>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</si>
  <si>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</si>
  <si>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</si>
  <si>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</si>
  <si>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</si>
  <si>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</si>
  <si>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</si>
  <si>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</si>
  <si>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</si>
  <si>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</si>
  <si>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</si>
  <si>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</si>
  <si>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</si>
  <si>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</si>
  <si>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</si>
  <si>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</si>
  <si>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</si>
  <si>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</si>
  <si>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</si>
  <si>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</si>
  <si>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</si>
  <si>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</si>
  <si>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</si>
  <si>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</si>
  <si>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</si>
  <si>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</si>
  <si>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</si>
  <si>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</si>
  <si>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</si>
  <si>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</si>
  <si>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</si>
  <si>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</si>
  <si>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</si>
  <si>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</si>
  <si>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</si>
  <si>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</si>
  <si>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</si>
  <si>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</si>
  <si>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</si>
  <si>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</si>
  <si>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</si>
  <si>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</si>
  <si>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</si>
  <si>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</si>
  <si>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</si>
  <si>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</si>
  <si>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</si>
  <si>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</si>
  <si>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</si>
  <si>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</si>
  <si>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</si>
  <si>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</si>
  <si>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</si>
  <si>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</si>
  <si>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</si>
  <si>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</si>
  <si>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</si>
  <si>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</si>
  <si>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</si>
  <si>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</si>
  <si>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</si>
  <si>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</si>
  <si>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</si>
  <si>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</si>
  <si>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</si>
  <si>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</si>
  <si>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</si>
  <si>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</si>
  <si>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</si>
  <si>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</si>
  <si>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</si>
  <si>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</si>
  <si>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</si>
  <si>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</si>
  <si>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</si>
  <si>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</si>
  <si>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</si>
  <si>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</si>
  <si>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</si>
  <si>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</si>
  <si>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</si>
  <si>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</si>
  <si>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</si>
  <si>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</si>
  <si>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</si>
  <si>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</si>
  <si>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</si>
  <si>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</si>
  <si>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</si>
  <si>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</si>
  <si>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</si>
  <si>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</si>
  <si>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</si>
  <si>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junio 2017</t>
  </si>
  <si>
    <t>Muestra hotelera= 90,0%;   Muestra extrahotelera= 63,2%;   Muestra total= 78,8%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</si>
  <si>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</si>
  <si>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</si>
  <si>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total diario por turista se situó en 116,1€, un 2,9% más que en el año 2014.</t>
  </si>
  <si>
    <t>El gasto medio en Tenerife, por turista y día  fue de 39,8€, experimentando un incremento del 1,9% respecto a el año 2014.</t>
  </si>
  <si>
    <t>año 2015 
Encuesta al Turismo Receptivo del Cabildo de Tenerife</t>
  </si>
  <si>
    <t>El número de plazas autorizadas por Policía Turística a fecha de junio 2017 asciendían a 137.179 plazas, registrando un incremento del 0,4% respecto al cierre del año 2016.</t>
  </si>
  <si>
    <t>Las plazas hoteleras autorizadas ascienden a 84.083 y representan el 61% del total. Con respecto al año 2016, las plazas hoteleras se reducen un -0,6%.</t>
  </si>
  <si>
    <t>Las plazas extrahoteleras autorizadas, el 38% del total, ascienden a  51.626 (no incluye oferta rural). Aumentan un +2,1%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</si>
  <si>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</si>
  <si>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913, registrando un incremento del 1,0% respecto a 2016.</t>
  </si>
  <si>
    <t>Las plazas estimadas por el STDE del Cabildo de Tenerife en el I semestre de 2017 ascienden a 159.070. Se incremantan un 0,5% respecto al mismo período del año anterior.</t>
  </si>
  <si>
    <t>La oferta extrahotelera estimada por el STDE del Cabildo de Tenerife en el I semestre de 2017, asciende a 66.292 plazas, incluyendo oferta rural. Supone el 41,7% del total de las plazas turísticas, registrando un incremento del 0,8%.</t>
  </si>
  <si>
    <t>Las plazas estimadas para la zona de La Laguna, Bajamar, La Punta ascienden a 1.082 en el I semestre de 2017, registrando un incremento respecto al mismo periodo del año anterior del 13,1%.</t>
  </si>
  <si>
    <t>Las plazas extrahoteleras se estiman en 504, registrándose un incremento del 40,4% respecto al I semestre del año anterior.</t>
  </si>
  <si>
    <t>Las plazas totales estimadas para la zona Norte se sitúan en las 27.957 plazas,  registrándose un incremento del 4,1% con respecto al incremento del 40,4% respecto al I semestre del año anterior.</t>
  </si>
  <si>
    <t>Las plazas extrahoteleras estimadas se sitúan en las 56.691 en el I semestre del  2017, con un descenso del -0,4%  respecto al I semestre del año anterior.</t>
  </si>
  <si>
    <t>Por el Puerto de Santa Cruz de Tenerife han pasado en los primeros cinco meses del año 2017, 237.622 cruceristas, un -10,4% menos en comparación al mismo período del año 2016</t>
  </si>
  <si>
    <t>El número de buques de crucero en el Puerto de Santa Cruz de Tenerife hasta mayo 2017 ascienden a un total de 0 cruceros, cifra que se reduce un -100,0% respecto al mismo período del año anterior.</t>
  </si>
  <si>
    <t>Acumulado mayo 2017
FUENTE: Autoridad Portuaria de S/C de Tenerife</t>
  </si>
  <si>
    <t>I semestre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</si>
</sst>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08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0" borderId="148" xfId="0" applyFont="1" applyFill="1" applyBorder="1" applyAlignment="1" applyProtection="1">
      <alignment vertical="center" wrapText="1"/>
      <protection hidden="1"/>
    </xf>
    <xf numFmtId="0" fontId="2" fillId="0" borderId="148" xfId="0" applyFont="1" applyBorder="1" applyAlignment="1" applyProtection="1">
      <alignment vertical="center" wrapText="1"/>
      <protection hidden="1"/>
    </xf>
    <xf numFmtId="0" fontId="2" fillId="0" borderId="0" xfId="0" applyFont="1"/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2" fillId="7" borderId="117" xfId="0" applyFont="1" applyFill="1" applyBorder="1" applyAlignment="1" applyProtection="1">
      <alignment horizontal="justify" vertical="center" wrapText="1"/>
      <protection hidden="1"/>
    </xf>
    <xf numFmtId="0" fontId="2" fillId="7" borderId="118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C264CB3A-73AE-4E98-A973-088C6998B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376655C8-FAF8-47A8-BE9B-5419D437E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4AEF8127-E7F2-4E0F-9928-CF39A49E1D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F9A07A0B-558F-48F4-8688-AA6C8D040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D3E1F159-B199-4EE5-8857-A5C7353D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39AECA3-D7CC-43B9-9A55-A96F4B20D33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J10" sqref="J10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86" t="s">
        <v>92</v>
      </c>
      <c r="F1" s="286"/>
      <c r="G1" s="286"/>
      <c r="H1" s="286"/>
      <c r="I1" s="286"/>
      <c r="J1" s="286"/>
      <c r="K1" s="286"/>
      <c r="L1" s="2"/>
      <c r="M1" s="2"/>
    </row>
    <row r="2" spans="2:13" ht="15" customHeight="1" x14ac:dyDescent="0.2">
      <c r="B2" s="4"/>
      <c r="C2" s="382" t="s">
        <v>93</v>
      </c>
      <c r="D2" s="382"/>
      <c r="E2" s="382"/>
      <c r="F2" s="382"/>
      <c r="G2" s="382"/>
      <c r="H2" s="5"/>
      <c r="I2" s="384" t="s">
        <v>114</v>
      </c>
      <c r="J2" s="384"/>
      <c r="K2" s="384"/>
      <c r="L2" s="384"/>
      <c r="M2" s="384"/>
    </row>
    <row r="3" spans="2:13" ht="16.5" customHeight="1" thickBot="1" x14ac:dyDescent="0.25">
      <c r="B3" s="4"/>
      <c r="C3" s="383"/>
      <c r="D3" s="383"/>
      <c r="E3" s="383"/>
      <c r="F3" s="383"/>
      <c r="G3" s="383"/>
      <c r="H3" s="6"/>
      <c r="I3" s="385"/>
      <c r="J3" s="385"/>
      <c r="K3" s="385"/>
      <c r="L3" s="385"/>
      <c r="M3" s="385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386" t="s">
        <v>0</v>
      </c>
      <c r="D5" s="387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62" t="s">
        <v>6</v>
      </c>
      <c r="D7" s="263"/>
      <c r="E7" s="263"/>
      <c r="F7" s="263"/>
      <c r="G7" s="263"/>
      <c r="H7" s="263"/>
      <c r="I7" s="263"/>
      <c r="J7" s="263"/>
      <c r="K7" s="263"/>
      <c r="L7" s="263"/>
      <c r="M7" s="264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404" t="s">
        <v>7</v>
      </c>
      <c r="D9" s="405"/>
      <c r="E9" s="22" t="s">
        <v>8</v>
      </c>
      <c r="F9" s="23">
        <v>487926</v>
      </c>
      <c r="G9" s="24">
        <v>7.9367677768732436E-2</v>
      </c>
      <c r="H9" s="25"/>
      <c r="I9" s="388" t="s">
        <v>7</v>
      </c>
      <c r="J9" s="26" t="s">
        <v>8</v>
      </c>
      <c r="K9" s="27">
        <v>2777659</v>
      </c>
      <c r="L9" s="28">
        <v>2.2470235027696184E-2</v>
      </c>
      <c r="M9" s="372" t="s">
        <v>9</v>
      </c>
    </row>
    <row r="10" spans="2:13" ht="24.75" customHeight="1" x14ac:dyDescent="0.2">
      <c r="C10" s="390"/>
      <c r="D10" s="391"/>
      <c r="E10" s="29" t="s">
        <v>10</v>
      </c>
      <c r="F10" s="30">
        <v>321750</v>
      </c>
      <c r="G10" s="31">
        <v>5.3001914548935547E-2</v>
      </c>
      <c r="H10" s="32"/>
      <c r="I10" s="390"/>
      <c r="J10" s="29" t="s">
        <v>10</v>
      </c>
      <c r="K10" s="30">
        <v>1885785</v>
      </c>
      <c r="L10" s="33">
        <v>1.7067760291973766E-2</v>
      </c>
      <c r="M10" s="372"/>
    </row>
    <row r="11" spans="2:13" ht="24.75" customHeight="1" thickBot="1" x14ac:dyDescent="0.25">
      <c r="C11" s="406"/>
      <c r="D11" s="407"/>
      <c r="E11" s="34" t="s">
        <v>11</v>
      </c>
      <c r="F11" s="23">
        <v>166176</v>
      </c>
      <c r="G11" s="24">
        <v>0.13436136880260485</v>
      </c>
      <c r="H11" s="32"/>
      <c r="I11" s="392"/>
      <c r="J11" s="35" t="s">
        <v>11</v>
      </c>
      <c r="K11" s="36">
        <v>891874</v>
      </c>
      <c r="L11" s="37">
        <v>3.4084387177860886E-2</v>
      </c>
      <c r="M11" s="372"/>
    </row>
    <row r="12" spans="2:13" ht="24.75" hidden="1" customHeight="1" x14ac:dyDescent="0.2">
      <c r="C12" s="366" t="s">
        <v>12</v>
      </c>
      <c r="D12" s="367"/>
      <c r="E12" s="38" t="s">
        <v>8</v>
      </c>
      <c r="F12" s="39">
        <v>17548</v>
      </c>
      <c r="G12" s="40">
        <v>1.5568030557323809E-2</v>
      </c>
      <c r="H12" s="41"/>
      <c r="I12" s="366" t="s">
        <v>12</v>
      </c>
      <c r="J12" s="38" t="s">
        <v>8</v>
      </c>
      <c r="K12" s="39">
        <v>120805</v>
      </c>
      <c r="L12" s="28">
        <v>-9.2672325419280721E-3</v>
      </c>
      <c r="M12" s="372"/>
    </row>
    <row r="13" spans="2:13" ht="46.5" customHeight="1" thickBot="1" x14ac:dyDescent="0.25">
      <c r="C13" s="368"/>
      <c r="D13" s="369"/>
      <c r="E13" s="42" t="s">
        <v>10</v>
      </c>
      <c r="F13" s="43">
        <v>17548</v>
      </c>
      <c r="G13" s="31">
        <v>1.5568030557323809E-2</v>
      </c>
      <c r="H13" s="41"/>
      <c r="I13" s="368"/>
      <c r="J13" s="42" t="s">
        <v>10</v>
      </c>
      <c r="K13" s="43">
        <v>120805</v>
      </c>
      <c r="L13" s="33">
        <v>-6.9135031155976856E-3</v>
      </c>
      <c r="M13" s="372"/>
    </row>
    <row r="14" spans="2:13" ht="24.75" hidden="1" customHeight="1" x14ac:dyDescent="0.2">
      <c r="C14" s="370"/>
      <c r="D14" s="371"/>
      <c r="E14" s="44" t="s">
        <v>11</v>
      </c>
      <c r="F14" s="45">
        <v>0</v>
      </c>
      <c r="G14" s="46" t="s">
        <v>38</v>
      </c>
      <c r="H14" s="41"/>
      <c r="I14" s="370"/>
      <c r="J14" s="44" t="s">
        <v>11</v>
      </c>
      <c r="K14" s="45">
        <v>0</v>
      </c>
      <c r="L14" s="37">
        <v>-1</v>
      </c>
      <c r="M14" s="372"/>
    </row>
    <row r="15" spans="2:13" ht="24.75" customHeight="1" x14ac:dyDescent="0.2">
      <c r="C15" s="373" t="s">
        <v>13</v>
      </c>
      <c r="D15" s="394"/>
      <c r="E15" s="47" t="s">
        <v>8</v>
      </c>
      <c r="F15" s="48">
        <v>2889</v>
      </c>
      <c r="G15" s="40">
        <v>0.10309278350515472</v>
      </c>
      <c r="H15" s="41"/>
      <c r="I15" s="373" t="s">
        <v>13</v>
      </c>
      <c r="J15" s="47" t="s">
        <v>8</v>
      </c>
      <c r="K15" s="48">
        <v>22706</v>
      </c>
      <c r="L15" s="28">
        <v>7.9695672848312027E-2</v>
      </c>
      <c r="M15" s="372"/>
    </row>
    <row r="16" spans="2:13" ht="24.75" customHeight="1" x14ac:dyDescent="0.2">
      <c r="C16" s="374"/>
      <c r="D16" s="395"/>
      <c r="E16" s="49" t="s">
        <v>10</v>
      </c>
      <c r="F16" s="50">
        <v>2386</v>
      </c>
      <c r="G16" s="31">
        <v>5.0638485248789111E-2</v>
      </c>
      <c r="H16" s="41"/>
      <c r="I16" s="374"/>
      <c r="J16" s="49" t="s">
        <v>10</v>
      </c>
      <c r="K16" s="50">
        <v>17247</v>
      </c>
      <c r="L16" s="33">
        <v>-3.4776560598159811E-4</v>
      </c>
      <c r="M16" s="372"/>
    </row>
    <row r="17" spans="3:13" ht="24.75" customHeight="1" thickBot="1" x14ac:dyDescent="0.25">
      <c r="C17" s="375"/>
      <c r="D17" s="396"/>
      <c r="E17" s="51" t="s">
        <v>11</v>
      </c>
      <c r="F17" s="52">
        <v>503</v>
      </c>
      <c r="G17" s="46">
        <v>0.44540229885057481</v>
      </c>
      <c r="H17" s="41"/>
      <c r="I17" s="375"/>
      <c r="J17" s="51" t="s">
        <v>11</v>
      </c>
      <c r="K17" s="52">
        <v>5459</v>
      </c>
      <c r="L17" s="37">
        <v>0.44532697908392915</v>
      </c>
      <c r="M17" s="372"/>
    </row>
    <row r="18" spans="3:13" ht="24.75" customHeight="1" x14ac:dyDescent="0.2">
      <c r="C18" s="366" t="s">
        <v>14</v>
      </c>
      <c r="D18" s="367"/>
      <c r="E18" s="38" t="s">
        <v>8</v>
      </c>
      <c r="F18" s="39">
        <v>98225</v>
      </c>
      <c r="G18" s="40">
        <v>0.23381191041438987</v>
      </c>
      <c r="H18" s="41"/>
      <c r="I18" s="366" t="s">
        <v>14</v>
      </c>
      <c r="J18" s="38" t="s">
        <v>8</v>
      </c>
      <c r="K18" s="39">
        <v>516201</v>
      </c>
      <c r="L18" s="28">
        <v>0.11158461873065972</v>
      </c>
      <c r="M18" s="372"/>
    </row>
    <row r="19" spans="3:13" ht="24.75" customHeight="1" x14ac:dyDescent="0.2">
      <c r="C19" s="368"/>
      <c r="D19" s="369"/>
      <c r="E19" s="42" t="s">
        <v>10</v>
      </c>
      <c r="F19" s="43">
        <v>70093</v>
      </c>
      <c r="G19" s="31">
        <v>0.20608782435129736</v>
      </c>
      <c r="H19" s="41"/>
      <c r="I19" s="368"/>
      <c r="J19" s="42" t="s">
        <v>10</v>
      </c>
      <c r="K19" s="43">
        <v>383030</v>
      </c>
      <c r="L19" s="33">
        <v>0.10650824327408337</v>
      </c>
      <c r="M19" s="372"/>
    </row>
    <row r="20" spans="3:13" ht="24.75" customHeight="1" thickBot="1" x14ac:dyDescent="0.25">
      <c r="C20" s="370"/>
      <c r="D20" s="371"/>
      <c r="E20" s="44" t="s">
        <v>11</v>
      </c>
      <c r="F20" s="45">
        <v>28132</v>
      </c>
      <c r="G20" s="46">
        <v>0.30876948127471504</v>
      </c>
      <c r="H20" s="41"/>
      <c r="I20" s="370"/>
      <c r="J20" s="44" t="s">
        <v>11</v>
      </c>
      <c r="K20" s="45">
        <v>133171</v>
      </c>
      <c r="L20" s="37">
        <v>0.12644854595591348</v>
      </c>
      <c r="M20" s="372"/>
    </row>
    <row r="21" spans="3:13" ht="24.75" customHeight="1" x14ac:dyDescent="0.2">
      <c r="C21" s="376" t="s">
        <v>15</v>
      </c>
      <c r="D21" s="377"/>
      <c r="E21" s="53" t="s">
        <v>8</v>
      </c>
      <c r="F21" s="54">
        <v>369264</v>
      </c>
      <c r="G21" s="40">
        <v>4.7441559657229515E-2</v>
      </c>
      <c r="H21" s="41"/>
      <c r="I21" s="376" t="s">
        <v>15</v>
      </c>
      <c r="J21" s="53" t="s">
        <v>8</v>
      </c>
      <c r="K21" s="54">
        <v>2117947</v>
      </c>
      <c r="L21" s="28">
        <v>4.1146976107351296E-3</v>
      </c>
      <c r="M21" s="372"/>
    </row>
    <row r="22" spans="3:13" ht="24.75" customHeight="1" x14ac:dyDescent="0.2">
      <c r="C22" s="378"/>
      <c r="D22" s="379"/>
      <c r="E22" s="55" t="s">
        <v>10</v>
      </c>
      <c r="F22" s="56">
        <v>231723</v>
      </c>
      <c r="G22" s="31">
        <v>1.6823980095572955E-2</v>
      </c>
      <c r="H22" s="41"/>
      <c r="I22" s="378"/>
      <c r="J22" s="55" t="s">
        <v>10</v>
      </c>
      <c r="K22" s="56">
        <v>1364703</v>
      </c>
      <c r="L22" s="33">
        <v>-3.196309343726722E-3</v>
      </c>
      <c r="M22" s="372"/>
    </row>
    <row r="23" spans="3:13" ht="24.75" customHeight="1" thickBot="1" x14ac:dyDescent="0.25">
      <c r="C23" s="380"/>
      <c r="D23" s="381"/>
      <c r="E23" s="57" t="s">
        <v>11</v>
      </c>
      <c r="F23" s="58">
        <v>137541</v>
      </c>
      <c r="G23" s="46">
        <v>0.10341756919374245</v>
      </c>
      <c r="H23" s="41"/>
      <c r="I23" s="380"/>
      <c r="J23" s="57" t="s">
        <v>11</v>
      </c>
      <c r="K23" s="58">
        <v>753244</v>
      </c>
      <c r="L23" s="37">
        <v>1.7637387207861677E-2</v>
      </c>
      <c r="M23" s="372"/>
    </row>
    <row r="24" spans="3:13" ht="5.25" customHeight="1" thickBot="1" x14ac:dyDescent="0.25"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3:13" ht="20.100000000000001" customHeight="1" thickBot="1" x14ac:dyDescent="0.25">
      <c r="C25" s="262" t="s">
        <v>16</v>
      </c>
      <c r="D25" s="263"/>
      <c r="E25" s="263"/>
      <c r="F25" s="263"/>
      <c r="G25" s="263"/>
      <c r="H25" s="263"/>
      <c r="I25" s="263"/>
      <c r="J25" s="263"/>
      <c r="K25" s="263"/>
      <c r="L25" s="263"/>
      <c r="M25" s="264"/>
    </row>
    <row r="26" spans="3:13" ht="5.25" customHeight="1" thickBot="1" x14ac:dyDescent="0.25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60"/>
    </row>
    <row r="27" spans="3:13" ht="24.95" customHeight="1" x14ac:dyDescent="0.2">
      <c r="C27" s="388" t="s">
        <v>7</v>
      </c>
      <c r="D27" s="389"/>
      <c r="E27" s="26" t="s">
        <v>8</v>
      </c>
      <c r="F27" s="23">
        <v>3376057</v>
      </c>
      <c r="G27" s="24">
        <v>3.2847419867720662E-2</v>
      </c>
      <c r="H27" s="25"/>
      <c r="I27" s="388" t="s">
        <v>7</v>
      </c>
      <c r="J27" s="26" t="s">
        <v>8</v>
      </c>
      <c r="K27" s="27">
        <v>20389469</v>
      </c>
      <c r="L27" s="28">
        <v>9.9788194329031299E-4</v>
      </c>
      <c r="M27" s="372" t="s">
        <v>9</v>
      </c>
    </row>
    <row r="28" spans="3:13" ht="24.95" customHeight="1" x14ac:dyDescent="0.2">
      <c r="C28" s="390"/>
      <c r="D28" s="391"/>
      <c r="E28" s="29" t="s">
        <v>10</v>
      </c>
      <c r="F28" s="30">
        <v>2178893</v>
      </c>
      <c r="G28" s="31">
        <v>1.9520638001398138E-2</v>
      </c>
      <c r="H28" s="32"/>
      <c r="I28" s="390"/>
      <c r="J28" s="29" t="s">
        <v>10</v>
      </c>
      <c r="K28" s="30">
        <v>13146075</v>
      </c>
      <c r="L28" s="33">
        <v>-6.3985872891547668E-3</v>
      </c>
      <c r="M28" s="372"/>
    </row>
    <row r="29" spans="3:13" ht="24.95" customHeight="1" thickBot="1" x14ac:dyDescent="0.25">
      <c r="C29" s="392"/>
      <c r="D29" s="393"/>
      <c r="E29" s="35" t="s">
        <v>11</v>
      </c>
      <c r="F29" s="23">
        <v>1197164</v>
      </c>
      <c r="G29" s="24">
        <v>5.801867407855843E-2</v>
      </c>
      <c r="H29" s="32"/>
      <c r="I29" s="392"/>
      <c r="J29" s="35" t="s">
        <v>11</v>
      </c>
      <c r="K29" s="36">
        <v>7243394</v>
      </c>
      <c r="L29" s="37">
        <v>1.4706916526229241E-2</v>
      </c>
      <c r="M29" s="372"/>
    </row>
    <row r="30" spans="3:13" ht="24.95" hidden="1" customHeight="1" x14ac:dyDescent="0.2">
      <c r="C30" s="366" t="s">
        <v>12</v>
      </c>
      <c r="D30" s="367"/>
      <c r="E30" s="38" t="s">
        <v>8</v>
      </c>
      <c r="F30" s="39">
        <v>36332</v>
      </c>
      <c r="G30" s="40">
        <v>-3.127915271909143E-3</v>
      </c>
      <c r="H30" s="41"/>
      <c r="I30" s="366" t="s">
        <v>12</v>
      </c>
      <c r="J30" s="38" t="s">
        <v>8</v>
      </c>
      <c r="K30" s="39">
        <v>282225</v>
      </c>
      <c r="L30" s="28">
        <v>-7.0960660282435306E-3</v>
      </c>
      <c r="M30" s="372"/>
    </row>
    <row r="31" spans="3:13" ht="48" customHeight="1" thickBot="1" x14ac:dyDescent="0.25">
      <c r="C31" s="368"/>
      <c r="D31" s="369"/>
      <c r="E31" s="42" t="s">
        <v>10</v>
      </c>
      <c r="F31" s="43">
        <v>36332</v>
      </c>
      <c r="G31" s="31">
        <v>-3.127915271909143E-3</v>
      </c>
      <c r="H31" s="41"/>
      <c r="I31" s="368"/>
      <c r="J31" s="42" t="s">
        <v>10</v>
      </c>
      <c r="K31" s="43">
        <v>282225</v>
      </c>
      <c r="L31" s="33">
        <v>4.5059955367152682E-3</v>
      </c>
      <c r="M31" s="372"/>
    </row>
    <row r="32" spans="3:13" ht="24.95" hidden="1" customHeight="1" x14ac:dyDescent="0.2">
      <c r="C32" s="370"/>
      <c r="D32" s="371"/>
      <c r="E32" s="44" t="s">
        <v>11</v>
      </c>
      <c r="F32" s="45">
        <v>0</v>
      </c>
      <c r="G32" s="46" t="s">
        <v>38</v>
      </c>
      <c r="H32" s="41"/>
      <c r="I32" s="370"/>
      <c r="J32" s="44" t="s">
        <v>11</v>
      </c>
      <c r="K32" s="45">
        <v>0</v>
      </c>
      <c r="L32" s="37">
        <v>-1</v>
      </c>
      <c r="M32" s="372"/>
    </row>
    <row r="33" spans="3:13" ht="24.95" customHeight="1" x14ac:dyDescent="0.2">
      <c r="C33" s="373" t="s">
        <v>13</v>
      </c>
      <c r="D33" s="394"/>
      <c r="E33" s="47" t="s">
        <v>8</v>
      </c>
      <c r="F33" s="48">
        <v>9868</v>
      </c>
      <c r="G33" s="40">
        <v>0.32013377926421405</v>
      </c>
      <c r="H33" s="41"/>
      <c r="I33" s="373" t="s">
        <v>13</v>
      </c>
      <c r="J33" s="47" t="s">
        <v>8</v>
      </c>
      <c r="K33" s="48">
        <v>91340</v>
      </c>
      <c r="L33" s="28">
        <v>0.24519453608528496</v>
      </c>
      <c r="M33" s="372"/>
    </row>
    <row r="34" spans="3:13" ht="24.95" customHeight="1" x14ac:dyDescent="0.2">
      <c r="C34" s="374"/>
      <c r="D34" s="395"/>
      <c r="E34" s="49" t="s">
        <v>10</v>
      </c>
      <c r="F34" s="50">
        <v>7721</v>
      </c>
      <c r="G34" s="31">
        <v>0.43087472201630828</v>
      </c>
      <c r="H34" s="41"/>
      <c r="I34" s="374"/>
      <c r="J34" s="49" t="s">
        <v>10</v>
      </c>
      <c r="K34" s="50">
        <v>57383</v>
      </c>
      <c r="L34" s="33">
        <v>0.18305706745835404</v>
      </c>
      <c r="M34" s="372"/>
    </row>
    <row r="35" spans="3:13" ht="24.95" customHeight="1" thickBot="1" x14ac:dyDescent="0.25">
      <c r="C35" s="375"/>
      <c r="D35" s="396"/>
      <c r="E35" s="51" t="s">
        <v>11</v>
      </c>
      <c r="F35" s="52">
        <v>2147</v>
      </c>
      <c r="G35" s="46">
        <v>3.2708032708032686E-2</v>
      </c>
      <c r="H35" s="41"/>
      <c r="I35" s="375"/>
      <c r="J35" s="51" t="s">
        <v>11</v>
      </c>
      <c r="K35" s="52">
        <v>33957</v>
      </c>
      <c r="L35" s="37">
        <v>0.36647887323943662</v>
      </c>
      <c r="M35" s="372"/>
    </row>
    <row r="36" spans="3:13" ht="24.95" customHeight="1" x14ac:dyDescent="0.2">
      <c r="C36" s="366" t="s">
        <v>14</v>
      </c>
      <c r="D36" s="367"/>
      <c r="E36" s="38" t="s">
        <v>8</v>
      </c>
      <c r="F36" s="39">
        <v>600084</v>
      </c>
      <c r="G36" s="40">
        <v>0.15208680910865913</v>
      </c>
      <c r="H36" s="41"/>
      <c r="I36" s="366" t="s">
        <v>14</v>
      </c>
      <c r="J36" s="38" t="s">
        <v>8</v>
      </c>
      <c r="K36" s="39">
        <v>3586916</v>
      </c>
      <c r="L36" s="28">
        <v>5.7255233933883209E-2</v>
      </c>
      <c r="M36" s="372"/>
    </row>
    <row r="37" spans="3:13" ht="24.95" customHeight="1" x14ac:dyDescent="0.2">
      <c r="C37" s="368"/>
      <c r="D37" s="369"/>
      <c r="E37" s="42" t="s">
        <v>10</v>
      </c>
      <c r="F37" s="43">
        <v>433050</v>
      </c>
      <c r="G37" s="31">
        <v>0.13448515253526838</v>
      </c>
      <c r="H37" s="41"/>
      <c r="I37" s="368"/>
      <c r="J37" s="42" t="s">
        <v>10</v>
      </c>
      <c r="K37" s="43">
        <v>2596089</v>
      </c>
      <c r="L37" s="33">
        <v>5.1350388168258876E-2</v>
      </c>
      <c r="M37" s="372"/>
    </row>
    <row r="38" spans="3:13" ht="24.95" customHeight="1" thickBot="1" x14ac:dyDescent="0.25">
      <c r="C38" s="370"/>
      <c r="D38" s="371"/>
      <c r="E38" s="44" t="s">
        <v>11</v>
      </c>
      <c r="F38" s="45">
        <v>167034</v>
      </c>
      <c r="G38" s="46">
        <v>0.2003708175232839</v>
      </c>
      <c r="H38" s="41"/>
      <c r="I38" s="370"/>
      <c r="J38" s="44" t="s">
        <v>11</v>
      </c>
      <c r="K38" s="45">
        <v>990827</v>
      </c>
      <c r="L38" s="37">
        <v>7.3045924854176825E-2</v>
      </c>
      <c r="M38" s="372"/>
    </row>
    <row r="39" spans="3:13" ht="24.95" customHeight="1" x14ac:dyDescent="0.2">
      <c r="C39" s="376" t="s">
        <v>15</v>
      </c>
      <c r="D39" s="377"/>
      <c r="E39" s="53" t="s">
        <v>8</v>
      </c>
      <c r="F39" s="54">
        <v>2729773</v>
      </c>
      <c r="G39" s="40">
        <v>9.5683976595297704E-3</v>
      </c>
      <c r="H39" s="41"/>
      <c r="I39" s="376" t="s">
        <v>15</v>
      </c>
      <c r="J39" s="53" t="s">
        <v>8</v>
      </c>
      <c r="K39" s="54">
        <v>16428988</v>
      </c>
      <c r="L39" s="28">
        <v>-1.1426221949145887E-2</v>
      </c>
      <c r="M39" s="372"/>
    </row>
    <row r="40" spans="3:13" ht="24.95" customHeight="1" x14ac:dyDescent="0.2">
      <c r="C40" s="378"/>
      <c r="D40" s="379"/>
      <c r="E40" s="55" t="s">
        <v>10</v>
      </c>
      <c r="F40" s="56">
        <v>1701790</v>
      </c>
      <c r="G40" s="31">
        <v>-6.9017756009657205E-3</v>
      </c>
      <c r="H40" s="41"/>
      <c r="I40" s="378"/>
      <c r="J40" s="55" t="s">
        <v>10</v>
      </c>
      <c r="K40" s="56">
        <v>10210378</v>
      </c>
      <c r="L40" s="33">
        <v>-2.1242563731909025E-2</v>
      </c>
      <c r="M40" s="372"/>
    </row>
    <row r="41" spans="3:13" ht="24.95" customHeight="1" thickBot="1" x14ac:dyDescent="0.25">
      <c r="C41" s="380"/>
      <c r="D41" s="381"/>
      <c r="E41" s="57" t="s">
        <v>11</v>
      </c>
      <c r="F41" s="58">
        <v>1027983</v>
      </c>
      <c r="G41" s="46">
        <v>3.8068877210981844E-2</v>
      </c>
      <c r="H41" s="41"/>
      <c r="I41" s="380"/>
      <c r="J41" s="57" t="s">
        <v>11</v>
      </c>
      <c r="K41" s="58">
        <v>6218610</v>
      </c>
      <c r="L41" s="37">
        <v>5.1255079483276678E-3</v>
      </c>
      <c r="M41" s="372"/>
    </row>
    <row r="42" spans="3:13" ht="5.25" customHeight="1" thickBot="1" x14ac:dyDescent="0.25">
      <c r="C42" s="59"/>
      <c r="D42" s="59"/>
      <c r="F42" s="59"/>
      <c r="G42" s="59"/>
      <c r="H42" s="59"/>
      <c r="I42" s="59"/>
      <c r="J42" s="59"/>
      <c r="K42" s="59"/>
      <c r="L42" s="59"/>
      <c r="M42" s="59"/>
    </row>
    <row r="43" spans="3:13" ht="20.100000000000001" customHeight="1" thickBot="1" x14ac:dyDescent="0.25">
      <c r="C43" s="262" t="s">
        <v>17</v>
      </c>
      <c r="D43" s="263"/>
      <c r="E43" s="263"/>
      <c r="F43" s="263"/>
      <c r="G43" s="263"/>
      <c r="H43" s="263"/>
      <c r="I43" s="263"/>
      <c r="J43" s="263"/>
      <c r="K43" s="263"/>
      <c r="L43" s="263"/>
      <c r="M43" s="264"/>
    </row>
    <row r="44" spans="3:13" ht="5.25" customHeight="1" thickBot="1" x14ac:dyDescent="0.25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60"/>
    </row>
    <row r="45" spans="3:13" ht="24.75" customHeight="1" x14ac:dyDescent="0.2">
      <c r="C45" s="388" t="s">
        <v>7</v>
      </c>
      <c r="D45" s="389"/>
      <c r="E45" s="26" t="s">
        <v>8</v>
      </c>
      <c r="F45" s="61">
        <v>6.9191988129347486</v>
      </c>
      <c r="G45" s="62">
        <v>-0.31164614158335535</v>
      </c>
      <c r="H45" s="25"/>
      <c r="I45" s="388" t="s">
        <v>7</v>
      </c>
      <c r="J45" s="26" t="s">
        <v>8</v>
      </c>
      <c r="K45" s="61">
        <v>7.3405227207515393</v>
      </c>
      <c r="L45" s="63">
        <v>-0.15746116802773624</v>
      </c>
      <c r="M45" s="372" t="s">
        <v>9</v>
      </c>
    </row>
    <row r="46" spans="3:13" ht="24.75" customHeight="1" x14ac:dyDescent="0.2">
      <c r="C46" s="390"/>
      <c r="D46" s="391"/>
      <c r="E46" s="29" t="s">
        <v>10</v>
      </c>
      <c r="F46" s="64">
        <v>6.7720062160062158</v>
      </c>
      <c r="G46" s="65">
        <v>-0.22239413744897263</v>
      </c>
      <c r="H46" s="32"/>
      <c r="I46" s="390"/>
      <c r="J46" s="29" t="s">
        <v>10</v>
      </c>
      <c r="K46" s="64">
        <v>6.9711419912662365</v>
      </c>
      <c r="L46" s="66">
        <v>-0.16464070895203164</v>
      </c>
      <c r="M46" s="372"/>
    </row>
    <row r="47" spans="3:13" ht="24.75" customHeight="1" thickBot="1" x14ac:dyDescent="0.25">
      <c r="C47" s="392"/>
      <c r="D47" s="393"/>
      <c r="E47" s="35" t="s">
        <v>11</v>
      </c>
      <c r="F47" s="67">
        <v>7.2041931446177543</v>
      </c>
      <c r="G47" s="68">
        <v>-0.51982779836245641</v>
      </c>
      <c r="H47" s="32"/>
      <c r="I47" s="392"/>
      <c r="J47" s="35" t="s">
        <v>11</v>
      </c>
      <c r="K47" s="67">
        <v>8.1215440746114353</v>
      </c>
      <c r="L47" s="69">
        <v>-0.15509402704229025</v>
      </c>
      <c r="M47" s="372"/>
    </row>
    <row r="48" spans="3:13" ht="24.75" hidden="1" customHeight="1" x14ac:dyDescent="0.2">
      <c r="C48" s="366" t="s">
        <v>12</v>
      </c>
      <c r="D48" s="367"/>
      <c r="E48" s="38" t="s">
        <v>8</v>
      </c>
      <c r="F48" s="70">
        <v>2.0704353772509689</v>
      </c>
      <c r="G48" s="62">
        <v>-3.8830205248018057E-2</v>
      </c>
      <c r="H48" s="41"/>
      <c r="I48" s="366" t="s">
        <v>12</v>
      </c>
      <c r="J48" s="38" t="s">
        <v>8</v>
      </c>
      <c r="K48" s="70">
        <v>2.3362029717313026</v>
      </c>
      <c r="L48" s="63">
        <v>5.1085361713729682E-3</v>
      </c>
      <c r="M48" s="372"/>
    </row>
    <row r="49" spans="2:13" ht="50.25" customHeight="1" thickBot="1" x14ac:dyDescent="0.25">
      <c r="C49" s="368"/>
      <c r="D49" s="369"/>
      <c r="E49" s="42" t="s">
        <v>10</v>
      </c>
      <c r="F49" s="71">
        <v>2.0704353772509689</v>
      </c>
      <c r="G49" s="65">
        <v>-3.8830205248018057E-2</v>
      </c>
      <c r="H49" s="41"/>
      <c r="I49" s="368"/>
      <c r="J49" s="42" t="s">
        <v>10</v>
      </c>
      <c r="K49" s="71">
        <v>2.3362029717313026</v>
      </c>
      <c r="L49" s="66">
        <v>2.6558593782171513E-2</v>
      </c>
      <c r="M49" s="372"/>
    </row>
    <row r="50" spans="2:13" ht="24.75" hidden="1" customHeight="1" x14ac:dyDescent="0.2">
      <c r="C50" s="370"/>
      <c r="D50" s="371"/>
      <c r="E50" s="44" t="s">
        <v>11</v>
      </c>
      <c r="F50" s="72" t="s">
        <v>38</v>
      </c>
      <c r="G50" s="68" t="s">
        <v>38</v>
      </c>
      <c r="H50" s="41"/>
      <c r="I50" s="370"/>
      <c r="J50" s="44" t="s">
        <v>11</v>
      </c>
      <c r="K50" s="72" t="e">
        <v>#DIV/0!</v>
      </c>
      <c r="L50" s="69" t="s">
        <v>38</v>
      </c>
      <c r="M50" s="372"/>
    </row>
    <row r="51" spans="2:13" ht="24.75" customHeight="1" x14ac:dyDescent="0.2">
      <c r="C51" s="373" t="s">
        <v>13</v>
      </c>
      <c r="D51" s="394"/>
      <c r="E51" s="47" t="s">
        <v>8</v>
      </c>
      <c r="F51" s="73">
        <v>3.4157147802007617</v>
      </c>
      <c r="G51" s="62">
        <v>0.56157197760435063</v>
      </c>
      <c r="H51" s="41"/>
      <c r="I51" s="373" t="s">
        <v>13</v>
      </c>
      <c r="J51" s="47" t="s">
        <v>8</v>
      </c>
      <c r="K51" s="73">
        <v>4.0227252708535186</v>
      </c>
      <c r="L51" s="63">
        <v>0.53466060133378468</v>
      </c>
      <c r="M51" s="372"/>
    </row>
    <row r="52" spans="2:13" ht="24.75" customHeight="1" x14ac:dyDescent="0.2">
      <c r="C52" s="374"/>
      <c r="D52" s="395"/>
      <c r="E52" s="49" t="s">
        <v>10</v>
      </c>
      <c r="F52" s="74">
        <v>3.2359597652975691</v>
      </c>
      <c r="G52" s="65">
        <v>0.85991397049351814</v>
      </c>
      <c r="H52" s="41"/>
      <c r="I52" s="374"/>
      <c r="J52" s="49" t="s">
        <v>10</v>
      </c>
      <c r="K52" s="74">
        <v>3.3271293558299995</v>
      </c>
      <c r="L52" s="66">
        <v>0.51579219707500013</v>
      </c>
      <c r="M52" s="372"/>
    </row>
    <row r="53" spans="2:13" ht="24.75" customHeight="1" thickBot="1" x14ac:dyDescent="0.25">
      <c r="C53" s="375"/>
      <c r="D53" s="396"/>
      <c r="E53" s="51" t="s">
        <v>11</v>
      </c>
      <c r="F53" s="75">
        <v>4.2683896620278334</v>
      </c>
      <c r="G53" s="68">
        <v>-1.7057482690066497</v>
      </c>
      <c r="H53" s="41"/>
      <c r="I53" s="375"/>
      <c r="J53" s="51" t="s">
        <v>11</v>
      </c>
      <c r="K53" s="75">
        <v>6.2203700311412344</v>
      </c>
      <c r="L53" s="69">
        <v>-0.35892570621645703</v>
      </c>
      <c r="M53" s="372"/>
    </row>
    <row r="54" spans="2:13" ht="24.75" customHeight="1" x14ac:dyDescent="0.2">
      <c r="C54" s="366" t="s">
        <v>14</v>
      </c>
      <c r="D54" s="367"/>
      <c r="E54" s="38" t="s">
        <v>8</v>
      </c>
      <c r="F54" s="70">
        <v>6.1092797149401887</v>
      </c>
      <c r="G54" s="62">
        <v>-0.43337142623376934</v>
      </c>
      <c r="H54" s="41"/>
      <c r="I54" s="366" t="s">
        <v>14</v>
      </c>
      <c r="J54" s="38" t="s">
        <v>8</v>
      </c>
      <c r="K54" s="70">
        <v>6.9486808433149099</v>
      </c>
      <c r="L54" s="63">
        <v>-0.35707324329032719</v>
      </c>
      <c r="M54" s="372"/>
    </row>
    <row r="55" spans="2:13" ht="24.75" customHeight="1" x14ac:dyDescent="0.2">
      <c r="C55" s="368"/>
      <c r="D55" s="369"/>
      <c r="E55" s="42" t="s">
        <v>10</v>
      </c>
      <c r="F55" s="71">
        <v>6.1782203643730469</v>
      </c>
      <c r="G55" s="65">
        <v>-0.38993642549549179</v>
      </c>
      <c r="H55" s="41"/>
      <c r="I55" s="368"/>
      <c r="J55" s="42" t="s">
        <v>10</v>
      </c>
      <c r="K55" s="71">
        <v>6.7777693653238646</v>
      </c>
      <c r="L55" s="66">
        <v>-0.35558765640879741</v>
      </c>
      <c r="M55" s="372"/>
    </row>
    <row r="56" spans="2:13" ht="24.75" customHeight="1" thickBot="1" x14ac:dyDescent="0.25">
      <c r="C56" s="370"/>
      <c r="D56" s="371"/>
      <c r="E56" s="44" t="s">
        <v>11</v>
      </c>
      <c r="F56" s="72">
        <v>5.9375088866770938</v>
      </c>
      <c r="G56" s="68">
        <v>-0.53618266949876148</v>
      </c>
      <c r="H56" s="41"/>
      <c r="I56" s="370"/>
      <c r="J56" s="44" t="s">
        <v>11</v>
      </c>
      <c r="K56" s="72">
        <v>7.4402610177891582</v>
      </c>
      <c r="L56" s="69">
        <v>-0.37028185917113721</v>
      </c>
      <c r="M56" s="372"/>
    </row>
    <row r="57" spans="2:13" ht="24.75" customHeight="1" x14ac:dyDescent="0.2">
      <c r="C57" s="376" t="s">
        <v>15</v>
      </c>
      <c r="D57" s="377"/>
      <c r="E57" s="53" t="s">
        <v>8</v>
      </c>
      <c r="F57" s="76">
        <v>7.3924698860435898</v>
      </c>
      <c r="G57" s="62">
        <v>-0.27732267591409432</v>
      </c>
      <c r="H57" s="41"/>
      <c r="I57" s="376" t="s">
        <v>15</v>
      </c>
      <c r="J57" s="53" t="s">
        <v>8</v>
      </c>
      <c r="K57" s="76">
        <v>7.757034524471103</v>
      </c>
      <c r="L57" s="63">
        <v>-0.12194481812547586</v>
      </c>
      <c r="M57" s="372"/>
    </row>
    <row r="58" spans="2:13" ht="24.75" customHeight="1" x14ac:dyDescent="0.2">
      <c r="C58" s="378"/>
      <c r="D58" s="379"/>
      <c r="E58" s="55" t="s">
        <v>10</v>
      </c>
      <c r="F58" s="77">
        <v>7.3440702908213682</v>
      </c>
      <c r="G58" s="65">
        <v>-0.17545456557801931</v>
      </c>
      <c r="H58" s="41"/>
      <c r="I58" s="378"/>
      <c r="J58" s="55" t="s">
        <v>10</v>
      </c>
      <c r="K58" s="77">
        <v>7.4817583019895171</v>
      </c>
      <c r="L58" s="66">
        <v>-0.13794808456670093</v>
      </c>
      <c r="M58" s="372"/>
    </row>
    <row r="59" spans="2:13" ht="24.75" customHeight="1" thickBot="1" x14ac:dyDescent="0.25">
      <c r="C59" s="397"/>
      <c r="D59" s="398"/>
      <c r="E59" s="78" t="s">
        <v>11</v>
      </c>
      <c r="F59" s="79">
        <v>7.4740113856959018</v>
      </c>
      <c r="G59" s="80">
        <v>-0.47050526091460743</v>
      </c>
      <c r="H59" s="81"/>
      <c r="I59" s="397"/>
      <c r="J59" s="78" t="s">
        <v>11</v>
      </c>
      <c r="K59" s="79">
        <v>8.255771038335519</v>
      </c>
      <c r="L59" s="82">
        <v>-0.1027684698171285</v>
      </c>
      <c r="M59" s="403"/>
    </row>
    <row r="60" spans="2:13" ht="13.5" thickBot="1" x14ac:dyDescent="0.25">
      <c r="C60" s="399" t="s">
        <v>94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1"/>
    </row>
    <row r="61" spans="2:13" ht="50.25" customHeight="1" thickBot="1" x14ac:dyDescent="0.25">
      <c r="C61" s="83"/>
      <c r="D61" s="83"/>
      <c r="E61" s="402" t="s">
        <v>92</v>
      </c>
      <c r="F61" s="402"/>
      <c r="G61" s="402"/>
      <c r="H61" s="402"/>
      <c r="I61" s="402"/>
      <c r="J61" s="402"/>
      <c r="K61" s="402"/>
      <c r="L61" s="83"/>
      <c r="M61" s="83"/>
    </row>
    <row r="62" spans="2:13" ht="15" customHeight="1" x14ac:dyDescent="0.2">
      <c r="B62" s="4"/>
      <c r="C62" s="382" t="s">
        <v>93</v>
      </c>
      <c r="D62" s="382"/>
      <c r="E62" s="382"/>
      <c r="F62" s="382"/>
      <c r="G62" s="382"/>
      <c r="H62" s="5"/>
      <c r="I62" s="384" t="str">
        <f>I2</f>
        <v>I semestre 2017</v>
      </c>
      <c r="J62" s="384"/>
      <c r="K62" s="384"/>
      <c r="L62" s="384"/>
      <c r="M62" s="384"/>
    </row>
    <row r="63" spans="2:13" ht="16.5" customHeight="1" thickBot="1" x14ac:dyDescent="0.25">
      <c r="B63" s="4"/>
      <c r="C63" s="383"/>
      <c r="D63" s="383"/>
      <c r="E63" s="383"/>
      <c r="F63" s="383"/>
      <c r="G63" s="383"/>
      <c r="H63" s="6"/>
      <c r="I63" s="385"/>
      <c r="J63" s="385"/>
      <c r="K63" s="385"/>
      <c r="L63" s="385"/>
      <c r="M63" s="385"/>
    </row>
    <row r="64" spans="2:13" ht="81.75" customHeight="1" x14ac:dyDescent="0.2">
      <c r="C64" s="386" t="str">
        <f t="shared" ref="C64:G64" si="0">C5</f>
        <v>Ámbito</v>
      </c>
      <c r="D64" s="387">
        <f t="shared" si="0"/>
        <v>0</v>
      </c>
      <c r="E64" s="15" t="str">
        <f t="shared" si="0"/>
        <v>Variable</v>
      </c>
      <c r="F64" s="15" t="str">
        <f t="shared" si="0"/>
        <v>Valor absoluto
mensual</v>
      </c>
      <c r="G64" s="15" t="str">
        <f t="shared" si="0"/>
        <v>Variación respecto al período anterior</v>
      </c>
      <c r="H64" s="17"/>
      <c r="I64" s="15" t="str">
        <f>I5</f>
        <v>Ámbito</v>
      </c>
      <c r="J64" s="15" t="str">
        <f t="shared" ref="J64:M64" si="1">J5</f>
        <v>Variable</v>
      </c>
      <c r="K64" s="15" t="str">
        <f t="shared" si="1"/>
        <v>Valor absoluto
acumulado</v>
      </c>
      <c r="L64" s="15" t="str">
        <f t="shared" si="1"/>
        <v>Variación respecto al período anterior</v>
      </c>
      <c r="M64" s="16" t="str">
        <f t="shared" si="1"/>
        <v>Fuente</v>
      </c>
    </row>
    <row r="65" spans="3:13" ht="5.25" customHeight="1" thickBot="1" x14ac:dyDescent="0.25"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</row>
    <row r="66" spans="3:13" ht="20.100000000000001" customHeight="1" thickBot="1" x14ac:dyDescent="0.25">
      <c r="C66" s="262" t="s">
        <v>18</v>
      </c>
      <c r="D66" s="263"/>
      <c r="E66" s="263"/>
      <c r="F66" s="263"/>
      <c r="G66" s="263"/>
      <c r="H66" s="263"/>
      <c r="I66" s="263"/>
      <c r="J66" s="263"/>
      <c r="K66" s="263"/>
      <c r="L66" s="263"/>
      <c r="M66" s="264"/>
    </row>
    <row r="67" spans="3:13" ht="5.25" customHeight="1" thickBot="1" x14ac:dyDescent="0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60"/>
    </row>
    <row r="68" spans="3:13" ht="24.75" customHeight="1" x14ac:dyDescent="0.2">
      <c r="C68" s="388" t="s">
        <v>7</v>
      </c>
      <c r="D68" s="389"/>
      <c r="E68" s="26" t="s">
        <v>8</v>
      </c>
      <c r="F68" s="84">
        <v>0.70745730391232375</v>
      </c>
      <c r="G68" s="40">
        <v>2.7938683780337925E-2</v>
      </c>
      <c r="H68" s="25"/>
      <c r="I68" s="388" t="s">
        <v>7</v>
      </c>
      <c r="J68" s="26" t="s">
        <v>8</v>
      </c>
      <c r="K68" s="84">
        <v>0.70817250267177967</v>
      </c>
      <c r="L68" s="28">
        <v>1.7446059960590787E-3</v>
      </c>
      <c r="M68" s="372" t="s">
        <v>9</v>
      </c>
    </row>
    <row r="69" spans="3:13" ht="24.75" customHeight="1" x14ac:dyDescent="0.2">
      <c r="C69" s="390"/>
      <c r="D69" s="391"/>
      <c r="E69" s="29" t="s">
        <v>10</v>
      </c>
      <c r="F69" s="85">
        <v>0.78283393333189621</v>
      </c>
      <c r="G69" s="31">
        <v>1.6905299108079364E-2</v>
      </c>
      <c r="H69" s="32"/>
      <c r="I69" s="390"/>
      <c r="J69" s="29" t="s">
        <v>10</v>
      </c>
      <c r="K69" s="85">
        <v>0.78283912801293987</v>
      </c>
      <c r="L69" s="33">
        <v>-3.4720080172596646E-3</v>
      </c>
      <c r="M69" s="372"/>
    </row>
    <row r="70" spans="3:13" ht="24.75" customHeight="1" thickBot="1" x14ac:dyDescent="0.25">
      <c r="C70" s="392"/>
      <c r="D70" s="393"/>
      <c r="E70" s="35" t="s">
        <v>11</v>
      </c>
      <c r="F70" s="86">
        <v>0.60196504354472136</v>
      </c>
      <c r="G70" s="46">
        <v>4.9751406939647413E-2</v>
      </c>
      <c r="H70" s="32"/>
      <c r="I70" s="392"/>
      <c r="J70" s="35" t="s">
        <v>11</v>
      </c>
      <c r="K70" s="86">
        <v>0.60367391813816851</v>
      </c>
      <c r="L70" s="37">
        <v>1.2340393599529875E-2</v>
      </c>
      <c r="M70" s="372"/>
    </row>
    <row r="71" spans="3:13" ht="24.75" hidden="1" customHeight="1" x14ac:dyDescent="0.2">
      <c r="C71" s="366" t="s">
        <v>12</v>
      </c>
      <c r="D71" s="367"/>
      <c r="E71" s="38" t="s">
        <v>8</v>
      </c>
      <c r="F71" s="87">
        <v>0.4206553201343059</v>
      </c>
      <c r="G71" s="40">
        <v>-8.4844418222874474E-2</v>
      </c>
      <c r="H71" s="41"/>
      <c r="I71" s="366" t="s">
        <v>12</v>
      </c>
      <c r="J71" s="38" t="s">
        <v>8</v>
      </c>
      <c r="K71" s="87">
        <v>0.54159574284349044</v>
      </c>
      <c r="L71" s="28">
        <v>-8.3451306291706162E-2</v>
      </c>
      <c r="M71" s="372"/>
    </row>
    <row r="72" spans="3:13" ht="43.5" customHeight="1" thickBot="1" x14ac:dyDescent="0.25">
      <c r="C72" s="368"/>
      <c r="D72" s="369"/>
      <c r="E72" s="42" t="s">
        <v>10</v>
      </c>
      <c r="F72" s="88">
        <v>0.47736171330968336</v>
      </c>
      <c r="G72" s="31">
        <v>1.2589421499523246E-2</v>
      </c>
      <c r="H72" s="41"/>
      <c r="I72" s="368"/>
      <c r="J72" s="42" t="s">
        <v>10</v>
      </c>
      <c r="K72" s="88">
        <v>0.61460549611604609</v>
      </c>
      <c r="L72" s="33">
        <v>2.5980951510260253E-2</v>
      </c>
      <c r="M72" s="372"/>
    </row>
    <row r="73" spans="3:13" ht="24.75" hidden="1" customHeight="1" x14ac:dyDescent="0.2">
      <c r="C73" s="370"/>
      <c r="D73" s="371"/>
      <c r="E73" s="44" t="s">
        <v>11</v>
      </c>
      <c r="F73" s="89">
        <v>0</v>
      </c>
      <c r="G73" s="46" t="s">
        <v>38</v>
      </c>
      <c r="H73" s="41"/>
      <c r="I73" s="370"/>
      <c r="J73" s="44" t="s">
        <v>11</v>
      </c>
      <c r="K73" s="89">
        <v>0</v>
      </c>
      <c r="L73" s="37">
        <v>-1</v>
      </c>
      <c r="M73" s="372"/>
    </row>
    <row r="74" spans="3:13" ht="24.75" customHeight="1" x14ac:dyDescent="0.2">
      <c r="C74" s="373" t="s">
        <v>13</v>
      </c>
      <c r="D74" s="394"/>
      <c r="E74" s="47" t="s">
        <v>8</v>
      </c>
      <c r="F74" s="90">
        <v>0.30400492914356131</v>
      </c>
      <c r="G74" s="40">
        <v>0.16762294524570498</v>
      </c>
      <c r="H74" s="41"/>
      <c r="I74" s="373" t="s">
        <v>13</v>
      </c>
      <c r="J74" s="47" t="s">
        <v>8</v>
      </c>
      <c r="K74" s="90">
        <v>0.4663963807559155</v>
      </c>
      <c r="L74" s="28">
        <v>0.10742595116531928</v>
      </c>
      <c r="M74" s="372"/>
    </row>
    <row r="75" spans="3:13" ht="24.75" customHeight="1" x14ac:dyDescent="0.2">
      <c r="C75" s="374"/>
      <c r="D75" s="395"/>
      <c r="E75" s="49" t="s">
        <v>10</v>
      </c>
      <c r="F75" s="91">
        <v>0.44527104959630909</v>
      </c>
      <c r="G75" s="31">
        <v>0.48038595807223605</v>
      </c>
      <c r="H75" s="41"/>
      <c r="I75" s="374"/>
      <c r="J75" s="49" t="s">
        <v>10</v>
      </c>
      <c r="K75" s="91">
        <v>0.54850025808178327</v>
      </c>
      <c r="L75" s="33">
        <v>0.23075569207877611</v>
      </c>
      <c r="M75" s="372"/>
    </row>
    <row r="76" spans="3:13" ht="24.75" customHeight="1" thickBot="1" x14ac:dyDescent="0.25">
      <c r="C76" s="375"/>
      <c r="D76" s="396"/>
      <c r="E76" s="51" t="s">
        <v>11</v>
      </c>
      <c r="F76" s="92">
        <v>0.14199735449735451</v>
      </c>
      <c r="G76" s="46">
        <v>-0.26440042908296868</v>
      </c>
      <c r="H76" s="41"/>
      <c r="I76" s="375"/>
      <c r="J76" s="51" t="s">
        <v>11</v>
      </c>
      <c r="K76" s="92">
        <v>0.37223756906077349</v>
      </c>
      <c r="L76" s="37">
        <v>-2.12773325033071E-2</v>
      </c>
      <c r="M76" s="372"/>
    </row>
    <row r="77" spans="3:13" ht="24.75" customHeight="1" x14ac:dyDescent="0.2">
      <c r="C77" s="366" t="s">
        <v>14</v>
      </c>
      <c r="D77" s="367"/>
      <c r="E77" s="38" t="s">
        <v>8</v>
      </c>
      <c r="F77" s="87">
        <v>0.71548449404442538</v>
      </c>
      <c r="G77" s="40">
        <v>0.10720994338203171</v>
      </c>
      <c r="H77" s="41"/>
      <c r="I77" s="366" t="s">
        <v>14</v>
      </c>
      <c r="J77" s="38" t="s">
        <v>8</v>
      </c>
      <c r="K77" s="87">
        <v>0.70884628070298172</v>
      </c>
      <c r="L77" s="28">
        <v>2.1685971137418658E-2</v>
      </c>
      <c r="M77" s="372"/>
    </row>
    <row r="78" spans="3:13" ht="24.75" customHeight="1" x14ac:dyDescent="0.2">
      <c r="C78" s="368"/>
      <c r="D78" s="369"/>
      <c r="E78" s="42" t="s">
        <v>10</v>
      </c>
      <c r="F78" s="88">
        <v>0.75174460993646497</v>
      </c>
      <c r="G78" s="31">
        <v>8.8992309734927E-2</v>
      </c>
      <c r="H78" s="41"/>
      <c r="I78" s="368"/>
      <c r="J78" s="42" t="s">
        <v>10</v>
      </c>
      <c r="K78" s="88">
        <v>0.74695516868926526</v>
      </c>
      <c r="L78" s="33">
        <v>1.476689081033733E-2</v>
      </c>
      <c r="M78" s="372"/>
    </row>
    <row r="79" spans="3:13" ht="24.75" customHeight="1" thickBot="1" x14ac:dyDescent="0.25">
      <c r="C79" s="370"/>
      <c r="D79" s="371"/>
      <c r="E79" s="44" t="s">
        <v>11</v>
      </c>
      <c r="F79" s="89">
        <v>0.63595659623072531</v>
      </c>
      <c r="G79" s="46">
        <v>0.15663371977457707</v>
      </c>
      <c r="H79" s="41"/>
      <c r="I79" s="370"/>
      <c r="J79" s="44" t="s">
        <v>11</v>
      </c>
      <c r="K79" s="89">
        <v>0.62526354316870236</v>
      </c>
      <c r="L79" s="37">
        <v>3.9660498226244956E-2</v>
      </c>
      <c r="M79" s="372"/>
    </row>
    <row r="80" spans="3:13" ht="24.75" customHeight="1" x14ac:dyDescent="0.2">
      <c r="C80" s="376" t="s">
        <v>15</v>
      </c>
      <c r="D80" s="377"/>
      <c r="E80" s="53" t="s">
        <v>8</v>
      </c>
      <c r="F80" s="93">
        <v>0.71561936370118706</v>
      </c>
      <c r="G80" s="40">
        <v>1.5078656782278266E-2</v>
      </c>
      <c r="H80" s="41"/>
      <c r="I80" s="376" t="s">
        <v>15</v>
      </c>
      <c r="J80" s="53" t="s">
        <v>8</v>
      </c>
      <c r="K80" s="93">
        <v>0.71385341561880611</v>
      </c>
      <c r="L80" s="28">
        <v>-5.3900827349762093E-4</v>
      </c>
      <c r="M80" s="372"/>
    </row>
    <row r="81" spans="3:13" ht="24.75" customHeight="1" x14ac:dyDescent="0.2">
      <c r="C81" s="378"/>
      <c r="D81" s="379"/>
      <c r="E81" s="55" t="s">
        <v>10</v>
      </c>
      <c r="F81" s="94">
        <v>0.80507420180430778</v>
      </c>
      <c r="G81" s="31">
        <v>-2.49267661590169E-4</v>
      </c>
      <c r="H81" s="41"/>
      <c r="I81" s="378"/>
      <c r="J81" s="55" t="s">
        <v>10</v>
      </c>
      <c r="K81" s="94">
        <v>0.80059789354104516</v>
      </c>
      <c r="L81" s="33">
        <v>-9.2423979317880489E-3</v>
      </c>
      <c r="M81" s="372"/>
    </row>
    <row r="82" spans="3:13" ht="24.75" customHeight="1" thickBot="1" x14ac:dyDescent="0.25">
      <c r="C82" s="380"/>
      <c r="D82" s="381"/>
      <c r="E82" s="57" t="s">
        <v>11</v>
      </c>
      <c r="F82" s="95">
        <v>0.60443633028170252</v>
      </c>
      <c r="G82" s="46">
        <v>4.2133919117824936E-2</v>
      </c>
      <c r="H82" s="41"/>
      <c r="I82" s="380"/>
      <c r="J82" s="57" t="s">
        <v>11</v>
      </c>
      <c r="K82" s="95">
        <v>0.60603907720743766</v>
      </c>
      <c r="L82" s="37">
        <v>1.463647041942262E-2</v>
      </c>
      <c r="M82" s="372"/>
    </row>
    <row r="83" spans="3:13" ht="5.25" customHeight="1" thickBot="1" x14ac:dyDescent="0.25"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</row>
    <row r="84" spans="3:13" ht="20.100000000000001" customHeight="1" thickBot="1" x14ac:dyDescent="0.25">
      <c r="C84" s="262" t="s">
        <v>19</v>
      </c>
      <c r="D84" s="263"/>
      <c r="E84" s="263"/>
      <c r="F84" s="263"/>
      <c r="G84" s="263"/>
      <c r="H84" s="263"/>
      <c r="I84" s="263"/>
      <c r="J84" s="263"/>
      <c r="K84" s="263"/>
      <c r="L84" s="263"/>
      <c r="M84" s="264"/>
    </row>
    <row r="85" spans="3:13" ht="5.25" customHeight="1" thickBot="1" x14ac:dyDescent="0.25">
      <c r="C85" s="96"/>
      <c r="D85" s="20"/>
      <c r="E85" s="20"/>
      <c r="F85" s="20"/>
      <c r="G85" s="20"/>
      <c r="H85" s="20"/>
      <c r="I85" s="20"/>
      <c r="J85" s="20"/>
      <c r="K85" s="20"/>
      <c r="L85" s="20"/>
      <c r="M85" s="60"/>
    </row>
    <row r="86" spans="3:13" ht="33.75" customHeight="1" x14ac:dyDescent="0.2">
      <c r="C86" s="366" t="s">
        <v>7</v>
      </c>
      <c r="D86" s="367"/>
      <c r="E86" s="38" t="s">
        <v>20</v>
      </c>
      <c r="F86" s="39">
        <v>47664</v>
      </c>
      <c r="G86" s="40">
        <v>0.10417680172353871</v>
      </c>
      <c r="H86" s="97"/>
      <c r="I86" s="366" t="s">
        <v>7</v>
      </c>
      <c r="J86" s="38" t="s">
        <v>20</v>
      </c>
      <c r="K86" s="39">
        <v>303073</v>
      </c>
      <c r="L86" s="28">
        <v>7.6873059075178274E-2</v>
      </c>
      <c r="M86" s="372" t="s">
        <v>9</v>
      </c>
    </row>
    <row r="87" spans="3:13" ht="33.75" customHeight="1" x14ac:dyDescent="0.2">
      <c r="C87" s="368"/>
      <c r="D87" s="369"/>
      <c r="E87" s="55" t="s">
        <v>21</v>
      </c>
      <c r="F87" s="56">
        <v>195812</v>
      </c>
      <c r="G87" s="31">
        <v>6.4785913930548444E-2</v>
      </c>
      <c r="H87" s="41"/>
      <c r="I87" s="368"/>
      <c r="J87" s="55" t="s">
        <v>21</v>
      </c>
      <c r="K87" s="56">
        <v>1106749</v>
      </c>
      <c r="L87" s="33">
        <v>1.7698358255892943E-2</v>
      </c>
      <c r="M87" s="372"/>
    </row>
    <row r="88" spans="3:13" ht="33.75" customHeight="1" x14ac:dyDescent="0.2">
      <c r="C88" s="368"/>
      <c r="D88" s="369"/>
      <c r="E88" s="42" t="s">
        <v>22</v>
      </c>
      <c r="F88" s="43">
        <v>60733</v>
      </c>
      <c r="G88" s="31">
        <v>-3.3129557105104013E-2</v>
      </c>
      <c r="H88" s="41"/>
      <c r="I88" s="368"/>
      <c r="J88" s="42" t="s">
        <v>22</v>
      </c>
      <c r="K88" s="43">
        <v>351530</v>
      </c>
      <c r="L88" s="33">
        <v>-6.7267738974002511E-2</v>
      </c>
      <c r="M88" s="372"/>
    </row>
    <row r="89" spans="3:13" ht="33.75" customHeight="1" x14ac:dyDescent="0.2">
      <c r="C89" s="368"/>
      <c r="D89" s="369"/>
      <c r="E89" s="55" t="s">
        <v>23</v>
      </c>
      <c r="F89" s="56">
        <v>13520</v>
      </c>
      <c r="G89" s="31">
        <v>0.14624841034336589</v>
      </c>
      <c r="H89" s="41"/>
      <c r="I89" s="368"/>
      <c r="J89" s="55" t="s">
        <v>23</v>
      </c>
      <c r="K89" s="56">
        <v>96288</v>
      </c>
      <c r="L89" s="33">
        <v>0.24178488522053132</v>
      </c>
      <c r="M89" s="372"/>
    </row>
    <row r="90" spans="3:13" ht="33.75" customHeight="1" thickBot="1" x14ac:dyDescent="0.25">
      <c r="C90" s="370"/>
      <c r="D90" s="371"/>
      <c r="E90" s="44" t="s">
        <v>24</v>
      </c>
      <c r="F90" s="45">
        <v>4021</v>
      </c>
      <c r="G90" s="46">
        <v>3.6073177016233027E-2</v>
      </c>
      <c r="H90" s="98"/>
      <c r="I90" s="370"/>
      <c r="J90" s="44" t="s">
        <v>24</v>
      </c>
      <c r="K90" s="45">
        <v>28145</v>
      </c>
      <c r="L90" s="37">
        <v>-8.5518406602332897E-2</v>
      </c>
      <c r="M90" s="372"/>
    </row>
    <row r="91" spans="3:13" ht="5.25" customHeight="1" thickBot="1" x14ac:dyDescent="0.25"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</row>
    <row r="92" spans="3:13" ht="20.100000000000001" customHeight="1" thickBot="1" x14ac:dyDescent="0.25">
      <c r="C92" s="262" t="s">
        <v>25</v>
      </c>
      <c r="D92" s="263"/>
      <c r="E92" s="263"/>
      <c r="F92" s="263"/>
      <c r="G92" s="263"/>
      <c r="H92" s="263"/>
      <c r="I92" s="263"/>
      <c r="J92" s="263"/>
      <c r="K92" s="263"/>
      <c r="L92" s="263"/>
      <c r="M92" s="264"/>
    </row>
    <row r="93" spans="3:13" ht="5.25" customHeight="1" thickBot="1" x14ac:dyDescent="0.25">
      <c r="C93" s="96"/>
      <c r="D93" s="20"/>
      <c r="E93" s="20"/>
      <c r="F93" s="20"/>
      <c r="G93" s="20"/>
      <c r="H93" s="20"/>
      <c r="I93" s="20"/>
      <c r="J93" s="20"/>
      <c r="K93" s="20"/>
      <c r="L93" s="20"/>
      <c r="M93" s="60"/>
    </row>
    <row r="94" spans="3:13" s="99" customFormat="1" ht="33.75" customHeight="1" x14ac:dyDescent="0.2">
      <c r="C94" s="366" t="s">
        <v>7</v>
      </c>
      <c r="D94" s="367"/>
      <c r="E94" s="38" t="s">
        <v>20</v>
      </c>
      <c r="F94" s="39">
        <v>308658</v>
      </c>
      <c r="G94" s="40">
        <v>9.2594690265486834E-2</v>
      </c>
      <c r="H94" s="97"/>
      <c r="I94" s="366" t="s">
        <v>7</v>
      </c>
      <c r="J94" s="38" t="s">
        <v>20</v>
      </c>
      <c r="K94" s="39">
        <v>2062945</v>
      </c>
      <c r="L94" s="28">
        <v>8.0895359413838408E-2</v>
      </c>
      <c r="M94" s="372" t="s">
        <v>9</v>
      </c>
    </row>
    <row r="95" spans="3:13" s="99" customFormat="1" ht="33.75" customHeight="1" x14ac:dyDescent="0.2">
      <c r="C95" s="368"/>
      <c r="D95" s="369"/>
      <c r="E95" s="55" t="s">
        <v>21</v>
      </c>
      <c r="F95" s="56">
        <v>1430619</v>
      </c>
      <c r="G95" s="31">
        <v>3.7299808001299395E-2</v>
      </c>
      <c r="H95" s="41"/>
      <c r="I95" s="368"/>
      <c r="J95" s="55" t="s">
        <v>21</v>
      </c>
      <c r="K95" s="56">
        <v>8330439</v>
      </c>
      <c r="L95" s="33">
        <v>-1.6251003835543454E-4</v>
      </c>
      <c r="M95" s="372" t="s">
        <v>26</v>
      </c>
    </row>
    <row r="96" spans="3:13" s="99" customFormat="1" ht="33.75" customHeight="1" x14ac:dyDescent="0.2">
      <c r="C96" s="368"/>
      <c r="D96" s="369"/>
      <c r="E96" s="42" t="s">
        <v>22</v>
      </c>
      <c r="F96" s="43">
        <v>381515</v>
      </c>
      <c r="G96" s="31">
        <v>-7.7340717541929171E-2</v>
      </c>
      <c r="H96" s="41"/>
      <c r="I96" s="368"/>
      <c r="J96" s="42" t="s">
        <v>22</v>
      </c>
      <c r="K96" s="43">
        <v>2309558</v>
      </c>
      <c r="L96" s="33">
        <v>-9.9304850060155325E-2</v>
      </c>
      <c r="M96" s="372" t="s">
        <v>26</v>
      </c>
    </row>
    <row r="97" spans="3:15" s="99" customFormat="1" ht="33.75" customHeight="1" x14ac:dyDescent="0.2">
      <c r="C97" s="368"/>
      <c r="D97" s="369"/>
      <c r="E97" s="55" t="s">
        <v>23</v>
      </c>
      <c r="F97" s="56">
        <v>41145</v>
      </c>
      <c r="G97" s="31">
        <v>-9.0255820638114437E-2</v>
      </c>
      <c r="H97" s="41"/>
      <c r="I97" s="368"/>
      <c r="J97" s="55" t="s">
        <v>23</v>
      </c>
      <c r="K97" s="56">
        <v>325567</v>
      </c>
      <c r="L97" s="33">
        <v>5.8059421128234368E-2</v>
      </c>
      <c r="M97" s="372" t="s">
        <v>26</v>
      </c>
    </row>
    <row r="98" spans="3:15" s="99" customFormat="1" ht="33.75" customHeight="1" thickBot="1" x14ac:dyDescent="0.25">
      <c r="C98" s="370"/>
      <c r="D98" s="371"/>
      <c r="E98" s="44" t="s">
        <v>24</v>
      </c>
      <c r="F98" s="45">
        <v>16956</v>
      </c>
      <c r="G98" s="46">
        <v>1.0729613733905685E-2</v>
      </c>
      <c r="H98" s="98"/>
      <c r="I98" s="370"/>
      <c r="J98" s="44" t="s">
        <v>24</v>
      </c>
      <c r="K98" s="45">
        <v>117566</v>
      </c>
      <c r="L98" s="37">
        <v>-7.8065000717354449E-3</v>
      </c>
      <c r="M98" s="372" t="s">
        <v>26</v>
      </c>
    </row>
    <row r="99" spans="3:15" ht="5.25" customHeight="1" thickBot="1" x14ac:dyDescent="0.25"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</row>
    <row r="100" spans="3:15" ht="20.100000000000001" customHeight="1" thickBot="1" x14ac:dyDescent="0.25">
      <c r="C100" s="262" t="s">
        <v>27</v>
      </c>
      <c r="D100" s="263"/>
      <c r="E100" s="263"/>
      <c r="F100" s="263"/>
      <c r="G100" s="263"/>
      <c r="H100" s="263"/>
      <c r="I100" s="263"/>
      <c r="J100" s="263"/>
      <c r="K100" s="263"/>
      <c r="L100" s="263"/>
      <c r="M100" s="264"/>
    </row>
    <row r="101" spans="3:15" ht="5.25" customHeight="1" thickBot="1" x14ac:dyDescent="0.25">
      <c r="C101" s="96"/>
      <c r="D101" s="20"/>
      <c r="E101" s="20"/>
      <c r="F101" s="20"/>
      <c r="G101" s="20"/>
      <c r="H101" s="20"/>
      <c r="I101" s="20"/>
      <c r="J101" s="20"/>
      <c r="K101" s="20"/>
      <c r="L101" s="20"/>
      <c r="M101" s="60"/>
    </row>
    <row r="102" spans="3:15" ht="33.75" customHeight="1" x14ac:dyDescent="0.2">
      <c r="C102" s="366" t="s">
        <v>7</v>
      </c>
      <c r="D102" s="367"/>
      <c r="E102" s="38" t="s">
        <v>20</v>
      </c>
      <c r="F102" s="100">
        <v>6.4757049345417927</v>
      </c>
      <c r="G102" s="62">
        <v>-6.8646074330725781E-2</v>
      </c>
      <c r="H102" s="97"/>
      <c r="I102" s="366" t="s">
        <v>7</v>
      </c>
      <c r="J102" s="38" t="s">
        <v>20</v>
      </c>
      <c r="K102" s="100">
        <v>6.8067594275966519</v>
      </c>
      <c r="L102" s="63">
        <v>2.5329769910056754E-2</v>
      </c>
      <c r="M102" s="372" t="s">
        <v>9</v>
      </c>
    </row>
    <row r="103" spans="3:15" ht="33.75" customHeight="1" x14ac:dyDescent="0.2">
      <c r="C103" s="368"/>
      <c r="D103" s="369"/>
      <c r="E103" s="49" t="s">
        <v>21</v>
      </c>
      <c r="F103" s="101">
        <v>7.306084407492901</v>
      </c>
      <c r="G103" s="65">
        <v>-0.19359476248175866</v>
      </c>
      <c r="H103" s="41"/>
      <c r="I103" s="368"/>
      <c r="J103" s="49" t="s">
        <v>21</v>
      </c>
      <c r="K103" s="101">
        <v>7.526945133901183</v>
      </c>
      <c r="L103" s="66">
        <v>-0.13445962673374012</v>
      </c>
      <c r="M103" s="372" t="s">
        <v>26</v>
      </c>
    </row>
    <row r="104" spans="3:15" ht="33.75" customHeight="1" x14ac:dyDescent="0.2">
      <c r="C104" s="368"/>
      <c r="D104" s="369"/>
      <c r="E104" s="42" t="s">
        <v>22</v>
      </c>
      <c r="F104" s="102">
        <v>6.281840185730986</v>
      </c>
      <c r="G104" s="65">
        <v>-0.30100758705851938</v>
      </c>
      <c r="H104" s="41"/>
      <c r="I104" s="368"/>
      <c r="J104" s="42" t="s">
        <v>22</v>
      </c>
      <c r="K104" s="102">
        <v>6.5700167837737888</v>
      </c>
      <c r="L104" s="66">
        <v>-0.23369100805495346</v>
      </c>
      <c r="M104" s="372" t="s">
        <v>26</v>
      </c>
      <c r="O104" s="103"/>
    </row>
    <row r="105" spans="3:15" ht="33.75" customHeight="1" x14ac:dyDescent="0.2">
      <c r="C105" s="368"/>
      <c r="D105" s="369"/>
      <c r="E105" s="49" t="s">
        <v>23</v>
      </c>
      <c r="F105" s="101">
        <v>3.0432692307692308</v>
      </c>
      <c r="G105" s="65">
        <v>-0.79115213421593245</v>
      </c>
      <c r="H105" s="41"/>
      <c r="I105" s="368"/>
      <c r="J105" s="49" t="s">
        <v>23</v>
      </c>
      <c r="K105" s="101">
        <v>3.3811793785310735</v>
      </c>
      <c r="L105" s="66">
        <v>-0.58712085360717747</v>
      </c>
      <c r="M105" s="372" t="s">
        <v>26</v>
      </c>
    </row>
    <row r="106" spans="3:15" ht="33.75" customHeight="1" thickBot="1" x14ac:dyDescent="0.25">
      <c r="C106" s="370"/>
      <c r="D106" s="371"/>
      <c r="E106" s="44" t="s">
        <v>24</v>
      </c>
      <c r="F106" s="104">
        <v>4.2168614772444668</v>
      </c>
      <c r="G106" s="68">
        <v>-0.10573579150070156</v>
      </c>
      <c r="H106" s="98"/>
      <c r="I106" s="370"/>
      <c r="J106" s="44" t="s">
        <v>24</v>
      </c>
      <c r="K106" s="104">
        <v>4.1771540238052944</v>
      </c>
      <c r="L106" s="69">
        <v>0.32716864511341415</v>
      </c>
      <c r="M106" s="372" t="s">
        <v>26</v>
      </c>
    </row>
    <row r="107" spans="3:15" ht="5.25" customHeight="1" thickBot="1" x14ac:dyDescent="0.25"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</row>
    <row r="108" spans="3:15" ht="20.100000000000001" customHeight="1" thickBot="1" x14ac:dyDescent="0.25">
      <c r="C108" s="262" t="s">
        <v>28</v>
      </c>
      <c r="D108" s="263"/>
      <c r="E108" s="263"/>
      <c r="F108" s="263"/>
      <c r="G108" s="263"/>
      <c r="H108" s="263"/>
      <c r="I108" s="263"/>
      <c r="J108" s="263"/>
      <c r="K108" s="263"/>
      <c r="L108" s="263"/>
      <c r="M108" s="264"/>
    </row>
    <row r="109" spans="3:15" ht="5.25" customHeight="1" thickBot="1" x14ac:dyDescent="0.25"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105"/>
    </row>
    <row r="110" spans="3:15" ht="33.75" customHeight="1" x14ac:dyDescent="0.2">
      <c r="C110" s="366" t="s">
        <v>7</v>
      </c>
      <c r="D110" s="367"/>
      <c r="E110" s="38" t="s">
        <v>20</v>
      </c>
      <c r="F110" s="87">
        <v>0.68696000534152368</v>
      </c>
      <c r="G110" s="40">
        <v>-5.3791809387964129E-3</v>
      </c>
      <c r="H110" s="97"/>
      <c r="I110" s="366" t="s">
        <v>7</v>
      </c>
      <c r="J110" s="38" t="s">
        <v>20</v>
      </c>
      <c r="K110" s="87">
        <v>0.76099927808274714</v>
      </c>
      <c r="L110" s="28">
        <v>-1.0593121569026365E-2</v>
      </c>
      <c r="M110" s="372" t="s">
        <v>9</v>
      </c>
    </row>
    <row r="111" spans="3:15" ht="33.75" customHeight="1" x14ac:dyDescent="0.2">
      <c r="C111" s="368"/>
      <c r="D111" s="369"/>
      <c r="E111" s="49" t="s">
        <v>21</v>
      </c>
      <c r="F111" s="91">
        <v>0.85035931453841906</v>
      </c>
      <c r="G111" s="31">
        <v>2.995645266727931E-2</v>
      </c>
      <c r="H111" s="41"/>
      <c r="I111" s="368"/>
      <c r="J111" s="49" t="s">
        <v>21</v>
      </c>
      <c r="K111" s="91">
        <v>0.82070872986106125</v>
      </c>
      <c r="L111" s="33">
        <v>-1.7558001867669093E-3</v>
      </c>
      <c r="M111" s="372" t="s">
        <v>26</v>
      </c>
    </row>
    <row r="112" spans="3:15" ht="33.75" customHeight="1" x14ac:dyDescent="0.2">
      <c r="C112" s="368"/>
      <c r="D112" s="369"/>
      <c r="E112" s="42" t="s">
        <v>22</v>
      </c>
      <c r="F112" s="88">
        <v>0.72831834755550462</v>
      </c>
      <c r="G112" s="31">
        <v>-5.0968858058475508E-4</v>
      </c>
      <c r="H112" s="41"/>
      <c r="I112" s="368"/>
      <c r="J112" s="42" t="s">
        <v>22</v>
      </c>
      <c r="K112" s="88">
        <v>0.73077080065725009</v>
      </c>
      <c r="L112" s="33">
        <v>-1.891221050403602E-2</v>
      </c>
      <c r="M112" s="372" t="s">
        <v>26</v>
      </c>
    </row>
    <row r="113" spans="3:19" ht="33.75" customHeight="1" x14ac:dyDescent="0.2">
      <c r="C113" s="368"/>
      <c r="D113" s="369"/>
      <c r="E113" s="49" t="s">
        <v>23</v>
      </c>
      <c r="F113" s="91">
        <v>0.43581188433428664</v>
      </c>
      <c r="G113" s="31">
        <v>-9.2568484583107957E-2</v>
      </c>
      <c r="H113" s="41"/>
      <c r="I113" s="368"/>
      <c r="J113" s="49" t="s">
        <v>23</v>
      </c>
      <c r="K113" s="91">
        <v>0.57156425395053079</v>
      </c>
      <c r="L113" s="33">
        <v>6.1200496433011065E-2</v>
      </c>
      <c r="M113" s="372" t="s">
        <v>26</v>
      </c>
    </row>
    <row r="114" spans="3:19" ht="33.75" customHeight="1" thickBot="1" x14ac:dyDescent="0.25">
      <c r="C114" s="370"/>
      <c r="D114" s="371"/>
      <c r="E114" s="44" t="s">
        <v>24</v>
      </c>
      <c r="F114" s="89">
        <v>0.50736086175942552</v>
      </c>
      <c r="G114" s="46">
        <v>6.1538283724119847E-2</v>
      </c>
      <c r="H114" s="98"/>
      <c r="I114" s="370"/>
      <c r="J114" s="44" t="s">
        <v>24</v>
      </c>
      <c r="K114" s="89">
        <v>0.58306634793735179</v>
      </c>
      <c r="L114" s="37">
        <v>4.782766733152477E-2</v>
      </c>
      <c r="M114" s="372" t="s">
        <v>26</v>
      </c>
    </row>
    <row r="115" spans="3:19" ht="5.25" customHeight="1" thickBot="1" x14ac:dyDescent="0.25">
      <c r="C115" s="106"/>
      <c r="D115" s="106"/>
      <c r="E115" s="107"/>
      <c r="F115" s="59"/>
      <c r="G115" s="108"/>
      <c r="H115" s="109"/>
      <c r="I115" s="59"/>
      <c r="J115" s="108"/>
      <c r="K115" s="107"/>
      <c r="L115" s="106"/>
      <c r="M115" s="110"/>
    </row>
    <row r="116" spans="3:19" ht="17.25" customHeight="1" thickBot="1" x14ac:dyDescent="0.25">
      <c r="C116" s="353"/>
      <c r="D116" s="354"/>
      <c r="E116" s="354"/>
      <c r="F116" s="354"/>
      <c r="G116" s="354"/>
      <c r="H116" s="354"/>
      <c r="I116" s="354"/>
      <c r="J116" s="354"/>
      <c r="K116" s="354"/>
      <c r="L116" s="354"/>
      <c r="M116" s="355"/>
    </row>
    <row r="117" spans="3:19" ht="50.25" customHeight="1" thickBot="1" x14ac:dyDescent="0.25">
      <c r="C117" s="2"/>
      <c r="D117" s="2"/>
      <c r="E117" s="286" t="str">
        <f>$E$1</f>
        <v>INDICADORES TURÍSTICOS DE TENERIFE definitivo</v>
      </c>
      <c r="F117" s="286"/>
      <c r="G117" s="286"/>
      <c r="H117" s="286"/>
      <c r="I117" s="286"/>
      <c r="J117" s="286"/>
      <c r="K117" s="286"/>
      <c r="L117" s="2"/>
      <c r="M117" s="2"/>
    </row>
    <row r="118" spans="3:19" s="1" customFormat="1" ht="9" customHeight="1" thickBot="1" x14ac:dyDescent="0.25">
      <c r="C118" s="111"/>
      <c r="D118" s="112"/>
      <c r="E118" s="113"/>
      <c r="F118" s="113"/>
      <c r="G118" s="113"/>
      <c r="H118" s="113"/>
      <c r="I118" s="113"/>
      <c r="J118" s="113"/>
      <c r="K118" s="113"/>
      <c r="L118" s="112"/>
      <c r="M118" s="114"/>
      <c r="O118" s="3"/>
      <c r="P118" s="3"/>
      <c r="Q118" s="3"/>
      <c r="R118" s="3"/>
      <c r="S118" s="3"/>
    </row>
    <row r="119" spans="3:19" ht="33" customHeight="1" thickBot="1" x14ac:dyDescent="0.25">
      <c r="C119" s="361" t="s">
        <v>29</v>
      </c>
      <c r="D119" s="362"/>
      <c r="E119" s="362"/>
      <c r="F119" s="362"/>
      <c r="G119" s="362"/>
      <c r="H119" s="362"/>
      <c r="I119" s="362"/>
      <c r="J119" s="362"/>
      <c r="K119" s="362"/>
      <c r="L119" s="362"/>
      <c r="M119" s="363"/>
    </row>
    <row r="120" spans="3:19" ht="20.100000000000001" customHeight="1" x14ac:dyDescent="0.2">
      <c r="C120" s="115"/>
      <c r="D120" s="116"/>
      <c r="E120" s="116"/>
      <c r="F120" s="116"/>
      <c r="G120" s="364" t="str">
        <f>C2</f>
        <v>junio 2017</v>
      </c>
      <c r="H120" s="365"/>
      <c r="I120" s="365"/>
      <c r="J120" s="116"/>
      <c r="K120" s="116"/>
      <c r="L120" s="116"/>
      <c r="M120" s="117"/>
    </row>
    <row r="121" spans="3:19" ht="5.25" customHeight="1" thickBot="1" x14ac:dyDescent="0.25">
      <c r="C121" s="118"/>
      <c r="D121" s="116"/>
      <c r="E121" s="116"/>
      <c r="F121" s="116"/>
      <c r="G121" s="119"/>
      <c r="H121" s="119"/>
      <c r="I121" s="119"/>
      <c r="J121" s="116"/>
      <c r="K121" s="116"/>
      <c r="L121" s="116"/>
      <c r="M121" s="120"/>
    </row>
    <row r="122" spans="3:19" ht="33" customHeight="1" thickTop="1" thickBot="1" x14ac:dyDescent="0.25">
      <c r="C122" s="121"/>
      <c r="D122" s="344" t="s">
        <v>7</v>
      </c>
      <c r="E122" s="345"/>
      <c r="F122" s="344" t="s">
        <v>30</v>
      </c>
      <c r="G122" s="345"/>
      <c r="H122" s="344" t="s">
        <v>31</v>
      </c>
      <c r="I122" s="345"/>
      <c r="J122" s="344" t="s">
        <v>32</v>
      </c>
      <c r="K122" s="345"/>
      <c r="L122" s="344" t="s">
        <v>33</v>
      </c>
      <c r="M122" s="345"/>
    </row>
    <row r="123" spans="3:19" ht="31.5" customHeight="1" thickBot="1" x14ac:dyDescent="0.25">
      <c r="C123" s="122"/>
      <c r="D123" s="123" t="s">
        <v>34</v>
      </c>
      <c r="E123" s="124" t="s">
        <v>35</v>
      </c>
      <c r="F123" s="123" t="s">
        <v>34</v>
      </c>
      <c r="G123" s="124" t="s">
        <v>35</v>
      </c>
      <c r="H123" s="123" t="s">
        <v>34</v>
      </c>
      <c r="I123" s="124" t="s">
        <v>35</v>
      </c>
      <c r="J123" s="123" t="s">
        <v>34</v>
      </c>
      <c r="K123" s="124" t="s">
        <v>35</v>
      </c>
      <c r="L123" s="123" t="s">
        <v>34</v>
      </c>
      <c r="M123" s="124" t="s">
        <v>35</v>
      </c>
    </row>
    <row r="124" spans="3:19" ht="24" customHeight="1" thickBot="1" x14ac:dyDescent="0.25">
      <c r="C124" s="125" t="s">
        <v>36</v>
      </c>
      <c r="D124" s="126">
        <v>134795</v>
      </c>
      <c r="E124" s="127">
        <v>0.11827805339395048</v>
      </c>
      <c r="F124" s="126">
        <v>13928</v>
      </c>
      <c r="G124" s="127">
        <v>-1.30385487528345E-2</v>
      </c>
      <c r="H124" s="126">
        <v>1763</v>
      </c>
      <c r="I124" s="127">
        <v>1.5552995391705071E-2</v>
      </c>
      <c r="J124" s="126">
        <v>58236</v>
      </c>
      <c r="K124" s="127">
        <v>0.2611746361746361</v>
      </c>
      <c r="L124" s="126">
        <v>60868</v>
      </c>
      <c r="M124" s="127">
        <v>4.0229688621526538E-2</v>
      </c>
    </row>
    <row r="125" spans="3:19" ht="27" customHeight="1" thickBot="1" x14ac:dyDescent="0.25">
      <c r="C125" s="128" t="s">
        <v>37</v>
      </c>
      <c r="D125" s="129">
        <v>33824.418118436341</v>
      </c>
      <c r="E125" s="130">
        <v>2.0444214948849293E-2</v>
      </c>
      <c r="F125" s="129" t="s">
        <v>38</v>
      </c>
      <c r="G125" s="130" t="s">
        <v>38</v>
      </c>
      <c r="H125" s="129" t="s">
        <v>38</v>
      </c>
      <c r="I125" s="130" t="s">
        <v>38</v>
      </c>
      <c r="J125" s="129" t="s">
        <v>38</v>
      </c>
      <c r="K125" s="130" t="s">
        <v>38</v>
      </c>
      <c r="L125" s="129" t="s">
        <v>38</v>
      </c>
      <c r="M125" s="130" t="s">
        <v>38</v>
      </c>
    </row>
    <row r="126" spans="3:19" ht="28.5" customHeight="1" thickBot="1" x14ac:dyDescent="0.25">
      <c r="C126" s="131" t="s">
        <v>39</v>
      </c>
      <c r="D126" s="132">
        <v>15138.319163440565</v>
      </c>
      <c r="E126" s="133">
        <v>1.6869881319002911E-2</v>
      </c>
      <c r="F126" s="132" t="s">
        <v>38</v>
      </c>
      <c r="G126" s="133" t="s">
        <v>38</v>
      </c>
      <c r="H126" s="132" t="s">
        <v>38</v>
      </c>
      <c r="I126" s="133" t="s">
        <v>38</v>
      </c>
      <c r="J126" s="132" t="s">
        <v>38</v>
      </c>
      <c r="K126" s="133" t="s">
        <v>38</v>
      </c>
      <c r="L126" s="132" t="s">
        <v>38</v>
      </c>
      <c r="M126" s="133" t="s">
        <v>38</v>
      </c>
    </row>
    <row r="127" spans="3:19" ht="27.75" customHeight="1" thickBot="1" x14ac:dyDescent="0.25">
      <c r="C127" s="131" t="s">
        <v>40</v>
      </c>
      <c r="D127" s="132">
        <v>85832.262718123093</v>
      </c>
      <c r="E127" s="133">
        <v>0.18382686960004202</v>
      </c>
      <c r="F127" s="132" t="s">
        <v>38</v>
      </c>
      <c r="G127" s="133" t="s">
        <v>38</v>
      </c>
      <c r="H127" s="132" t="s">
        <v>38</v>
      </c>
      <c r="I127" s="133" t="s">
        <v>38</v>
      </c>
      <c r="J127" s="132" t="s">
        <v>38</v>
      </c>
      <c r="K127" s="133" t="s">
        <v>38</v>
      </c>
      <c r="L127" s="132" t="s">
        <v>38</v>
      </c>
      <c r="M127" s="133" t="s">
        <v>38</v>
      </c>
    </row>
    <row r="128" spans="3:19" ht="24" customHeight="1" thickBot="1" x14ac:dyDescent="0.25">
      <c r="C128" s="134" t="s">
        <v>41</v>
      </c>
      <c r="D128" s="135">
        <v>10856</v>
      </c>
      <c r="E128" s="133">
        <v>-2.4809335661122311E-3</v>
      </c>
      <c r="F128" s="135">
        <v>117</v>
      </c>
      <c r="G128" s="133">
        <v>0.36046511627906974</v>
      </c>
      <c r="H128" s="135">
        <v>47</v>
      </c>
      <c r="I128" s="133">
        <v>0.34285714285714275</v>
      </c>
      <c r="J128" s="135">
        <v>806</v>
      </c>
      <c r="K128" s="133">
        <v>0.26332288401253923</v>
      </c>
      <c r="L128" s="135">
        <v>9886</v>
      </c>
      <c r="M128" s="133">
        <v>-2.3508494666139912E-2</v>
      </c>
    </row>
    <row r="129" spans="3:13" ht="24" customHeight="1" thickBot="1" x14ac:dyDescent="0.25">
      <c r="C129" s="136" t="s">
        <v>42</v>
      </c>
      <c r="D129" s="132">
        <v>10880</v>
      </c>
      <c r="E129" s="133">
        <v>6.4370964586186741E-2</v>
      </c>
      <c r="F129" s="132">
        <v>100</v>
      </c>
      <c r="G129" s="133">
        <v>-1.9607843137254943E-2</v>
      </c>
      <c r="H129" s="132">
        <v>22</v>
      </c>
      <c r="I129" s="133">
        <v>0</v>
      </c>
      <c r="J129" s="132">
        <v>970</v>
      </c>
      <c r="K129" s="133">
        <v>1.9483282674772036</v>
      </c>
      <c r="L129" s="132">
        <v>9788</v>
      </c>
      <c r="M129" s="133">
        <v>1.9449278329408681E-3</v>
      </c>
    </row>
    <row r="130" spans="3:13" ht="24" customHeight="1" thickBot="1" x14ac:dyDescent="0.25">
      <c r="C130" s="134" t="s">
        <v>43</v>
      </c>
      <c r="D130" s="135">
        <v>50366</v>
      </c>
      <c r="E130" s="133">
        <v>3.094935931551146E-2</v>
      </c>
      <c r="F130" s="135">
        <v>339</v>
      </c>
      <c r="G130" s="133">
        <v>0.10423452768729646</v>
      </c>
      <c r="H130" s="135">
        <v>432</v>
      </c>
      <c r="I130" s="133">
        <v>0.28189910979228494</v>
      </c>
      <c r="J130" s="135">
        <v>16986</v>
      </c>
      <c r="K130" s="133">
        <v>-1.1773016246763301E-4</v>
      </c>
      <c r="L130" s="135">
        <v>32609</v>
      </c>
      <c r="M130" s="133">
        <v>4.4423803728140365E-2</v>
      </c>
    </row>
    <row r="131" spans="3:13" ht="24" customHeight="1" thickBot="1" x14ac:dyDescent="0.25">
      <c r="C131" s="136" t="s">
        <v>44</v>
      </c>
      <c r="D131" s="132">
        <v>10911</v>
      </c>
      <c r="E131" s="133">
        <v>8.8922155688622828E-2</v>
      </c>
      <c r="F131" s="132">
        <v>269</v>
      </c>
      <c r="G131" s="133">
        <v>-0.15937500000000004</v>
      </c>
      <c r="H131" s="132">
        <v>149</v>
      </c>
      <c r="I131" s="133">
        <v>0.28448275862068972</v>
      </c>
      <c r="J131" s="132">
        <v>2174</v>
      </c>
      <c r="K131" s="133">
        <v>0.25737420474262573</v>
      </c>
      <c r="L131" s="132">
        <v>8319</v>
      </c>
      <c r="M131" s="133">
        <v>5.9070655633354452E-2</v>
      </c>
    </row>
    <row r="132" spans="3:13" ht="24" customHeight="1" thickBot="1" x14ac:dyDescent="0.25">
      <c r="C132" s="134" t="s">
        <v>45</v>
      </c>
      <c r="D132" s="135">
        <v>191592</v>
      </c>
      <c r="E132" s="133">
        <v>8.7003636734994894E-2</v>
      </c>
      <c r="F132" s="135">
        <v>545</v>
      </c>
      <c r="G132" s="133">
        <v>0.3762626262626263</v>
      </c>
      <c r="H132" s="135">
        <v>85</v>
      </c>
      <c r="I132" s="133">
        <v>8.9743589743589647E-2</v>
      </c>
      <c r="J132" s="135">
        <v>7469</v>
      </c>
      <c r="K132" s="133">
        <v>0.38597142326962341</v>
      </c>
      <c r="L132" s="135">
        <v>183493</v>
      </c>
      <c r="M132" s="133">
        <v>7.6874772585889151E-2</v>
      </c>
    </row>
    <row r="133" spans="3:13" ht="24" customHeight="1" thickBot="1" x14ac:dyDescent="0.25">
      <c r="C133" s="136" t="s">
        <v>46</v>
      </c>
      <c r="D133" s="132">
        <v>11704</v>
      </c>
      <c r="E133" s="133">
        <v>0.21146879205051228</v>
      </c>
      <c r="F133" s="132">
        <v>66</v>
      </c>
      <c r="G133" s="133">
        <v>1.4444444444444446</v>
      </c>
      <c r="H133" s="132">
        <v>7</v>
      </c>
      <c r="I133" s="133">
        <v>-0.125</v>
      </c>
      <c r="J133" s="132">
        <v>692</v>
      </c>
      <c r="K133" s="133">
        <v>1.1358024691358026</v>
      </c>
      <c r="L133" s="132">
        <v>10939</v>
      </c>
      <c r="M133" s="133">
        <v>0.17598365942807992</v>
      </c>
    </row>
    <row r="134" spans="3:13" ht="24" customHeight="1" thickBot="1" x14ac:dyDescent="0.25">
      <c r="C134" s="134" t="s">
        <v>47</v>
      </c>
      <c r="D134" s="135">
        <v>10744</v>
      </c>
      <c r="E134" s="133">
        <v>-3.1897639214272799E-2</v>
      </c>
      <c r="F134" s="135">
        <v>383</v>
      </c>
      <c r="G134" s="133">
        <v>-6.8126520681265235E-2</v>
      </c>
      <c r="H134" s="135">
        <v>86</v>
      </c>
      <c r="I134" s="133">
        <v>0.21126760563380276</v>
      </c>
      <c r="J134" s="135">
        <v>1404</v>
      </c>
      <c r="K134" s="133">
        <v>0.32703213610586013</v>
      </c>
      <c r="L134" s="135">
        <v>8871</v>
      </c>
      <c r="M134" s="133">
        <v>-7.1876961707470155E-2</v>
      </c>
    </row>
    <row r="135" spans="3:13" ht="24" customHeight="1" thickBot="1" x14ac:dyDescent="0.25">
      <c r="C135" s="136" t="s">
        <v>48</v>
      </c>
      <c r="D135" s="132">
        <v>5095</v>
      </c>
      <c r="E135" s="133">
        <v>9.1473864610111422E-2</v>
      </c>
      <c r="F135" s="132">
        <v>129</v>
      </c>
      <c r="G135" s="133">
        <v>0.48275862068965525</v>
      </c>
      <c r="H135" s="132">
        <v>6</v>
      </c>
      <c r="I135" s="133">
        <v>-0.4</v>
      </c>
      <c r="J135" s="132">
        <v>636</v>
      </c>
      <c r="K135" s="133">
        <v>0.87610619469026552</v>
      </c>
      <c r="L135" s="132">
        <v>4324</v>
      </c>
      <c r="M135" s="133">
        <v>2.1739130434782705E-2</v>
      </c>
    </row>
    <row r="136" spans="3:13" ht="24" customHeight="1" thickBot="1" x14ac:dyDescent="0.25">
      <c r="C136" s="137" t="s">
        <v>49</v>
      </c>
      <c r="D136" s="135">
        <v>1556</v>
      </c>
      <c r="E136" s="133">
        <v>0.15946348733233973</v>
      </c>
      <c r="F136" s="135">
        <v>57</v>
      </c>
      <c r="G136" s="133">
        <v>0.1399999999999999</v>
      </c>
      <c r="H136" s="135">
        <v>1</v>
      </c>
      <c r="I136" s="133">
        <v>0</v>
      </c>
      <c r="J136" s="135">
        <v>154</v>
      </c>
      <c r="K136" s="133">
        <v>0.12408759124087587</v>
      </c>
      <c r="L136" s="135">
        <v>1344</v>
      </c>
      <c r="M136" s="133">
        <v>0.16464471403812819</v>
      </c>
    </row>
    <row r="137" spans="3:13" ht="24" customHeight="1" thickBot="1" x14ac:dyDescent="0.25">
      <c r="C137" s="131" t="s">
        <v>50</v>
      </c>
      <c r="D137" s="132">
        <v>1271</v>
      </c>
      <c r="E137" s="133">
        <v>-0.13301500682128242</v>
      </c>
      <c r="F137" s="132">
        <v>47</v>
      </c>
      <c r="G137" s="133">
        <v>1.7647058823529411</v>
      </c>
      <c r="H137" s="132">
        <v>2</v>
      </c>
      <c r="I137" s="133">
        <v>0</v>
      </c>
      <c r="J137" s="132">
        <v>187</v>
      </c>
      <c r="K137" s="133">
        <v>1.5972222222222223</v>
      </c>
      <c r="L137" s="132">
        <v>1035</v>
      </c>
      <c r="M137" s="133">
        <v>-0.24727272727272731</v>
      </c>
    </row>
    <row r="138" spans="3:13" ht="24" customHeight="1" thickBot="1" x14ac:dyDescent="0.25">
      <c r="C138" s="137" t="s">
        <v>51</v>
      </c>
      <c r="D138" s="135">
        <v>1774</v>
      </c>
      <c r="E138" s="133">
        <v>0.1779548472775565</v>
      </c>
      <c r="F138" s="135">
        <v>12</v>
      </c>
      <c r="G138" s="133">
        <v>0.19999999999999996</v>
      </c>
      <c r="H138" s="135">
        <v>3</v>
      </c>
      <c r="I138" s="133">
        <v>-0.5714285714285714</v>
      </c>
      <c r="J138" s="135">
        <v>230</v>
      </c>
      <c r="K138" s="133">
        <v>1.9870129870129869</v>
      </c>
      <c r="L138" s="135">
        <v>1529</v>
      </c>
      <c r="M138" s="133">
        <v>8.2861189801699764E-2</v>
      </c>
    </row>
    <row r="139" spans="3:13" ht="24" customHeight="1" thickBot="1" x14ac:dyDescent="0.25">
      <c r="C139" s="131" t="s">
        <v>52</v>
      </c>
      <c r="D139" s="132">
        <v>494</v>
      </c>
      <c r="E139" s="133">
        <v>0.39548022598870047</v>
      </c>
      <c r="F139" s="132">
        <v>13</v>
      </c>
      <c r="G139" s="133">
        <v>0.30000000000000004</v>
      </c>
      <c r="H139" s="132">
        <v>0</v>
      </c>
      <c r="I139" s="133" t="s">
        <v>38</v>
      </c>
      <c r="J139" s="132">
        <v>65</v>
      </c>
      <c r="K139" s="133">
        <v>0.22641509433962259</v>
      </c>
      <c r="L139" s="132">
        <v>416</v>
      </c>
      <c r="M139" s="133">
        <v>0.42955326460481102</v>
      </c>
    </row>
    <row r="140" spans="3:13" ht="24" customHeight="1" thickBot="1" x14ac:dyDescent="0.25">
      <c r="C140" s="134" t="s">
        <v>53</v>
      </c>
      <c r="D140" s="135">
        <v>3287</v>
      </c>
      <c r="E140" s="133">
        <v>-9.0443171540548484E-3</v>
      </c>
      <c r="F140" s="135">
        <v>56</v>
      </c>
      <c r="G140" s="133">
        <v>7.6923076923076872E-2</v>
      </c>
      <c r="H140" s="135">
        <v>86</v>
      </c>
      <c r="I140" s="133">
        <v>0.59259259259259256</v>
      </c>
      <c r="J140" s="135">
        <v>562</v>
      </c>
      <c r="K140" s="133">
        <v>-0.1008</v>
      </c>
      <c r="L140" s="135">
        <v>2583</v>
      </c>
      <c r="M140" s="133">
        <v>-1.1600928074245731E-3</v>
      </c>
    </row>
    <row r="141" spans="3:13" ht="24" customHeight="1" thickBot="1" x14ac:dyDescent="0.25">
      <c r="C141" s="136" t="s">
        <v>54</v>
      </c>
      <c r="D141" s="132">
        <v>2045</v>
      </c>
      <c r="E141" s="133">
        <v>4.0183112919633723E-2</v>
      </c>
      <c r="F141" s="132">
        <v>17</v>
      </c>
      <c r="G141" s="133">
        <v>-0.46875</v>
      </c>
      <c r="H141" s="132">
        <v>29</v>
      </c>
      <c r="I141" s="133">
        <v>0.93333333333333335</v>
      </c>
      <c r="J141" s="132">
        <v>497</v>
      </c>
      <c r="K141" s="133">
        <v>0.3044619422572179</v>
      </c>
      <c r="L141" s="132">
        <v>1502</v>
      </c>
      <c r="M141" s="133">
        <v>-2.3407022106632036E-2</v>
      </c>
    </row>
    <row r="142" spans="3:13" ht="24" customHeight="1" thickBot="1" x14ac:dyDescent="0.25">
      <c r="C142" s="134" t="s">
        <v>55</v>
      </c>
      <c r="D142" s="135">
        <v>8862</v>
      </c>
      <c r="E142" s="133">
        <v>-8.2133609528741602E-2</v>
      </c>
      <c r="F142" s="135">
        <v>95</v>
      </c>
      <c r="G142" s="133">
        <v>0.26666666666666661</v>
      </c>
      <c r="H142" s="135">
        <v>3</v>
      </c>
      <c r="I142" s="133">
        <v>-0.5</v>
      </c>
      <c r="J142" s="135">
        <v>749</v>
      </c>
      <c r="K142" s="133">
        <v>0.31634446397188043</v>
      </c>
      <c r="L142" s="135">
        <v>8015</v>
      </c>
      <c r="M142" s="133">
        <v>-0.1099389228206552</v>
      </c>
    </row>
    <row r="143" spans="3:13" ht="24" customHeight="1" thickBot="1" x14ac:dyDescent="0.25">
      <c r="C143" s="136" t="s">
        <v>56</v>
      </c>
      <c r="D143" s="132">
        <v>14415</v>
      </c>
      <c r="E143" s="133">
        <v>8.5875706214689318E-2</v>
      </c>
      <c r="F143" s="132">
        <v>149</v>
      </c>
      <c r="G143" s="133">
        <v>0.20161290322580649</v>
      </c>
      <c r="H143" s="132">
        <v>21</v>
      </c>
      <c r="I143" s="133">
        <v>0.23529411764705888</v>
      </c>
      <c r="J143" s="132">
        <v>2392</v>
      </c>
      <c r="K143" s="133">
        <v>0.56749672346002611</v>
      </c>
      <c r="L143" s="132">
        <v>11853</v>
      </c>
      <c r="M143" s="133">
        <v>2.1106133700895979E-2</v>
      </c>
    </row>
    <row r="144" spans="3:13" ht="24" customHeight="1" thickBot="1" x14ac:dyDescent="0.25">
      <c r="C144" s="134" t="s">
        <v>57</v>
      </c>
      <c r="D144" s="135">
        <v>14172</v>
      </c>
      <c r="E144" s="133">
        <v>4.8457497965524787E-2</v>
      </c>
      <c r="F144" s="135">
        <v>408</v>
      </c>
      <c r="G144" s="133">
        <v>0.24390243902439024</v>
      </c>
      <c r="H144" s="135">
        <v>25</v>
      </c>
      <c r="I144" s="133">
        <v>-0.21875</v>
      </c>
      <c r="J144" s="135">
        <v>3080</v>
      </c>
      <c r="K144" s="133">
        <v>0.375</v>
      </c>
      <c r="L144" s="135">
        <v>10659</v>
      </c>
      <c r="M144" s="133">
        <v>-2.3632866172025313E-2</v>
      </c>
    </row>
    <row r="145" spans="3:13" ht="24" customHeight="1" thickBot="1" x14ac:dyDescent="0.25">
      <c r="C145" s="136" t="s">
        <v>58</v>
      </c>
      <c r="D145" s="132">
        <v>1868</v>
      </c>
      <c r="E145" s="133">
        <v>0.26130992572586087</v>
      </c>
      <c r="F145" s="132">
        <v>203</v>
      </c>
      <c r="G145" s="133">
        <v>6.8421052631578938E-2</v>
      </c>
      <c r="H145" s="132">
        <v>56</v>
      </c>
      <c r="I145" s="133">
        <v>0.80645161290322576</v>
      </c>
      <c r="J145" s="132">
        <v>230</v>
      </c>
      <c r="K145" s="133">
        <v>0.20418848167539272</v>
      </c>
      <c r="L145" s="132">
        <v>1379</v>
      </c>
      <c r="M145" s="133">
        <v>0.28999064546304965</v>
      </c>
    </row>
    <row r="146" spans="3:13" ht="24" customHeight="1" thickBot="1" x14ac:dyDescent="0.25">
      <c r="C146" s="134" t="s">
        <v>59</v>
      </c>
      <c r="D146" s="135">
        <v>1564</v>
      </c>
      <c r="E146" s="133">
        <v>-0.16274089935760172</v>
      </c>
      <c r="F146" s="135">
        <v>323</v>
      </c>
      <c r="G146" s="133">
        <v>3.1055900621117516E-3</v>
      </c>
      <c r="H146" s="135">
        <v>26</v>
      </c>
      <c r="I146" s="133">
        <v>0.23809523809523814</v>
      </c>
      <c r="J146" s="135">
        <v>363</v>
      </c>
      <c r="K146" s="133">
        <v>9.3373493975903665E-2</v>
      </c>
      <c r="L146" s="135">
        <v>852</v>
      </c>
      <c r="M146" s="133">
        <v>-0.2858340318524728</v>
      </c>
    </row>
    <row r="147" spans="3:13" ht="24" customHeight="1" thickBot="1" x14ac:dyDescent="0.25">
      <c r="C147" s="136" t="s">
        <v>60</v>
      </c>
      <c r="D147" s="138">
        <v>4770</v>
      </c>
      <c r="E147" s="139">
        <v>4.1946308724827297E-4</v>
      </c>
      <c r="F147" s="138">
        <v>421</v>
      </c>
      <c r="G147" s="139">
        <v>0.36688311688311681</v>
      </c>
      <c r="H147" s="138">
        <v>46</v>
      </c>
      <c r="I147" s="139">
        <v>0.53333333333333344</v>
      </c>
      <c r="J147" s="138">
        <v>979</v>
      </c>
      <c r="K147" s="139">
        <v>0.25997425997426005</v>
      </c>
      <c r="L147" s="138">
        <v>3324</v>
      </c>
      <c r="M147" s="139">
        <v>-9.006296194908292E-2</v>
      </c>
    </row>
    <row r="148" spans="3:13" ht="30.75" customHeight="1" thickTop="1" thickBot="1" x14ac:dyDescent="0.25">
      <c r="C148" s="140" t="s">
        <v>61</v>
      </c>
      <c r="D148" s="141">
        <v>353131</v>
      </c>
      <c r="E148" s="142">
        <v>6.5219752043679025E-2</v>
      </c>
      <c r="F148" s="141">
        <v>3620</v>
      </c>
      <c r="G148" s="142">
        <v>0.14303757499210601</v>
      </c>
      <c r="H148" s="141">
        <v>1126</v>
      </c>
      <c r="I148" s="142">
        <v>0.27519818799546991</v>
      </c>
      <c r="J148" s="141">
        <v>39989</v>
      </c>
      <c r="K148" s="142">
        <v>0.19602213249588751</v>
      </c>
      <c r="L148" s="141">
        <v>308396</v>
      </c>
      <c r="M148" s="142">
        <v>4.8876796190800098E-2</v>
      </c>
    </row>
    <row r="149" spans="3:13" ht="24" customHeight="1" thickBot="1" x14ac:dyDescent="0.25">
      <c r="C149" s="143" t="s">
        <v>8</v>
      </c>
      <c r="D149" s="144">
        <v>487926</v>
      </c>
      <c r="E149" s="145">
        <v>7.9367677768732436E-2</v>
      </c>
      <c r="F149" s="144">
        <v>17548</v>
      </c>
      <c r="G149" s="145">
        <v>1.5568030557323809E-2</v>
      </c>
      <c r="H149" s="144">
        <v>2889</v>
      </c>
      <c r="I149" s="145">
        <v>0.10309278350515472</v>
      </c>
      <c r="J149" s="144">
        <v>98225</v>
      </c>
      <c r="K149" s="145">
        <v>0.23381191041438987</v>
      </c>
      <c r="L149" s="144">
        <v>369264</v>
      </c>
      <c r="M149" s="145">
        <v>4.7441559657229515E-2</v>
      </c>
    </row>
    <row r="150" spans="3:13" ht="13.5" thickBot="1" x14ac:dyDescent="0.25">
      <c r="C150" s="13"/>
      <c r="D150" s="4"/>
      <c r="E150" s="4"/>
      <c r="F150" s="4"/>
      <c r="G150" s="4"/>
      <c r="H150" s="4"/>
      <c r="I150" s="4"/>
      <c r="J150" s="4"/>
      <c r="K150" s="4"/>
      <c r="L150" s="4"/>
      <c r="M150" s="146"/>
    </row>
    <row r="151" spans="3:13" ht="35.25" customHeight="1" thickBot="1" x14ac:dyDescent="0.25">
      <c r="C151" s="361" t="s">
        <v>29</v>
      </c>
      <c r="D151" s="362"/>
      <c r="E151" s="362"/>
      <c r="F151" s="362"/>
      <c r="G151" s="362"/>
      <c r="H151" s="362"/>
      <c r="I151" s="362"/>
      <c r="J151" s="362"/>
      <c r="K151" s="362"/>
      <c r="L151" s="362"/>
      <c r="M151" s="363"/>
    </row>
    <row r="152" spans="3:13" ht="20.100000000000001" customHeight="1" x14ac:dyDescent="0.2">
      <c r="C152" s="115"/>
      <c r="D152" s="116"/>
      <c r="E152" s="116"/>
      <c r="F152" s="116"/>
      <c r="G152" s="364" t="str">
        <f>I2</f>
        <v>I semestre 2017</v>
      </c>
      <c r="H152" s="365"/>
      <c r="I152" s="365"/>
      <c r="J152" s="116"/>
      <c r="K152" s="116"/>
      <c r="L152" s="116"/>
      <c r="M152" s="117"/>
    </row>
    <row r="153" spans="3:13" ht="5.25" customHeight="1" thickBot="1" x14ac:dyDescent="0.25">
      <c r="C153" s="118"/>
      <c r="D153" s="116"/>
      <c r="E153" s="116"/>
      <c r="F153" s="116"/>
      <c r="G153" s="119"/>
      <c r="H153" s="119"/>
      <c r="I153" s="119"/>
      <c r="J153" s="116"/>
      <c r="K153" s="116"/>
      <c r="L153" s="116"/>
      <c r="M153" s="120"/>
    </row>
    <row r="154" spans="3:13" ht="32.25" customHeight="1" thickTop="1" thickBot="1" x14ac:dyDescent="0.25">
      <c r="C154" s="121"/>
      <c r="D154" s="344" t="s">
        <v>7</v>
      </c>
      <c r="E154" s="345"/>
      <c r="F154" s="344" t="s">
        <v>30</v>
      </c>
      <c r="G154" s="345"/>
      <c r="H154" s="344" t="s">
        <v>31</v>
      </c>
      <c r="I154" s="345"/>
      <c r="J154" s="344" t="s">
        <v>32</v>
      </c>
      <c r="K154" s="345"/>
      <c r="L154" s="344" t="s">
        <v>33</v>
      </c>
      <c r="M154" s="345"/>
    </row>
    <row r="155" spans="3:13" ht="31.5" customHeight="1" thickBot="1" x14ac:dyDescent="0.25">
      <c r="C155" s="122"/>
      <c r="D155" s="123" t="s">
        <v>62</v>
      </c>
      <c r="E155" s="124" t="s">
        <v>35</v>
      </c>
      <c r="F155" s="123" t="s">
        <v>62</v>
      </c>
      <c r="G155" s="124" t="s">
        <v>35</v>
      </c>
      <c r="H155" s="123" t="s">
        <v>62</v>
      </c>
      <c r="I155" s="124" t="s">
        <v>35</v>
      </c>
      <c r="J155" s="123" t="s">
        <v>62</v>
      </c>
      <c r="K155" s="124" t="s">
        <v>35</v>
      </c>
      <c r="L155" s="123" t="s">
        <v>62</v>
      </c>
      <c r="M155" s="124" t="s">
        <v>35</v>
      </c>
    </row>
    <row r="156" spans="3:13" ht="24" customHeight="1" thickBot="1" x14ac:dyDescent="0.25">
      <c r="C156" s="125" t="s">
        <v>36</v>
      </c>
      <c r="D156" s="126">
        <v>556133</v>
      </c>
      <c r="E156" s="127">
        <v>2.6249843146807228E-2</v>
      </c>
      <c r="F156" s="126">
        <v>83586</v>
      </c>
      <c r="G156" s="127">
        <v>-2.0461257207143868E-2</v>
      </c>
      <c r="H156" s="126">
        <v>10104</v>
      </c>
      <c r="I156" s="127">
        <v>9.5923261390886694E-3</v>
      </c>
      <c r="J156" s="126">
        <v>228251</v>
      </c>
      <c r="K156" s="127">
        <v>9.1425948329037832E-2</v>
      </c>
      <c r="L156" s="126">
        <v>234192</v>
      </c>
      <c r="M156" s="127">
        <v>-1.3666783188803766E-2</v>
      </c>
    </row>
    <row r="157" spans="3:13" ht="24" customHeight="1" thickBot="1" x14ac:dyDescent="0.25">
      <c r="C157" s="128" t="s">
        <v>37</v>
      </c>
      <c r="D157" s="129">
        <v>141291.82142956665</v>
      </c>
      <c r="E157" s="130">
        <v>-2.9681063251924655E-2</v>
      </c>
      <c r="F157" s="129" t="s">
        <v>38</v>
      </c>
      <c r="G157" s="130" t="s">
        <v>38</v>
      </c>
      <c r="H157" s="129" t="s">
        <v>38</v>
      </c>
      <c r="I157" s="130" t="s">
        <v>38</v>
      </c>
      <c r="J157" s="129" t="s">
        <v>38</v>
      </c>
      <c r="K157" s="130" t="s">
        <v>38</v>
      </c>
      <c r="L157" s="129" t="s">
        <v>38</v>
      </c>
      <c r="M157" s="130" t="s">
        <v>38</v>
      </c>
    </row>
    <row r="158" spans="3:13" ht="24" customHeight="1" thickBot="1" x14ac:dyDescent="0.25">
      <c r="C158" s="131" t="s">
        <v>39</v>
      </c>
      <c r="D158" s="132">
        <v>64511.183409935351</v>
      </c>
      <c r="E158" s="133">
        <v>-7.8660015314115928E-2</v>
      </c>
      <c r="F158" s="132" t="s">
        <v>38</v>
      </c>
      <c r="G158" s="133" t="s">
        <v>38</v>
      </c>
      <c r="H158" s="132" t="s">
        <v>38</v>
      </c>
      <c r="I158" s="133" t="s">
        <v>38</v>
      </c>
      <c r="J158" s="132" t="s">
        <v>38</v>
      </c>
      <c r="K158" s="133" t="s">
        <v>38</v>
      </c>
      <c r="L158" s="132" t="s">
        <v>38</v>
      </c>
      <c r="M158" s="133" t="s">
        <v>38</v>
      </c>
    </row>
    <row r="159" spans="3:13" ht="24" customHeight="1" thickBot="1" x14ac:dyDescent="0.25">
      <c r="C159" s="131" t="s">
        <v>40</v>
      </c>
      <c r="D159" s="132">
        <v>350329.99516045576</v>
      </c>
      <c r="E159" s="133">
        <v>7.3725025237162178E-2</v>
      </c>
      <c r="F159" s="132" t="s">
        <v>38</v>
      </c>
      <c r="G159" s="133" t="s">
        <v>38</v>
      </c>
      <c r="H159" s="132" t="s">
        <v>38</v>
      </c>
      <c r="I159" s="133" t="s">
        <v>38</v>
      </c>
      <c r="J159" s="132" t="s">
        <v>38</v>
      </c>
      <c r="K159" s="133" t="s">
        <v>38</v>
      </c>
      <c r="L159" s="132" t="s">
        <v>38</v>
      </c>
      <c r="M159" s="133" t="s">
        <v>38</v>
      </c>
    </row>
    <row r="160" spans="3:13" ht="24" customHeight="1" thickBot="1" x14ac:dyDescent="0.25">
      <c r="C160" s="134" t="s">
        <v>41</v>
      </c>
      <c r="D160" s="135">
        <v>79116</v>
      </c>
      <c r="E160" s="133">
        <v>-2.4451596197240355E-2</v>
      </c>
      <c r="F160" s="135">
        <v>940</v>
      </c>
      <c r="G160" s="133">
        <v>0.13116726835138381</v>
      </c>
      <c r="H160" s="135">
        <v>558</v>
      </c>
      <c r="I160" s="133">
        <v>6.083650190114076E-2</v>
      </c>
      <c r="J160" s="135">
        <v>5843</v>
      </c>
      <c r="K160" s="133">
        <v>0.39451073985680196</v>
      </c>
      <c r="L160" s="135">
        <v>71775</v>
      </c>
      <c r="M160" s="133">
        <v>-4.9992058449809362E-2</v>
      </c>
    </row>
    <row r="161" spans="3:13" ht="24" customHeight="1" thickBot="1" x14ac:dyDescent="0.25">
      <c r="C161" s="136" t="s">
        <v>42</v>
      </c>
      <c r="D161" s="132">
        <v>76752</v>
      </c>
      <c r="E161" s="133">
        <v>1.500985228189422E-2</v>
      </c>
      <c r="F161" s="132">
        <v>844</v>
      </c>
      <c r="G161" s="133">
        <v>0.1689750692520775</v>
      </c>
      <c r="H161" s="132">
        <v>338</v>
      </c>
      <c r="I161" s="133">
        <v>4.9689440993788914E-2</v>
      </c>
      <c r="J161" s="132">
        <v>4967</v>
      </c>
      <c r="K161" s="133">
        <v>0.89003044140030441</v>
      </c>
      <c r="L161" s="132">
        <v>70603</v>
      </c>
      <c r="M161" s="133">
        <v>-1.8653137813607668E-2</v>
      </c>
    </row>
    <row r="162" spans="3:13" ht="24" customHeight="1" thickBot="1" x14ac:dyDescent="0.25">
      <c r="C162" s="134" t="s">
        <v>43</v>
      </c>
      <c r="D162" s="135">
        <v>308830</v>
      </c>
      <c r="E162" s="133">
        <v>-5.4753473168074107E-2</v>
      </c>
      <c r="F162" s="135">
        <v>4258</v>
      </c>
      <c r="G162" s="133">
        <v>-0.14394853236831529</v>
      </c>
      <c r="H162" s="135">
        <v>5070</v>
      </c>
      <c r="I162" s="133">
        <v>0.20170656553685706</v>
      </c>
      <c r="J162" s="135">
        <v>114968</v>
      </c>
      <c r="K162" s="133">
        <v>-4.2132888981462169E-2</v>
      </c>
      <c r="L162" s="135">
        <v>184534</v>
      </c>
      <c r="M162" s="133">
        <v>-6.5655363770310005E-2</v>
      </c>
    </row>
    <row r="163" spans="3:13" ht="24" customHeight="1" thickBot="1" x14ac:dyDescent="0.25">
      <c r="C163" s="136" t="s">
        <v>44</v>
      </c>
      <c r="D163" s="132">
        <v>94623</v>
      </c>
      <c r="E163" s="133">
        <v>6.6414966753071125E-2</v>
      </c>
      <c r="F163" s="132">
        <v>3199</v>
      </c>
      <c r="G163" s="133">
        <v>-0.19703815261044177</v>
      </c>
      <c r="H163" s="132">
        <v>1932</v>
      </c>
      <c r="I163" s="133">
        <v>9.9320439100889502E-3</v>
      </c>
      <c r="J163" s="132">
        <v>17318</v>
      </c>
      <c r="K163" s="133">
        <v>0.19914139315884216</v>
      </c>
      <c r="L163" s="132">
        <v>72174</v>
      </c>
      <c r="M163" s="133">
        <v>5.5314295740667596E-2</v>
      </c>
    </row>
    <row r="164" spans="3:13" ht="24" customHeight="1" thickBot="1" x14ac:dyDescent="0.25">
      <c r="C164" s="134" t="s">
        <v>45</v>
      </c>
      <c r="D164" s="135">
        <v>1016679</v>
      </c>
      <c r="E164" s="133">
        <v>3.916337801000247E-2</v>
      </c>
      <c r="F164" s="135">
        <v>5760</v>
      </c>
      <c r="G164" s="133">
        <v>9.4848888044098079E-2</v>
      </c>
      <c r="H164" s="135">
        <v>1297</v>
      </c>
      <c r="I164" s="133">
        <v>0.10101867572156187</v>
      </c>
      <c r="J164" s="135">
        <v>51425</v>
      </c>
      <c r="K164" s="133">
        <v>0.37591973244147159</v>
      </c>
      <c r="L164" s="135">
        <v>958197</v>
      </c>
      <c r="M164" s="133">
        <v>2.5304184157278087E-2</v>
      </c>
    </row>
    <row r="165" spans="3:13" ht="24" customHeight="1" thickBot="1" x14ac:dyDescent="0.25">
      <c r="C165" s="136" t="s">
        <v>46</v>
      </c>
      <c r="D165" s="132">
        <v>49650</v>
      </c>
      <c r="E165" s="133">
        <v>8.4653194975423229E-2</v>
      </c>
      <c r="F165" s="132">
        <v>610</v>
      </c>
      <c r="G165" s="133">
        <v>7.2056239015817258E-2</v>
      </c>
      <c r="H165" s="132">
        <v>106</v>
      </c>
      <c r="I165" s="133">
        <v>9.2783505154639068E-2</v>
      </c>
      <c r="J165" s="132">
        <v>2853</v>
      </c>
      <c r="K165" s="133">
        <v>0.34006575857209964</v>
      </c>
      <c r="L165" s="132">
        <v>46081</v>
      </c>
      <c r="M165" s="133">
        <v>7.2149837133550498E-2</v>
      </c>
    </row>
    <row r="166" spans="3:13" ht="24" customHeight="1" thickBot="1" x14ac:dyDescent="0.25">
      <c r="C166" s="134" t="s">
        <v>47</v>
      </c>
      <c r="D166" s="135">
        <v>75622</v>
      </c>
      <c r="E166" s="133">
        <v>-5.1404917210235879E-2</v>
      </c>
      <c r="F166" s="135">
        <v>3779</v>
      </c>
      <c r="G166" s="133">
        <v>-1.0573618821041464E-3</v>
      </c>
      <c r="H166" s="135">
        <v>657</v>
      </c>
      <c r="I166" s="133">
        <v>-6.8085106382978711E-2</v>
      </c>
      <c r="J166" s="135">
        <v>7808</v>
      </c>
      <c r="K166" s="133">
        <v>0.14604432702186987</v>
      </c>
      <c r="L166" s="135">
        <v>63378</v>
      </c>
      <c r="M166" s="133">
        <v>-7.3678364197079738E-2</v>
      </c>
    </row>
    <row r="167" spans="3:13" ht="24" customHeight="1" thickBot="1" x14ac:dyDescent="0.25">
      <c r="C167" s="136" t="s">
        <v>48</v>
      </c>
      <c r="D167" s="132">
        <v>237548</v>
      </c>
      <c r="E167" s="133">
        <v>1.4499066849453124E-2</v>
      </c>
      <c r="F167" s="132">
        <v>5068</v>
      </c>
      <c r="G167" s="133">
        <v>8.9587895679872354E-3</v>
      </c>
      <c r="H167" s="132">
        <v>310</v>
      </c>
      <c r="I167" s="133">
        <v>-5.1987767584097844E-2</v>
      </c>
      <c r="J167" s="132">
        <v>34637</v>
      </c>
      <c r="K167" s="133">
        <v>0.17525108577633008</v>
      </c>
      <c r="L167" s="132">
        <v>197533</v>
      </c>
      <c r="M167" s="133">
        <v>-9.0201724769353175E-3</v>
      </c>
    </row>
    <row r="168" spans="3:13" ht="24" customHeight="1" thickBot="1" x14ac:dyDescent="0.25">
      <c r="C168" s="137" t="s">
        <v>49</v>
      </c>
      <c r="D168" s="135">
        <v>86361</v>
      </c>
      <c r="E168" s="133">
        <v>3.8841841890006279E-2</v>
      </c>
      <c r="F168" s="135">
        <v>1891</v>
      </c>
      <c r="G168" s="133">
        <v>-2.42518059855521E-2</v>
      </c>
      <c r="H168" s="135">
        <v>103</v>
      </c>
      <c r="I168" s="133">
        <v>8.4210526315789513E-2</v>
      </c>
      <c r="J168" s="135">
        <v>9859</v>
      </c>
      <c r="K168" s="133">
        <v>0.13178739524738825</v>
      </c>
      <c r="L168" s="135">
        <v>74508</v>
      </c>
      <c r="M168" s="133">
        <v>2.9286622092059567E-2</v>
      </c>
    </row>
    <row r="169" spans="3:13" ht="24" customHeight="1" thickBot="1" x14ac:dyDescent="0.25">
      <c r="C169" s="131" t="s">
        <v>50</v>
      </c>
      <c r="D169" s="132">
        <v>41686</v>
      </c>
      <c r="E169" s="133">
        <v>3.7563207320010505E-3</v>
      </c>
      <c r="F169" s="132">
        <v>1208</v>
      </c>
      <c r="G169" s="133">
        <v>8.3408071748878987E-2</v>
      </c>
      <c r="H169" s="132">
        <v>40</v>
      </c>
      <c r="I169" s="133">
        <v>-0.14893617021276595</v>
      </c>
      <c r="J169" s="132">
        <v>4061</v>
      </c>
      <c r="K169" s="133">
        <v>0.49797122832902985</v>
      </c>
      <c r="L169" s="132">
        <v>36377</v>
      </c>
      <c r="M169" s="133">
        <v>-3.3991024245160317E-2</v>
      </c>
    </row>
    <row r="170" spans="3:13" ht="24" customHeight="1" thickBot="1" x14ac:dyDescent="0.25">
      <c r="C170" s="137" t="s">
        <v>51</v>
      </c>
      <c r="D170" s="135">
        <v>56416</v>
      </c>
      <c r="E170" s="133">
        <v>1.7678043148856348E-2</v>
      </c>
      <c r="F170" s="135">
        <v>851</v>
      </c>
      <c r="G170" s="133">
        <v>-9.3131548311990997E-3</v>
      </c>
      <c r="H170" s="135">
        <v>123</v>
      </c>
      <c r="I170" s="133">
        <v>6.956521739130439E-2</v>
      </c>
      <c r="J170" s="135">
        <v>6209</v>
      </c>
      <c r="K170" s="133">
        <v>0.30991561181434601</v>
      </c>
      <c r="L170" s="135">
        <v>49233</v>
      </c>
      <c r="M170" s="133">
        <v>-9.834680825389186E-3</v>
      </c>
    </row>
    <row r="171" spans="3:13" ht="24" customHeight="1" thickBot="1" x14ac:dyDescent="0.25">
      <c r="C171" s="131" t="s">
        <v>52</v>
      </c>
      <c r="D171" s="132">
        <v>53085</v>
      </c>
      <c r="E171" s="133">
        <v>-1.7944685967995588E-2</v>
      </c>
      <c r="F171" s="132">
        <v>1118</v>
      </c>
      <c r="G171" s="133">
        <v>6.3006300630064072E-3</v>
      </c>
      <c r="H171" s="132">
        <v>44</v>
      </c>
      <c r="I171" s="133">
        <v>-0.37142857142857144</v>
      </c>
      <c r="J171" s="132">
        <v>14508</v>
      </c>
      <c r="K171" s="133">
        <v>9.0007513148008922E-2</v>
      </c>
      <c r="L171" s="132">
        <v>37415</v>
      </c>
      <c r="M171" s="133">
        <v>-5.4317055909412604E-2</v>
      </c>
    </row>
    <row r="172" spans="3:13" ht="24" customHeight="1" thickBot="1" x14ac:dyDescent="0.25">
      <c r="C172" s="134" t="s">
        <v>53</v>
      </c>
      <c r="D172" s="135">
        <v>25839</v>
      </c>
      <c r="E172" s="133">
        <v>4.6961102106969133E-2</v>
      </c>
      <c r="F172" s="135">
        <v>719</v>
      </c>
      <c r="G172" s="133">
        <v>-6.7444876783398167E-2</v>
      </c>
      <c r="H172" s="135">
        <v>478</v>
      </c>
      <c r="I172" s="133">
        <v>0.27807486631016043</v>
      </c>
      <c r="J172" s="135">
        <v>4722</v>
      </c>
      <c r="K172" s="133">
        <v>0.15848871442590773</v>
      </c>
      <c r="L172" s="135">
        <v>19920</v>
      </c>
      <c r="M172" s="133">
        <v>2.3690837144765942E-2</v>
      </c>
    </row>
    <row r="173" spans="3:13" ht="24" customHeight="1" thickBot="1" x14ac:dyDescent="0.25">
      <c r="C173" s="136" t="s">
        <v>54</v>
      </c>
      <c r="D173" s="132">
        <v>17212</v>
      </c>
      <c r="E173" s="133">
        <v>0.11224555735056541</v>
      </c>
      <c r="F173" s="132">
        <v>357</v>
      </c>
      <c r="G173" s="133">
        <v>-0.14388489208633093</v>
      </c>
      <c r="H173" s="132">
        <v>278</v>
      </c>
      <c r="I173" s="133">
        <v>0.31753554502369674</v>
      </c>
      <c r="J173" s="132">
        <v>3957</v>
      </c>
      <c r="K173" s="133">
        <v>0.26421725239616611</v>
      </c>
      <c r="L173" s="132">
        <v>12620</v>
      </c>
      <c r="M173" s="133">
        <v>7.7067508747973079E-2</v>
      </c>
    </row>
    <row r="174" spans="3:13" ht="24" customHeight="1" thickBot="1" x14ac:dyDescent="0.25">
      <c r="C174" s="134" t="s">
        <v>55</v>
      </c>
      <c r="D174" s="135">
        <v>41671</v>
      </c>
      <c r="E174" s="133">
        <v>-6.6551677792213604E-2</v>
      </c>
      <c r="F174" s="135">
        <v>893</v>
      </c>
      <c r="G174" s="133">
        <v>4.9353701527614646E-2</v>
      </c>
      <c r="H174" s="135">
        <v>132</v>
      </c>
      <c r="I174" s="133">
        <v>0.21100917431192667</v>
      </c>
      <c r="J174" s="135">
        <v>4027</v>
      </c>
      <c r="K174" s="133">
        <v>0.2584375000000001</v>
      </c>
      <c r="L174" s="135">
        <v>36619</v>
      </c>
      <c r="M174" s="133">
        <v>-9.5425127217034778E-2</v>
      </c>
    </row>
    <row r="175" spans="3:13" ht="24" customHeight="1" thickBot="1" x14ac:dyDescent="0.25">
      <c r="C175" s="136" t="s">
        <v>56</v>
      </c>
      <c r="D175" s="132">
        <v>71885</v>
      </c>
      <c r="E175" s="133">
        <v>9.7950268817204256E-2</v>
      </c>
      <c r="F175" s="132">
        <v>1365</v>
      </c>
      <c r="G175" s="133">
        <v>0.16866438356164393</v>
      </c>
      <c r="H175" s="132">
        <v>183</v>
      </c>
      <c r="I175" s="133">
        <v>0.69444444444444442</v>
      </c>
      <c r="J175" s="132">
        <v>9352</v>
      </c>
      <c r="K175" s="133">
        <v>0.30069541029207225</v>
      </c>
      <c r="L175" s="132">
        <v>60985</v>
      </c>
      <c r="M175" s="133">
        <v>6.979967021015332E-2</v>
      </c>
    </row>
    <row r="176" spans="3:13" ht="24" customHeight="1" thickBot="1" x14ac:dyDescent="0.25">
      <c r="C176" s="134" t="s">
        <v>57</v>
      </c>
      <c r="D176" s="135">
        <v>76317</v>
      </c>
      <c r="E176" s="133">
        <v>4.9492560301438449E-2</v>
      </c>
      <c r="F176" s="135">
        <v>3412</v>
      </c>
      <c r="G176" s="133">
        <v>0.19761319761319762</v>
      </c>
      <c r="H176" s="135">
        <v>312</v>
      </c>
      <c r="I176" s="133">
        <v>0.41176470588235303</v>
      </c>
      <c r="J176" s="135">
        <v>16910</v>
      </c>
      <c r="K176" s="133">
        <v>0.34195698754067139</v>
      </c>
      <c r="L176" s="135">
        <v>55683</v>
      </c>
      <c r="M176" s="133">
        <v>-2.3910109208196695E-2</v>
      </c>
    </row>
    <row r="177" spans="3:18" ht="24" customHeight="1" thickBot="1" x14ac:dyDescent="0.25">
      <c r="C177" s="136" t="s">
        <v>58</v>
      </c>
      <c r="D177" s="132">
        <v>10696</v>
      </c>
      <c r="E177" s="133">
        <v>0.34693363556227186</v>
      </c>
      <c r="F177" s="132">
        <v>1340</v>
      </c>
      <c r="G177" s="133">
        <v>0.19964189794091314</v>
      </c>
      <c r="H177" s="132">
        <v>346</v>
      </c>
      <c r="I177" s="133">
        <v>0.53777777777777769</v>
      </c>
      <c r="J177" s="132">
        <v>1723</v>
      </c>
      <c r="K177" s="133">
        <v>0.30234315948601664</v>
      </c>
      <c r="L177" s="132">
        <v>7287</v>
      </c>
      <c r="M177" s="133">
        <v>0.38115996967399535</v>
      </c>
    </row>
    <row r="178" spans="3:18" ht="24" customHeight="1" thickBot="1" x14ac:dyDescent="0.25">
      <c r="C178" s="134" t="s">
        <v>59</v>
      </c>
      <c r="D178" s="135">
        <v>9110</v>
      </c>
      <c r="E178" s="133">
        <v>-6.6514011558173047E-3</v>
      </c>
      <c r="F178" s="135">
        <v>1886</v>
      </c>
      <c r="G178" s="133">
        <v>0.10163551401869153</v>
      </c>
      <c r="H178" s="135">
        <v>205</v>
      </c>
      <c r="I178" s="133">
        <v>0.16477272727272729</v>
      </c>
      <c r="J178" s="135">
        <v>1984</v>
      </c>
      <c r="K178" s="133">
        <v>0.12090395480225991</v>
      </c>
      <c r="L178" s="135">
        <v>5035</v>
      </c>
      <c r="M178" s="133">
        <v>-8.6704153818247809E-2</v>
      </c>
    </row>
    <row r="179" spans="3:18" ht="24" customHeight="1" thickBot="1" x14ac:dyDescent="0.25">
      <c r="C179" s="136" t="s">
        <v>60</v>
      </c>
      <c r="D179" s="138">
        <v>29976</v>
      </c>
      <c r="E179" s="139">
        <v>0.22686530512012437</v>
      </c>
      <c r="F179" s="138">
        <v>2789</v>
      </c>
      <c r="G179" s="139">
        <v>8.4791909762738316E-2</v>
      </c>
      <c r="H179" s="138">
        <v>400</v>
      </c>
      <c r="I179" s="139">
        <v>0.2861736334405145</v>
      </c>
      <c r="J179" s="138">
        <v>5456</v>
      </c>
      <c r="K179" s="139">
        <v>0.11620294599018011</v>
      </c>
      <c r="L179" s="138">
        <v>21331</v>
      </c>
      <c r="M179" s="139">
        <v>0.28014163115885493</v>
      </c>
    </row>
    <row r="180" spans="3:18" ht="30.75" customHeight="1" thickTop="1" thickBot="1" x14ac:dyDescent="0.25">
      <c r="C180" s="140" t="s">
        <v>61</v>
      </c>
      <c r="D180" s="141">
        <v>2221526</v>
      </c>
      <c r="E180" s="142">
        <v>2.1528407491948398E-2</v>
      </c>
      <c r="F180" s="141">
        <v>37219</v>
      </c>
      <c r="G180" s="142">
        <v>1.6829221648498649E-2</v>
      </c>
      <c r="H180" s="141">
        <v>12602</v>
      </c>
      <c r="I180" s="142">
        <v>0.14334966430774809</v>
      </c>
      <c r="J180" s="141">
        <v>287950</v>
      </c>
      <c r="K180" s="142">
        <v>0.12810085719210829</v>
      </c>
      <c r="L180" s="141">
        <v>1883755</v>
      </c>
      <c r="M180" s="142">
        <v>6.3702332101562842E-3</v>
      </c>
    </row>
    <row r="181" spans="3:18" ht="24" customHeight="1" thickBot="1" x14ac:dyDescent="0.25">
      <c r="C181" s="143" t="s">
        <v>8</v>
      </c>
      <c r="D181" s="144">
        <v>2777659</v>
      </c>
      <c r="E181" s="145">
        <v>2.2470235027696184E-2</v>
      </c>
      <c r="F181" s="144">
        <v>120805</v>
      </c>
      <c r="G181" s="145">
        <v>-9.2672325419280721E-3</v>
      </c>
      <c r="H181" s="144">
        <v>22706</v>
      </c>
      <c r="I181" s="145">
        <v>7.9695672848312027E-2</v>
      </c>
      <c r="J181" s="144">
        <v>516201</v>
      </c>
      <c r="K181" s="145">
        <v>0.11158461873065972</v>
      </c>
      <c r="L181" s="144">
        <v>2117947</v>
      </c>
      <c r="M181" s="145">
        <v>4.1146976107351296E-3</v>
      </c>
    </row>
    <row r="182" spans="3:18" ht="18" customHeight="1" x14ac:dyDescent="0.2">
      <c r="C182" s="3"/>
    </row>
    <row r="183" spans="3:18" ht="17.25" hidden="1" customHeight="1" x14ac:dyDescent="0.2">
      <c r="C183" s="353"/>
      <c r="D183" s="354"/>
      <c r="E183" s="354"/>
      <c r="F183" s="354"/>
      <c r="G183" s="354"/>
      <c r="H183" s="354"/>
      <c r="I183" s="354"/>
      <c r="J183" s="354"/>
      <c r="K183" s="354"/>
      <c r="L183" s="354"/>
      <c r="M183" s="355"/>
    </row>
    <row r="184" spans="3:18" ht="21.75" hidden="1" customHeight="1" x14ac:dyDescent="0.2">
      <c r="C184" s="111"/>
      <c r="D184" s="112"/>
      <c r="E184" s="356" t="str">
        <f>$E$1</f>
        <v>INDICADORES TURÍSTICOS DE TENERIFE definitivo</v>
      </c>
      <c r="F184" s="357"/>
      <c r="G184" s="357"/>
      <c r="H184" s="357"/>
      <c r="I184" s="357"/>
      <c r="J184" s="357"/>
      <c r="K184" s="358"/>
      <c r="L184" s="112"/>
      <c r="M184" s="114"/>
    </row>
    <row r="185" spans="3:18" s="1" customFormat="1" ht="21.75" hidden="1" customHeight="1" x14ac:dyDescent="0.2">
      <c r="C185" s="111"/>
      <c r="D185" s="112"/>
      <c r="E185" s="113"/>
      <c r="F185" s="113"/>
      <c r="G185" s="113"/>
      <c r="H185" s="113"/>
      <c r="I185" s="113"/>
      <c r="J185" s="113"/>
      <c r="K185" s="113"/>
      <c r="L185" s="112"/>
      <c r="M185" s="114"/>
    </row>
    <row r="186" spans="3:18" ht="33" hidden="1" customHeight="1" x14ac:dyDescent="0.2">
      <c r="C186" s="349" t="s">
        <v>29</v>
      </c>
      <c r="D186" s="350"/>
      <c r="E186" s="350"/>
      <c r="F186" s="350"/>
      <c r="G186" s="350"/>
      <c r="H186" s="350"/>
      <c r="I186" s="350"/>
      <c r="J186" s="350"/>
      <c r="K186" s="350"/>
      <c r="L186" s="350"/>
      <c r="M186" s="350"/>
      <c r="N186" s="350"/>
      <c r="O186" s="350"/>
      <c r="P186" s="350"/>
      <c r="Q186" s="350"/>
      <c r="R186" s="147"/>
    </row>
    <row r="187" spans="3:18" ht="20.100000000000001" hidden="1" customHeight="1" x14ac:dyDescent="0.2">
      <c r="C187" s="359">
        <f>E3</f>
        <v>0</v>
      </c>
      <c r="D187" s="360"/>
      <c r="E187" s="360"/>
      <c r="F187" s="360"/>
      <c r="G187" s="360"/>
      <c r="H187" s="360"/>
      <c r="I187" s="360"/>
      <c r="J187" s="360"/>
      <c r="K187" s="360"/>
      <c r="L187" s="360"/>
      <c r="M187" s="360"/>
      <c r="N187" s="360"/>
      <c r="O187" s="360"/>
      <c r="P187" s="360"/>
      <c r="Q187" s="360"/>
      <c r="R187" s="1"/>
    </row>
    <row r="188" spans="3:18" ht="17.25" hidden="1" customHeight="1" x14ac:dyDescent="0.2">
      <c r="C188" s="148"/>
      <c r="D188" s="347" t="s">
        <v>24</v>
      </c>
      <c r="E188" s="348"/>
      <c r="F188" s="347" t="s">
        <v>23</v>
      </c>
      <c r="G188" s="348"/>
      <c r="H188" s="347" t="s">
        <v>22</v>
      </c>
      <c r="I188" s="348"/>
      <c r="J188" s="347" t="s">
        <v>21</v>
      </c>
      <c r="K188" s="348"/>
      <c r="L188" s="347" t="s">
        <v>20</v>
      </c>
      <c r="M188" s="348"/>
      <c r="N188" s="347" t="s">
        <v>63</v>
      </c>
      <c r="O188" s="348"/>
      <c r="P188" s="347" t="s">
        <v>64</v>
      </c>
      <c r="Q188" s="348"/>
    </row>
    <row r="189" spans="3:18" ht="28.5" hidden="1" customHeight="1" x14ac:dyDescent="0.2">
      <c r="C189" s="148"/>
      <c r="D189" s="149" t="s">
        <v>35</v>
      </c>
      <c r="E189" s="149" t="s">
        <v>34</v>
      </c>
      <c r="F189" s="149" t="s">
        <v>35</v>
      </c>
      <c r="G189" s="149" t="s">
        <v>34</v>
      </c>
      <c r="H189" s="149" t="s">
        <v>35</v>
      </c>
      <c r="I189" s="149" t="s">
        <v>34</v>
      </c>
      <c r="J189" s="149" t="s">
        <v>35</v>
      </c>
      <c r="K189" s="149" t="s">
        <v>34</v>
      </c>
      <c r="L189" s="149" t="s">
        <v>35</v>
      </c>
      <c r="M189" s="149" t="s">
        <v>34</v>
      </c>
      <c r="N189" s="149" t="s">
        <v>35</v>
      </c>
      <c r="O189" s="149" t="s">
        <v>34</v>
      </c>
      <c r="P189" s="149" t="s">
        <v>35</v>
      </c>
      <c r="Q189" s="149" t="s">
        <v>34</v>
      </c>
    </row>
    <row r="190" spans="3:18" ht="24" hidden="1" customHeight="1" x14ac:dyDescent="0.2">
      <c r="C190" s="150" t="s">
        <v>36</v>
      </c>
      <c r="D190" s="151" t="e">
        <f>VLOOKUP("españa",#REF!,6,FALSE)/VLOOKUP("españa",#REF!,6,FALSE)-1</f>
        <v>#REF!</v>
      </c>
      <c r="E190" s="152" t="e">
        <f>VLOOKUP("españa",#REF!,6,FALSE)</f>
        <v>#REF!</v>
      </c>
      <c r="F190" s="151" t="e">
        <f>VLOOKUP("españa",#REF!,5,FALSE)/VLOOKUP("españa",#REF!,5,FALSE)-1</f>
        <v>#REF!</v>
      </c>
      <c r="G190" s="152" t="e">
        <f>VLOOKUP("españa",#REF!,5,FALSE)</f>
        <v>#REF!</v>
      </c>
      <c r="H190" s="151" t="e">
        <f>VLOOKUP("españa",#REF!,4,FALSE)/VLOOKUP("españa",#REF!,4,FALSE)-1</f>
        <v>#REF!</v>
      </c>
      <c r="I190" s="152" t="e">
        <f>VLOOKUP("españa",#REF!,4,FALSE)</f>
        <v>#REF!</v>
      </c>
      <c r="J190" s="151" t="e">
        <f>VLOOKUP("españa",#REF!,3,FALSE)/VLOOKUP("españa",#REF!,3,FALSE)-1</f>
        <v>#REF!</v>
      </c>
      <c r="K190" s="152" t="e">
        <f>VLOOKUP("españa",#REF!,3,FALSE)</f>
        <v>#REF!</v>
      </c>
      <c r="L190" s="151" t="e">
        <f>VLOOKUP("españa",#REF!,2,FALSE)/VLOOKUP("españa",#REF!,2,FALSE)-1</f>
        <v>#REF!</v>
      </c>
      <c r="M190" s="152" t="e">
        <f>VLOOKUP("españa",#REF!,2,FALSE)</f>
        <v>#REF!</v>
      </c>
      <c r="N190" s="151" t="e">
        <f>VLOOKUP("españa",#REF!,7,FALSE)/VLOOKUP("españa",#REF!,7,FALSE)-1</f>
        <v>#REF!</v>
      </c>
      <c r="O190" s="152" t="e">
        <f>VLOOKUP("españa",#REF!,7,FALSE)</f>
        <v>#REF!</v>
      </c>
      <c r="P190" s="151" t="e">
        <f>VLOOKUP("españa",#REF!,8,FALSE)/VLOOKUP("españa",#REF!,8,FALSE)-1</f>
        <v>#REF!</v>
      </c>
      <c r="Q190" s="152" t="e">
        <f>VLOOKUP("españa",#REF!,8,FALSE)</f>
        <v>#REF!</v>
      </c>
    </row>
    <row r="191" spans="3:18" ht="24" hidden="1" customHeight="1" x14ac:dyDescent="0.2">
      <c r="C191" s="150" t="s">
        <v>41</v>
      </c>
      <c r="D191" s="151" t="e">
        <f>VLOOKUP("holanda",#REF!,6,FALSE)/VLOOKUP("holanda",#REF!,6,FALSE)-1</f>
        <v>#REF!</v>
      </c>
      <c r="E191" s="152" t="e">
        <f>VLOOKUP("holanda",#REF!,6,FALSE)</f>
        <v>#REF!</v>
      </c>
      <c r="F191" s="151" t="e">
        <f>VLOOKUP("holanda",#REF!,5,FALSE)/VLOOKUP("holanda",#REF!,5,FALSE)-1</f>
        <v>#REF!</v>
      </c>
      <c r="G191" s="152" t="e">
        <f>VLOOKUP("holanda",#REF!,5,FALSE)</f>
        <v>#REF!</v>
      </c>
      <c r="H191" s="151" t="e">
        <f>VLOOKUP("holanda",#REF!,4,FALSE)/VLOOKUP("holanda",#REF!,4,FALSE)-1</f>
        <v>#REF!</v>
      </c>
      <c r="I191" s="152" t="e">
        <f>VLOOKUP("holanda",#REF!,4,FALSE)</f>
        <v>#REF!</v>
      </c>
      <c r="J191" s="151" t="e">
        <f>VLOOKUP("holanda",#REF!,3,FALSE)/VLOOKUP("holanda",#REF!,3,FALSE)-1</f>
        <v>#REF!</v>
      </c>
      <c r="K191" s="152" t="e">
        <f>VLOOKUP("holanda",#REF!,3,FALSE)</f>
        <v>#REF!</v>
      </c>
      <c r="L191" s="151" t="e">
        <f>VLOOKUP("holanda",#REF!,2,FALSE)/VLOOKUP("holanda",#REF!,2,FALSE)-1</f>
        <v>#REF!</v>
      </c>
      <c r="M191" s="152" t="e">
        <f>VLOOKUP("holanda",#REF!,2,FALSE)</f>
        <v>#REF!</v>
      </c>
      <c r="N191" s="151" t="e">
        <f>VLOOKUP("holanda",#REF!,7,FALSE)/VLOOKUP("holanda",#REF!,7,FALSE)-1</f>
        <v>#REF!</v>
      </c>
      <c r="O191" s="152" t="e">
        <f>VLOOKUP("holanda",#REF!,7,FALSE)</f>
        <v>#REF!</v>
      </c>
      <c r="P191" s="151" t="e">
        <f>VLOOKUP("holanda",#REF!,8,FALSE)/VLOOKUP("holanda",#REF!,8,FALSE)-1</f>
        <v>#REF!</v>
      </c>
      <c r="Q191" s="152" t="e">
        <f>VLOOKUP("holanda",#REF!,8,FALSE)</f>
        <v>#REF!</v>
      </c>
    </row>
    <row r="192" spans="3:18" ht="24" hidden="1" customHeight="1" x14ac:dyDescent="0.2">
      <c r="C192" s="150" t="s">
        <v>42</v>
      </c>
      <c r="D192" s="151" t="e">
        <f>VLOOKUP("belgica",#REF!,6,FALSE)/VLOOKUP("belgica",#REF!,6,FALSE)-1</f>
        <v>#REF!</v>
      </c>
      <c r="E192" s="152" t="e">
        <f>VLOOKUP("belgica",#REF!,6,FALSE)</f>
        <v>#REF!</v>
      </c>
      <c r="F192" s="151" t="e">
        <f>VLOOKUP("belgica",#REF!,5,FALSE)/VLOOKUP("belgica",#REF!,5,FALSE)-1</f>
        <v>#REF!</v>
      </c>
      <c r="G192" s="152" t="e">
        <f>VLOOKUP("belgica",#REF!,5,FALSE)</f>
        <v>#REF!</v>
      </c>
      <c r="H192" s="151" t="e">
        <f>VLOOKUP("belgica",#REF!,4,FALSE)/VLOOKUP("belgica",#REF!,4,FALSE)-1</f>
        <v>#REF!</v>
      </c>
      <c r="I192" s="152" t="e">
        <f>VLOOKUP("belgica",#REF!,4,FALSE)</f>
        <v>#REF!</v>
      </c>
      <c r="J192" s="151" t="e">
        <f>VLOOKUP("belgica",#REF!,3,FALSE)/VLOOKUP("belgica",#REF!,3,FALSE)-1</f>
        <v>#REF!</v>
      </c>
      <c r="K192" s="152" t="e">
        <f>VLOOKUP("belgica",#REF!,3,FALSE)</f>
        <v>#REF!</v>
      </c>
      <c r="L192" s="151" t="e">
        <f>VLOOKUP("belgica",#REF!,2,FALSE)/VLOOKUP("belgica",#REF!,2,FALSE)-1</f>
        <v>#REF!</v>
      </c>
      <c r="M192" s="152" t="e">
        <f>VLOOKUP("belgica",#REF!,2,FALSE)</f>
        <v>#REF!</v>
      </c>
      <c r="N192" s="151" t="e">
        <f>VLOOKUP("belgica",#REF!,7,FALSE)/VLOOKUP("belgica",#REF!,7,FALSE)-1</f>
        <v>#REF!</v>
      </c>
      <c r="O192" s="152" t="e">
        <f>VLOOKUP("belgica",#REF!,7,FALSE)</f>
        <v>#REF!</v>
      </c>
      <c r="P192" s="151" t="e">
        <f>VLOOKUP("belgica",#REF!,8,FALSE)/VLOOKUP("belgica",#REF!,8,FALSE)-1</f>
        <v>#REF!</v>
      </c>
      <c r="Q192" s="152" t="e">
        <f>VLOOKUP("belgica",#REF!,8,FALSE)</f>
        <v>#REF!</v>
      </c>
    </row>
    <row r="193" spans="3:17" ht="24" hidden="1" customHeight="1" x14ac:dyDescent="0.2">
      <c r="C193" s="150" t="s">
        <v>43</v>
      </c>
      <c r="D193" s="151" t="e">
        <f>VLOOKUP("alemania",#REF!,6,FALSE)/VLOOKUP("alemania",#REF!,6,FALSE)-1</f>
        <v>#REF!</v>
      </c>
      <c r="E193" s="152" t="e">
        <f>VLOOKUP("alemania",#REF!,6,FALSE)</f>
        <v>#REF!</v>
      </c>
      <c r="F193" s="151" t="e">
        <f>VLOOKUP("alemania",#REF!,5,FALSE)/VLOOKUP("alemania",#REF!,5,FALSE)-1</f>
        <v>#REF!</v>
      </c>
      <c r="G193" s="152" t="e">
        <f>VLOOKUP("alemania",#REF!,5,FALSE)</f>
        <v>#REF!</v>
      </c>
      <c r="H193" s="151" t="e">
        <f>VLOOKUP("alemania",#REF!,4,FALSE)/VLOOKUP("alemania",#REF!,4,FALSE)-1</f>
        <v>#REF!</v>
      </c>
      <c r="I193" s="152" t="e">
        <f>VLOOKUP("alemania",#REF!,4,FALSE)</f>
        <v>#REF!</v>
      </c>
      <c r="J193" s="151" t="e">
        <f>VLOOKUP("alemania",#REF!,3,FALSE)/VLOOKUP("alemania",#REF!,3,FALSE)-1</f>
        <v>#REF!</v>
      </c>
      <c r="K193" s="152" t="e">
        <f>VLOOKUP("alemania",#REF!,3,FALSE)</f>
        <v>#REF!</v>
      </c>
      <c r="L193" s="151" t="e">
        <f>VLOOKUP("alemania",#REF!,2,FALSE)/VLOOKUP("alemania",#REF!,2,FALSE)-1</f>
        <v>#REF!</v>
      </c>
      <c r="M193" s="152" t="e">
        <f>VLOOKUP("alemania",#REF!,2,FALSE)</f>
        <v>#REF!</v>
      </c>
      <c r="N193" s="151" t="e">
        <f>VLOOKUP("alemania",#REF!,7,FALSE)/VLOOKUP("alemania",#REF!,7,FALSE)-1</f>
        <v>#REF!</v>
      </c>
      <c r="O193" s="152" t="e">
        <f>VLOOKUP("alemania",#REF!,7,FALSE)</f>
        <v>#REF!</v>
      </c>
      <c r="P193" s="151" t="e">
        <f>VLOOKUP("alemania",#REF!,8,FALSE)/VLOOKUP("alemania",#REF!,8,FALSE)-1</f>
        <v>#REF!</v>
      </c>
      <c r="Q193" s="152" t="e">
        <f>VLOOKUP("alemania",#REF!,8,FALSE)</f>
        <v>#REF!</v>
      </c>
    </row>
    <row r="194" spans="3:17" ht="24" hidden="1" customHeight="1" x14ac:dyDescent="0.2">
      <c r="C194" s="150" t="s">
        <v>44</v>
      </c>
      <c r="D194" s="151" t="e">
        <f>VLOOKUP("francia",#REF!,6,FALSE)/VLOOKUP("francia",#REF!,6,FALSE)-1</f>
        <v>#REF!</v>
      </c>
      <c r="E194" s="152" t="e">
        <f>VLOOKUP("francia",#REF!,6,FALSE)</f>
        <v>#REF!</v>
      </c>
      <c r="F194" s="151" t="e">
        <f>VLOOKUP("francia",#REF!,5,FALSE)/VLOOKUP("francia",#REF!,5,FALSE)-1</f>
        <v>#REF!</v>
      </c>
      <c r="G194" s="152" t="e">
        <f>VLOOKUP("francia",#REF!,5,FALSE)</f>
        <v>#REF!</v>
      </c>
      <c r="H194" s="151" t="e">
        <f>VLOOKUP("francia",#REF!,4,FALSE)/VLOOKUP("francia",#REF!,4,FALSE)-1</f>
        <v>#REF!</v>
      </c>
      <c r="I194" s="152" t="e">
        <f>VLOOKUP("francia",#REF!,4,FALSE)</f>
        <v>#REF!</v>
      </c>
      <c r="J194" s="151" t="e">
        <f>VLOOKUP("francia",#REF!,3,FALSE)/VLOOKUP("francia",#REF!,3,FALSE)-1</f>
        <v>#REF!</v>
      </c>
      <c r="K194" s="152" t="e">
        <f>VLOOKUP("francia",#REF!,3,FALSE)</f>
        <v>#REF!</v>
      </c>
      <c r="L194" s="151" t="e">
        <f>VLOOKUP("francia",#REF!,2,FALSE)/VLOOKUP("francia",#REF!,2,FALSE)-1</f>
        <v>#REF!</v>
      </c>
      <c r="M194" s="152" t="e">
        <f>VLOOKUP("francia",#REF!,2,FALSE)</f>
        <v>#REF!</v>
      </c>
      <c r="N194" s="151" t="e">
        <f>VLOOKUP("francia",#REF!,7,FALSE)/VLOOKUP("francia",#REF!,7,FALSE)-1</f>
        <v>#REF!</v>
      </c>
      <c r="O194" s="152" t="e">
        <f>VLOOKUP("francia",#REF!,7,FALSE)</f>
        <v>#REF!</v>
      </c>
      <c r="P194" s="151" t="e">
        <f>VLOOKUP("francia",#REF!,8,FALSE)/VLOOKUP("francia",#REF!,8,FALSE)-1</f>
        <v>#REF!</v>
      </c>
      <c r="Q194" s="152" t="e">
        <f>VLOOKUP("francia",#REF!,8,FALSE)</f>
        <v>#REF!</v>
      </c>
    </row>
    <row r="195" spans="3:17" ht="24" hidden="1" customHeight="1" x14ac:dyDescent="0.2">
      <c r="C195" s="150" t="s">
        <v>45</v>
      </c>
      <c r="D195" s="151" t="e">
        <f>VLOOKUP("reino unido",#REF!,6,FALSE)/VLOOKUP("reino unido",#REF!,6,FALSE)-1</f>
        <v>#REF!</v>
      </c>
      <c r="E195" s="152" t="e">
        <f>VLOOKUP("reino unido",#REF!,6,FALSE)</f>
        <v>#REF!</v>
      </c>
      <c r="F195" s="151" t="e">
        <f>VLOOKUP("reino unido",#REF!,5,FALSE)/VLOOKUP("reino unido",#REF!,5,FALSE)-1</f>
        <v>#REF!</v>
      </c>
      <c r="G195" s="152" t="e">
        <f>VLOOKUP("reino unido",#REF!,5,FALSE)</f>
        <v>#REF!</v>
      </c>
      <c r="H195" s="151" t="e">
        <f>VLOOKUP("reino unido",#REF!,4,FALSE)/VLOOKUP("reino unido",#REF!,4,FALSE)-1</f>
        <v>#REF!</v>
      </c>
      <c r="I195" s="152" t="e">
        <f>VLOOKUP("reino unido",#REF!,4,FALSE)</f>
        <v>#REF!</v>
      </c>
      <c r="J195" s="151" t="e">
        <f>VLOOKUP("reino unido",#REF!,3,FALSE)/VLOOKUP("reino unido",#REF!,3,FALSE)-1</f>
        <v>#REF!</v>
      </c>
      <c r="K195" s="152" t="e">
        <f>VLOOKUP("reino unido",#REF!,3,FALSE)</f>
        <v>#REF!</v>
      </c>
      <c r="L195" s="151" t="e">
        <f>VLOOKUP("reino unido",#REF!,2,FALSE)/VLOOKUP("reino unido",#REF!,2,FALSE)-1</f>
        <v>#REF!</v>
      </c>
      <c r="M195" s="152" t="e">
        <f>VLOOKUP("reino unido",#REF!,2,FALSE)</f>
        <v>#REF!</v>
      </c>
      <c r="N195" s="151" t="e">
        <f>VLOOKUP("reino unido",#REF!,7,FALSE)/VLOOKUP("reino unido",#REF!,7,FALSE)-1</f>
        <v>#REF!</v>
      </c>
      <c r="O195" s="152" t="e">
        <f>VLOOKUP("reino unido",#REF!,7,FALSE)</f>
        <v>#REF!</v>
      </c>
      <c r="P195" s="151" t="e">
        <f>VLOOKUP("reino unido",#REF!,8,FALSE)/VLOOKUP("reino unido",#REF!,8,FALSE)-1</f>
        <v>#REF!</v>
      </c>
      <c r="Q195" s="152" t="e">
        <f>VLOOKUP("reino unido",#REF!,8,FALSE)</f>
        <v>#REF!</v>
      </c>
    </row>
    <row r="196" spans="3:17" ht="24" hidden="1" customHeight="1" x14ac:dyDescent="0.2">
      <c r="C196" s="150" t="s">
        <v>46</v>
      </c>
      <c r="D196" s="151" t="e">
        <f>VLOOKUP("irlanda",#REF!,6,FALSE)/VLOOKUP("irlanda",#REF!,6,FALSE)-1</f>
        <v>#REF!</v>
      </c>
      <c r="E196" s="152" t="e">
        <f>VLOOKUP("irlanda",#REF!,6,FALSE)</f>
        <v>#REF!</v>
      </c>
      <c r="F196" s="151" t="e">
        <f>VLOOKUP("irlanda",#REF!,5,FALSE)/VLOOKUP("irlanda",#REF!,5,FALSE)-1</f>
        <v>#REF!</v>
      </c>
      <c r="G196" s="152" t="e">
        <f>VLOOKUP("irlanda",#REF!,5,FALSE)</f>
        <v>#REF!</v>
      </c>
      <c r="H196" s="151" t="e">
        <f>VLOOKUP("irlanda",#REF!,4,FALSE)/VLOOKUP("irlanda",#REF!,4,FALSE)-1</f>
        <v>#REF!</v>
      </c>
      <c r="I196" s="152" t="e">
        <f>VLOOKUP("irlanda",#REF!,4,FALSE)</f>
        <v>#REF!</v>
      </c>
      <c r="J196" s="151" t="e">
        <f>VLOOKUP("irlanda",#REF!,3,FALSE)/VLOOKUP("irlanda",#REF!,3,FALSE)-1</f>
        <v>#REF!</v>
      </c>
      <c r="K196" s="152" t="e">
        <f>VLOOKUP("irlanda",#REF!,3,FALSE)</f>
        <v>#REF!</v>
      </c>
      <c r="L196" s="151" t="e">
        <f>VLOOKUP("irlanda",#REF!,2,FALSE)/VLOOKUP("irlanda",#REF!,2,FALSE)-1</f>
        <v>#REF!</v>
      </c>
      <c r="M196" s="152" t="e">
        <f>VLOOKUP("irlanda",#REF!,2,FALSE)</f>
        <v>#REF!</v>
      </c>
      <c r="N196" s="151" t="e">
        <f>VLOOKUP("irlanda",#REF!,7,FALSE)/VLOOKUP("irlanda",#REF!,7,FALSE)-1</f>
        <v>#REF!</v>
      </c>
      <c r="O196" s="152" t="e">
        <f>VLOOKUP("irlanda",#REF!,7,FALSE)</f>
        <v>#REF!</v>
      </c>
      <c r="P196" s="151" t="e">
        <f>VLOOKUP("irlanda",#REF!,8,FALSE)/VLOOKUP("irlanda",#REF!,8,FALSE)-1</f>
        <v>#REF!</v>
      </c>
      <c r="Q196" s="152" t="e">
        <f>VLOOKUP("irlanda",#REF!,8,FALSE)</f>
        <v>#REF!</v>
      </c>
    </row>
    <row r="197" spans="3:17" ht="24" hidden="1" customHeight="1" x14ac:dyDescent="0.2">
      <c r="C197" s="150" t="s">
        <v>47</v>
      </c>
      <c r="D197" s="151" t="e">
        <f>VLOOKUP("italia",#REF!,6,FALSE)/VLOOKUP("italia",#REF!,6,FALSE)-1</f>
        <v>#REF!</v>
      </c>
      <c r="E197" s="152" t="e">
        <f>VLOOKUP("italia",#REF!,6,FALSE)</f>
        <v>#REF!</v>
      </c>
      <c r="F197" s="151" t="e">
        <f>VLOOKUP("italia",#REF!,5,FALSE)/VLOOKUP("italia",#REF!,5,FALSE)-1</f>
        <v>#REF!</v>
      </c>
      <c r="G197" s="152" t="e">
        <f>VLOOKUP("italia",#REF!,5,FALSE)</f>
        <v>#REF!</v>
      </c>
      <c r="H197" s="151" t="e">
        <f>VLOOKUP("italia",#REF!,4,FALSE)/VLOOKUP("italia",#REF!,4,FALSE)-1</f>
        <v>#REF!</v>
      </c>
      <c r="I197" s="152" t="e">
        <f>VLOOKUP("italia",#REF!,4,FALSE)</f>
        <v>#REF!</v>
      </c>
      <c r="J197" s="151" t="e">
        <f>VLOOKUP("italia",#REF!,3,FALSE)/VLOOKUP("italia",#REF!,3,FALSE)-1</f>
        <v>#REF!</v>
      </c>
      <c r="K197" s="152" t="e">
        <f>VLOOKUP("italia",#REF!,3,FALSE)</f>
        <v>#REF!</v>
      </c>
      <c r="L197" s="151" t="e">
        <f>VLOOKUP("italia",#REF!,2,FALSE)/VLOOKUP("italia",#REF!,2,FALSE)-1</f>
        <v>#REF!</v>
      </c>
      <c r="M197" s="152" t="e">
        <f>VLOOKUP("italia",#REF!,2,FALSE)</f>
        <v>#REF!</v>
      </c>
      <c r="N197" s="151" t="e">
        <f>VLOOKUP("italia",#REF!,7,FALSE)/VLOOKUP("italia",#REF!,7,FALSE)-1</f>
        <v>#REF!</v>
      </c>
      <c r="O197" s="152" t="e">
        <f>VLOOKUP("italia",#REF!,7,FALSE)</f>
        <v>#REF!</v>
      </c>
      <c r="P197" s="151" t="e">
        <f>VLOOKUP("italia",#REF!,8,FALSE)/VLOOKUP("italia",#REF!,8,FALSE)-1</f>
        <v>#REF!</v>
      </c>
      <c r="Q197" s="152" t="e">
        <f>VLOOKUP("italia",#REF!,8,FALSE)</f>
        <v>#REF!</v>
      </c>
    </row>
    <row r="198" spans="3:17" ht="24" hidden="1" customHeight="1" x14ac:dyDescent="0.2">
      <c r="C198" s="150" t="s">
        <v>48</v>
      </c>
      <c r="D198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152" t="e">
        <f>(VLOOKUP("suecia",#REF!,6,FALSE)+VLOOKUP("noruega",#REF!,6,FALSE)+VLOOKUP("dinamarca",#REF!,6,FALSE)+VLOOKUP("finlandia",#REF!,6,FALSE))</f>
        <v>#REF!</v>
      </c>
      <c r="F198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152" t="e">
        <f>(VLOOKUP("suecia",#REF!,5,FALSE)+VLOOKUP("noruega",#REF!,5,FALSE)+VLOOKUP("dinamarca",#REF!,5,FALSE)+VLOOKUP("finlandia",#REF!,5,FALSE))</f>
        <v>#REF!</v>
      </c>
      <c r="H198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152" t="e">
        <f>(VLOOKUP("suecia",#REF!,4,FALSE)+VLOOKUP("noruega",#REF!,4,FALSE)+VLOOKUP("dinamarca",#REF!,4,FALSE)+VLOOKUP("finlandia",#REF!,4,FALSE))</f>
        <v>#REF!</v>
      </c>
      <c r="J198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152" t="e">
        <f>(VLOOKUP("suecia",#REF!,3,FALSE)+VLOOKUP("noruega",#REF!,3,FALSE)+VLOOKUP("dinamarca",#REF!,3,FALSE)+VLOOKUP("finlandia",#REF!,3,FALSE))</f>
        <v>#REF!</v>
      </c>
      <c r="L198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152" t="e">
        <f>(VLOOKUP("suecia",#REF!,2,FALSE)+VLOOKUP("noruega",#REF!,2,FALSE)+VLOOKUP("dinamarca",#REF!,2,FALSE)+VLOOKUP("finlandia",#REF!,2,FALSE))</f>
        <v>#REF!</v>
      </c>
      <c r="N198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152" t="e">
        <f>(VLOOKUP("suecia",#REF!,7,FALSE)+VLOOKUP("noruega",#REF!,7,FALSE)+VLOOKUP("dinamarca",#REF!,7,FALSE)+VLOOKUP("finlandia",#REF!,7,FALSE))</f>
        <v>#REF!</v>
      </c>
      <c r="P198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152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153" t="s">
        <v>49</v>
      </c>
      <c r="D199" s="151" t="e">
        <f>VLOOKUP("suecia",#REF!,6,FALSE)/VLOOKUP("suecia",#REF!,6,FALSE)-1</f>
        <v>#REF!</v>
      </c>
      <c r="E199" s="152" t="e">
        <f>VLOOKUP("suecia",#REF!,6,FALSE)</f>
        <v>#REF!</v>
      </c>
      <c r="F199" s="151" t="e">
        <f>VLOOKUP("suecia",#REF!,5,FALSE)/VLOOKUP("suecia",#REF!,5,FALSE)-1</f>
        <v>#REF!</v>
      </c>
      <c r="G199" s="152" t="e">
        <f>VLOOKUP("suecia",#REF!,5,FALSE)</f>
        <v>#REF!</v>
      </c>
      <c r="H199" s="151" t="e">
        <f>VLOOKUP("suecia",#REF!,4,FALSE)/VLOOKUP("suecia",#REF!,4,FALSE)-1</f>
        <v>#REF!</v>
      </c>
      <c r="I199" s="152" t="e">
        <f>VLOOKUP("suecia",#REF!,4,FALSE)</f>
        <v>#REF!</v>
      </c>
      <c r="J199" s="151" t="e">
        <f>VLOOKUP("suecia",#REF!,3,FALSE)/VLOOKUP("suecia",#REF!,3,FALSE)-1</f>
        <v>#REF!</v>
      </c>
      <c r="K199" s="152" t="e">
        <f>VLOOKUP("suecia",#REF!,3,FALSE)</f>
        <v>#REF!</v>
      </c>
      <c r="L199" s="151" t="e">
        <f>VLOOKUP("suecia",#REF!,2,FALSE)/VLOOKUP("suecia",#REF!,2,FALSE)-1</f>
        <v>#REF!</v>
      </c>
      <c r="M199" s="152" t="e">
        <f>VLOOKUP("suecia",#REF!,2,FALSE)</f>
        <v>#REF!</v>
      </c>
      <c r="N199" s="151" t="e">
        <f>VLOOKUP("suecia",#REF!,7,FALSE)/VLOOKUP("suecia",#REF!,7,FALSE)-1</f>
        <v>#REF!</v>
      </c>
      <c r="O199" s="152" t="e">
        <f>VLOOKUP("suecia",#REF!,7,FALSE)</f>
        <v>#REF!</v>
      </c>
      <c r="P199" s="151" t="e">
        <f>VLOOKUP("suecia",#REF!,8,FALSE)/VLOOKUP("suecia",#REF!,8,FALSE)-1</f>
        <v>#REF!</v>
      </c>
      <c r="Q199" s="152" t="e">
        <f>VLOOKUP("suecia",#REF!,8,FALSE)</f>
        <v>#REF!</v>
      </c>
    </row>
    <row r="200" spans="3:17" ht="24" hidden="1" customHeight="1" x14ac:dyDescent="0.2">
      <c r="C200" s="153" t="s">
        <v>50</v>
      </c>
      <c r="D200" s="151" t="e">
        <f>VLOOKUP("noruega",#REF!,6,FALSE)/VLOOKUP("noruega",#REF!,6,FALSE)-1</f>
        <v>#REF!</v>
      </c>
      <c r="E200" s="152" t="e">
        <f>VLOOKUP("noruega",#REF!,6,FALSE)</f>
        <v>#REF!</v>
      </c>
      <c r="F200" s="151" t="e">
        <f>VLOOKUP("noruega",#REF!,5,FALSE)/VLOOKUP("noruega",#REF!,5,FALSE)-1</f>
        <v>#REF!</v>
      </c>
      <c r="G200" s="152" t="e">
        <f>VLOOKUP("noruega",#REF!,5,FALSE)</f>
        <v>#REF!</v>
      </c>
      <c r="H200" s="151" t="e">
        <f>VLOOKUP("noruega",#REF!,4,FALSE)/VLOOKUP("noruega",#REF!,4,FALSE)-1</f>
        <v>#REF!</v>
      </c>
      <c r="I200" s="152" t="e">
        <f>VLOOKUP("noruega",#REF!,4,FALSE)</f>
        <v>#REF!</v>
      </c>
      <c r="J200" s="151" t="e">
        <f>VLOOKUP("noruega",#REF!,3,FALSE)/VLOOKUP("noruega",#REF!,3,FALSE)-1</f>
        <v>#REF!</v>
      </c>
      <c r="K200" s="152" t="e">
        <f>VLOOKUP("noruega",#REF!,3,FALSE)</f>
        <v>#REF!</v>
      </c>
      <c r="L200" s="151" t="e">
        <f>VLOOKUP("noruega",#REF!,2,FALSE)/VLOOKUP("noruega",#REF!,2,FALSE)-1</f>
        <v>#REF!</v>
      </c>
      <c r="M200" s="152" t="e">
        <f>VLOOKUP("noruega",#REF!,2,FALSE)</f>
        <v>#REF!</v>
      </c>
      <c r="N200" s="151" t="e">
        <f>VLOOKUP("noruega",#REF!,7,FALSE)/VLOOKUP("noruega",#REF!,7,FALSE)-1</f>
        <v>#REF!</v>
      </c>
      <c r="O200" s="152" t="e">
        <f>VLOOKUP("noruega",#REF!,7,FALSE)</f>
        <v>#REF!</v>
      </c>
      <c r="P200" s="151" t="e">
        <f>VLOOKUP("noruega",#REF!,8,FALSE)/VLOOKUP("noruega",#REF!,8,FALSE)-1</f>
        <v>#REF!</v>
      </c>
      <c r="Q200" s="152" t="e">
        <f>VLOOKUP("noruega",#REF!,8,FALSE)</f>
        <v>#REF!</v>
      </c>
    </row>
    <row r="201" spans="3:17" ht="24" hidden="1" customHeight="1" x14ac:dyDescent="0.2">
      <c r="C201" s="153" t="s">
        <v>51</v>
      </c>
      <c r="D201" s="151" t="e">
        <f>VLOOKUP("dinamarca",#REF!,6,FALSE)/VLOOKUP("dinamarca",#REF!,6,FALSE)-1</f>
        <v>#REF!</v>
      </c>
      <c r="E201" s="152" t="e">
        <f>VLOOKUP("dinamarca",#REF!,6,FALSE)</f>
        <v>#REF!</v>
      </c>
      <c r="F201" s="151" t="e">
        <f>VLOOKUP("dinamarca",#REF!,5,FALSE)/VLOOKUP("dinamarca",#REF!,5,FALSE)-1</f>
        <v>#REF!</v>
      </c>
      <c r="G201" s="152" t="e">
        <f>VLOOKUP("dinamarca",#REF!,5,FALSE)</f>
        <v>#REF!</v>
      </c>
      <c r="H201" s="151" t="e">
        <f>VLOOKUP("dinamarca",#REF!,4,FALSE)/VLOOKUP("dinamarca",#REF!,4,FALSE)-1</f>
        <v>#REF!</v>
      </c>
      <c r="I201" s="152" t="e">
        <f>VLOOKUP("dinamarca",#REF!,4,FALSE)</f>
        <v>#REF!</v>
      </c>
      <c r="J201" s="151" t="e">
        <f>VLOOKUP("dinamarca",#REF!,3,FALSE)/VLOOKUP("dinamarca",#REF!,3,FALSE)-1</f>
        <v>#REF!</v>
      </c>
      <c r="K201" s="152" t="e">
        <f>VLOOKUP("dinamarca",#REF!,3,FALSE)</f>
        <v>#REF!</v>
      </c>
      <c r="L201" s="151" t="e">
        <f>VLOOKUP("dinamarca",#REF!,2,FALSE)/VLOOKUP("dinamarca",#REF!,2,FALSE)-1</f>
        <v>#REF!</v>
      </c>
      <c r="M201" s="152" t="e">
        <f>VLOOKUP("dinamarca",#REF!,2,FALSE)</f>
        <v>#REF!</v>
      </c>
      <c r="N201" s="151" t="e">
        <f>VLOOKUP("dinamarca",#REF!,7,FALSE)/VLOOKUP("dinamarca",#REF!,7,FALSE)-1</f>
        <v>#REF!</v>
      </c>
      <c r="O201" s="152" t="e">
        <f>VLOOKUP("dinamarca",#REF!,7,FALSE)</f>
        <v>#REF!</v>
      </c>
      <c r="P201" s="151" t="e">
        <f>VLOOKUP("dinamarca",#REF!,8,FALSE)/VLOOKUP("dinamarca",#REF!,8,FALSE)-1</f>
        <v>#REF!</v>
      </c>
      <c r="Q201" s="152" t="e">
        <f>VLOOKUP("dinamarca",#REF!,8,FALSE)</f>
        <v>#REF!</v>
      </c>
    </row>
    <row r="202" spans="3:17" ht="24" hidden="1" customHeight="1" x14ac:dyDescent="0.2">
      <c r="C202" s="153" t="s">
        <v>52</v>
      </c>
      <c r="D202" s="151" t="s">
        <v>38</v>
      </c>
      <c r="E202" s="152" t="e">
        <f>VLOOKUP("finlandia",#REF!,6,FALSE)</f>
        <v>#REF!</v>
      </c>
      <c r="F202" s="151" t="e">
        <f>VLOOKUP("finlandia",#REF!,5,FALSE)/VLOOKUP("finlandia",#REF!,5,FALSE)-1</f>
        <v>#REF!</v>
      </c>
      <c r="G202" s="152" t="e">
        <f>VLOOKUP("finlandia",#REF!,5,FALSE)</f>
        <v>#REF!</v>
      </c>
      <c r="H202" s="151" t="e">
        <f>VLOOKUP("finlandia",#REF!,4,FALSE)/VLOOKUP("finlandia",#REF!,4,FALSE)-1</f>
        <v>#REF!</v>
      </c>
      <c r="I202" s="152" t="e">
        <f>VLOOKUP("finlandia",#REF!,4,FALSE)</f>
        <v>#REF!</v>
      </c>
      <c r="J202" s="151" t="e">
        <f>VLOOKUP("finlandia",#REF!,3,FALSE)/VLOOKUP("finlandia",#REF!,3,FALSE)-1</f>
        <v>#REF!</v>
      </c>
      <c r="K202" s="152" t="e">
        <f>VLOOKUP("finlandia",#REF!,3,FALSE)</f>
        <v>#REF!</v>
      </c>
      <c r="L202" s="151" t="s">
        <v>38</v>
      </c>
      <c r="M202" s="152" t="e">
        <f>VLOOKUP("finlandia",#REF!,2,FALSE)</f>
        <v>#REF!</v>
      </c>
      <c r="N202" s="151" t="e">
        <f>VLOOKUP("finlandia",#REF!,7,FALSE)/VLOOKUP("finlandia",#REF!,7,FALSE)-1</f>
        <v>#REF!</v>
      </c>
      <c r="O202" s="152" t="e">
        <f>VLOOKUP("finlandia",#REF!,7,FALSE)</f>
        <v>#REF!</v>
      </c>
      <c r="P202" s="151" t="e">
        <f>VLOOKUP("finlandia",#REF!,8,FALSE)/VLOOKUP("finlandia",#REF!,8,FALSE)-1</f>
        <v>#REF!</v>
      </c>
      <c r="Q202" s="152" t="e">
        <f>VLOOKUP("finlandia",#REF!,8,FALSE)</f>
        <v>#REF!</v>
      </c>
    </row>
    <row r="203" spans="3:17" ht="24" hidden="1" customHeight="1" x14ac:dyDescent="0.2">
      <c r="C203" s="150" t="s">
        <v>53</v>
      </c>
      <c r="D203" s="151" t="e">
        <f>VLOOKUP("suiza",#REF!,6,FALSE)/VLOOKUP("suiza",#REF!,6,FALSE)-1</f>
        <v>#REF!</v>
      </c>
      <c r="E203" s="152" t="e">
        <f>VLOOKUP("suiza",#REF!,6,FALSE)</f>
        <v>#REF!</v>
      </c>
      <c r="F203" s="151" t="e">
        <f>VLOOKUP("suiza",#REF!,5,FALSE)/VLOOKUP("suiza",#REF!,5,FALSE)-1</f>
        <v>#REF!</v>
      </c>
      <c r="G203" s="152" t="e">
        <f>VLOOKUP("suiza",#REF!,5,FALSE)</f>
        <v>#REF!</v>
      </c>
      <c r="H203" s="151" t="e">
        <f>VLOOKUP("suiza",#REF!,4,FALSE)/VLOOKUP("suiza",#REF!,4,FALSE)-1</f>
        <v>#REF!</v>
      </c>
      <c r="I203" s="152" t="e">
        <f>VLOOKUP("suiza",#REF!,4,FALSE)</f>
        <v>#REF!</v>
      </c>
      <c r="J203" s="151" t="e">
        <f>VLOOKUP("suiza",#REF!,3,FALSE)/VLOOKUP("suiza",#REF!,3,FALSE)-1</f>
        <v>#REF!</v>
      </c>
      <c r="K203" s="152" t="e">
        <f>VLOOKUP("suiza",#REF!,3,FALSE)</f>
        <v>#REF!</v>
      </c>
      <c r="L203" s="151" t="e">
        <f>VLOOKUP("suiza",#REF!,2,FALSE)/VLOOKUP("suiza",#REF!,2,FALSE)-1</f>
        <v>#REF!</v>
      </c>
      <c r="M203" s="152" t="e">
        <f>VLOOKUP("suiza",#REF!,2,FALSE)</f>
        <v>#REF!</v>
      </c>
      <c r="N203" s="151" t="e">
        <f>VLOOKUP("suiza",#REF!,7,FALSE)/VLOOKUP("suiza",#REF!,7,FALSE)-1</f>
        <v>#REF!</v>
      </c>
      <c r="O203" s="152" t="e">
        <f>VLOOKUP("suiza",#REF!,7,FALSE)</f>
        <v>#REF!</v>
      </c>
      <c r="P203" s="151" t="e">
        <f>VLOOKUP("suiza",#REF!,8,FALSE)/VLOOKUP("suiza",#REF!,8,FALSE)-1</f>
        <v>#REF!</v>
      </c>
      <c r="Q203" s="152" t="e">
        <f>VLOOKUP("suiza",#REF!,8,FALSE)</f>
        <v>#REF!</v>
      </c>
    </row>
    <row r="204" spans="3:17" ht="24" hidden="1" customHeight="1" x14ac:dyDescent="0.2">
      <c r="C204" s="150" t="s">
        <v>54</v>
      </c>
      <c r="D204" s="151" t="e">
        <f>VLOOKUP("austria",#REF!,6,FALSE)/VLOOKUP("austria",#REF!,6,FALSE)-1</f>
        <v>#REF!</v>
      </c>
      <c r="E204" s="152" t="e">
        <f>VLOOKUP("austria",#REF!,6,FALSE)</f>
        <v>#REF!</v>
      </c>
      <c r="F204" s="151" t="e">
        <f>VLOOKUP("austria",#REF!,5,FALSE)/VLOOKUP("austria",#REF!,5,FALSE)-1</f>
        <v>#REF!</v>
      </c>
      <c r="G204" s="152" t="e">
        <f>VLOOKUP("austria",#REF!,5,FALSE)</f>
        <v>#REF!</v>
      </c>
      <c r="H204" s="151" t="e">
        <f>VLOOKUP("austria",#REF!,4,FALSE)/VLOOKUP("austria",#REF!,4,FALSE)-1</f>
        <v>#REF!</v>
      </c>
      <c r="I204" s="152" t="e">
        <f>VLOOKUP("austria",#REF!,4,FALSE)</f>
        <v>#REF!</v>
      </c>
      <c r="J204" s="151" t="e">
        <f>VLOOKUP("austria",#REF!,3,FALSE)/VLOOKUP("austria",#REF!,3,FALSE)-1</f>
        <v>#REF!</v>
      </c>
      <c r="K204" s="152" t="e">
        <f>VLOOKUP("austria",#REF!,3,FALSE)</f>
        <v>#REF!</v>
      </c>
      <c r="L204" s="151" t="e">
        <f>VLOOKUP("austria",#REF!,2,FALSE)/VLOOKUP("austria",#REF!,2,FALSE)-1</f>
        <v>#REF!</v>
      </c>
      <c r="M204" s="152" t="e">
        <f>VLOOKUP("austria",#REF!,2,FALSE)</f>
        <v>#REF!</v>
      </c>
      <c r="N204" s="151" t="e">
        <f>VLOOKUP("austria",#REF!,7,FALSE)/VLOOKUP("austria",#REF!,7,FALSE)-1</f>
        <v>#REF!</v>
      </c>
      <c r="O204" s="152" t="e">
        <f>VLOOKUP("austria",#REF!,7,FALSE)</f>
        <v>#REF!</v>
      </c>
      <c r="P204" s="151" t="e">
        <f>VLOOKUP("austria",#REF!,8,FALSE)/VLOOKUP("austria",#REF!,8,FALSE)-1</f>
        <v>#REF!</v>
      </c>
      <c r="Q204" s="152" t="e">
        <f>VLOOKUP("austria",#REF!,8,FALSE)</f>
        <v>#REF!</v>
      </c>
    </row>
    <row r="205" spans="3:17" ht="24" hidden="1" customHeight="1" x14ac:dyDescent="0.2">
      <c r="C205" s="150" t="s">
        <v>55</v>
      </c>
      <c r="D205" s="151" t="e">
        <f>VLOOKUP("rusia",#REF!,6,FALSE)/VLOOKUP("rusia",#REF!,6,FALSE)-1</f>
        <v>#REF!</v>
      </c>
      <c r="E205" s="152" t="e">
        <f>VLOOKUP("rusia",#REF!,6,FALSE)</f>
        <v>#REF!</v>
      </c>
      <c r="F205" s="151" t="e">
        <f>VLOOKUP("rusia",#REF!,5,FALSE)/VLOOKUP("rusia",#REF!,5,FALSE)-1</f>
        <v>#REF!</v>
      </c>
      <c r="G205" s="152" t="e">
        <f>VLOOKUP("rusia",#REF!,5,FALSE)</f>
        <v>#REF!</v>
      </c>
      <c r="H205" s="151" t="e">
        <f>VLOOKUP("rusia",#REF!,4,FALSE)/VLOOKUP("rusia",#REF!,4,FALSE)-1</f>
        <v>#REF!</v>
      </c>
      <c r="I205" s="152" t="e">
        <f>VLOOKUP("rusia",#REF!,4,FALSE)</f>
        <v>#REF!</v>
      </c>
      <c r="J205" s="151" t="e">
        <f>VLOOKUP("rusia",#REF!,3,FALSE)/VLOOKUP("rusia",#REF!,3,FALSE)-1</f>
        <v>#REF!</v>
      </c>
      <c r="K205" s="152" t="e">
        <f>VLOOKUP("rusia",#REF!,3,FALSE)</f>
        <v>#REF!</v>
      </c>
      <c r="L205" s="151" t="e">
        <f>VLOOKUP("rusia",#REF!,2,FALSE)/VLOOKUP("rusia",#REF!,2,FALSE)-1</f>
        <v>#REF!</v>
      </c>
      <c r="M205" s="152" t="e">
        <f>VLOOKUP("rusia",#REF!,2,FALSE)</f>
        <v>#REF!</v>
      </c>
      <c r="N205" s="151" t="e">
        <f>VLOOKUP("rusia",#REF!,7,FALSE)/VLOOKUP("rusia",#REF!,7,FALSE)-1</f>
        <v>#REF!</v>
      </c>
      <c r="O205" s="152" t="e">
        <f>VLOOKUP("rusia",#REF!,7,FALSE)</f>
        <v>#REF!</v>
      </c>
      <c r="P205" s="151" t="e">
        <f>VLOOKUP("rusia",#REF!,8,FALSE)/VLOOKUP("rusia",#REF!,8,FALSE)-1</f>
        <v>#REF!</v>
      </c>
      <c r="Q205" s="152" t="e">
        <f>VLOOKUP("rusia",#REF!,8,FALSE)</f>
        <v>#REF!</v>
      </c>
    </row>
    <row r="206" spans="3:17" ht="24" hidden="1" customHeight="1" x14ac:dyDescent="0.2">
      <c r="C206" s="150" t="s">
        <v>56</v>
      </c>
      <c r="D206" s="151" t="e">
        <f>VLOOKUP("paises del este",#REF!,6,FALSE)/VLOOKUP("paises del este",#REF!,6,FALSE)-1</f>
        <v>#REF!</v>
      </c>
      <c r="E206" s="152" t="e">
        <f>VLOOKUP("paises del este",#REF!,6,FALSE)</f>
        <v>#REF!</v>
      </c>
      <c r="F206" s="151" t="e">
        <f>VLOOKUP("paises del este",#REF!,5,FALSE)/VLOOKUP("paises del este",#REF!,5,FALSE)-1</f>
        <v>#REF!</v>
      </c>
      <c r="G206" s="152" t="e">
        <f>VLOOKUP("paises del este",#REF!,5,FALSE)</f>
        <v>#REF!</v>
      </c>
      <c r="H206" s="151" t="e">
        <f>VLOOKUP("paises del este",#REF!,4,FALSE)/VLOOKUP("paises del este",#REF!,4,FALSE)-1</f>
        <v>#REF!</v>
      </c>
      <c r="I206" s="152" t="e">
        <f>VLOOKUP("paises del este",#REF!,4,FALSE)</f>
        <v>#REF!</v>
      </c>
      <c r="J206" s="151" t="e">
        <f>VLOOKUP("paises del este",#REF!,3,FALSE)/VLOOKUP("paises del este",#REF!,3,FALSE)-1</f>
        <v>#REF!</v>
      </c>
      <c r="K206" s="152" t="e">
        <f>VLOOKUP("paises del este",#REF!,3,FALSE)</f>
        <v>#REF!</v>
      </c>
      <c r="L206" s="151" t="e">
        <f>VLOOKUP("paises del este",#REF!,2,FALSE)/VLOOKUP("paises del este",#REF!,2,FALSE)-1</f>
        <v>#REF!</v>
      </c>
      <c r="M206" s="152" t="e">
        <f>VLOOKUP("paises del este",#REF!,2,FALSE)</f>
        <v>#REF!</v>
      </c>
      <c r="N206" s="151" t="e">
        <f>VLOOKUP("paises del este",#REF!,7,FALSE)/VLOOKUP("paises del este",#REF!,7,FALSE)-1</f>
        <v>#REF!</v>
      </c>
      <c r="O206" s="152" t="e">
        <f>VLOOKUP("paises del este",#REF!,7,FALSE)</f>
        <v>#REF!</v>
      </c>
      <c r="P206" s="151" t="e">
        <f>VLOOKUP("paises del este",#REF!,8,FALSE)/VLOOKUP("paises del este",#REF!,8,FALSE)-1</f>
        <v>#REF!</v>
      </c>
      <c r="Q206" s="152" t="e">
        <f>VLOOKUP("paises del este",#REF!,8,FALSE)</f>
        <v>#REF!</v>
      </c>
    </row>
    <row r="207" spans="3:17" ht="24" hidden="1" customHeight="1" x14ac:dyDescent="0.2">
      <c r="C207" s="150" t="s">
        <v>57</v>
      </c>
      <c r="D207" s="151" t="e">
        <f>VLOOKUP("resto de europa",#REF!,6,FALSE)/VLOOKUP("resto de europa",#REF!,6,FALSE)-1</f>
        <v>#REF!</v>
      </c>
      <c r="E207" s="152" t="e">
        <f>VLOOKUP("resto de europa",#REF!,6,FALSE)</f>
        <v>#REF!</v>
      </c>
      <c r="F207" s="151" t="e">
        <f>VLOOKUP("resto de europa",#REF!,5,FALSE)/VLOOKUP("resto de europa",#REF!,5,FALSE)-1</f>
        <v>#REF!</v>
      </c>
      <c r="G207" s="152" t="e">
        <f>VLOOKUP("resto de europa",#REF!,5,FALSE)</f>
        <v>#REF!</v>
      </c>
      <c r="H207" s="151" t="e">
        <f>VLOOKUP("resto de europa",#REF!,4,FALSE)/VLOOKUP("resto de europa",#REF!,4,FALSE)-1</f>
        <v>#REF!</v>
      </c>
      <c r="I207" s="152" t="e">
        <f>VLOOKUP("resto de europa",#REF!,4,FALSE)</f>
        <v>#REF!</v>
      </c>
      <c r="J207" s="151" t="e">
        <f>VLOOKUP("resto de europa",#REF!,3,FALSE)/VLOOKUP("resto de europa",#REF!,3,FALSE)-1</f>
        <v>#REF!</v>
      </c>
      <c r="K207" s="152" t="e">
        <f>VLOOKUP("resto de europa",#REF!,3,FALSE)</f>
        <v>#REF!</v>
      </c>
      <c r="L207" s="151" t="e">
        <f>VLOOKUP("resto de europa",#REF!,2,FALSE)/VLOOKUP("resto de europa",#REF!,2,FALSE)-1</f>
        <v>#REF!</v>
      </c>
      <c r="M207" s="152" t="e">
        <f>VLOOKUP("resto de europa",#REF!,2,FALSE)</f>
        <v>#REF!</v>
      </c>
      <c r="N207" s="151" t="e">
        <f>VLOOKUP("resto de europa",#REF!,7,FALSE)/VLOOKUP("resto de europa",#REF!,7,FALSE)-1</f>
        <v>#REF!</v>
      </c>
      <c r="O207" s="152" t="e">
        <f>VLOOKUP("resto de europa",#REF!,7,FALSE)</f>
        <v>#REF!</v>
      </c>
      <c r="P207" s="151" t="e">
        <f>VLOOKUP("resto de europa",#REF!,8,FALSE)/VLOOKUP("resto de europa",#REF!,8,FALSE)-1</f>
        <v>#REF!</v>
      </c>
      <c r="Q207" s="152" t="e">
        <f>VLOOKUP("resto de europa",#REF!,8,FALSE)</f>
        <v>#REF!</v>
      </c>
    </row>
    <row r="208" spans="3:17" ht="24" hidden="1" customHeight="1" x14ac:dyDescent="0.2">
      <c r="C208" s="150" t="s">
        <v>58</v>
      </c>
      <c r="D208" s="151" t="e">
        <f>VLOOKUP("usa",#REF!,6,FALSE)/VLOOKUP("usa",#REF!,6,FALSE)-1</f>
        <v>#REF!</v>
      </c>
      <c r="E208" s="152" t="e">
        <f>VLOOKUP("usa",#REF!,6,FALSE)</f>
        <v>#REF!</v>
      </c>
      <c r="F208" s="151" t="e">
        <f>VLOOKUP("usa",#REF!,5,FALSE)/VLOOKUP("usa",#REF!,5,FALSE)-1</f>
        <v>#REF!</v>
      </c>
      <c r="G208" s="152" t="e">
        <f>VLOOKUP("usa",#REF!,5,FALSE)</f>
        <v>#REF!</v>
      </c>
      <c r="H208" s="151" t="e">
        <f>VLOOKUP("usa",#REF!,4,FALSE)/VLOOKUP("usa",#REF!,4,FALSE)-1</f>
        <v>#REF!</v>
      </c>
      <c r="I208" s="152" t="e">
        <f>VLOOKUP("usa",#REF!,4,FALSE)</f>
        <v>#REF!</v>
      </c>
      <c r="J208" s="151" t="e">
        <f>VLOOKUP("usa",#REF!,3,FALSE)/VLOOKUP("usa",#REF!,3,FALSE)-1</f>
        <v>#REF!</v>
      </c>
      <c r="K208" s="152" t="e">
        <f>VLOOKUP("usa",#REF!,3,FALSE)</f>
        <v>#REF!</v>
      </c>
      <c r="L208" s="151" t="e">
        <f>VLOOKUP("usa",#REF!,2,FALSE)/VLOOKUP("usa",#REF!,2,FALSE)-1</f>
        <v>#REF!</v>
      </c>
      <c r="M208" s="152" t="e">
        <f>VLOOKUP("usa",#REF!,2,FALSE)</f>
        <v>#REF!</v>
      </c>
      <c r="N208" s="151" t="e">
        <f>VLOOKUP("usa",#REF!,7,FALSE)/VLOOKUP("usa",#REF!,7,FALSE)-1</f>
        <v>#REF!</v>
      </c>
      <c r="O208" s="152" t="e">
        <f>VLOOKUP("usa",#REF!,7,FALSE)</f>
        <v>#REF!</v>
      </c>
      <c r="P208" s="151" t="e">
        <f>VLOOKUP("usa",#REF!,8,FALSE)/VLOOKUP("usa",#REF!,8,FALSE)-1</f>
        <v>#REF!</v>
      </c>
      <c r="Q208" s="152" t="e">
        <f>VLOOKUP("usa",#REF!,8,FALSE)</f>
        <v>#REF!</v>
      </c>
    </row>
    <row r="209" spans="3:18" ht="24" hidden="1" customHeight="1" x14ac:dyDescent="0.2">
      <c r="C209" s="150" t="s">
        <v>59</v>
      </c>
      <c r="D209" s="151" t="e">
        <f>VLOOKUP("resto de america",#REF!,6,FALSE)/VLOOKUP("resto de america",#REF!,6,FALSE)-1</f>
        <v>#REF!</v>
      </c>
      <c r="E209" s="152" t="e">
        <f>VLOOKUP("resto de america",#REF!,6,FALSE)</f>
        <v>#REF!</v>
      </c>
      <c r="F209" s="151" t="e">
        <f>VLOOKUP("resto de america",#REF!,5,FALSE)/VLOOKUP("resto de america",#REF!,5,FALSE)-1</f>
        <v>#REF!</v>
      </c>
      <c r="G209" s="152" t="e">
        <f>VLOOKUP("resto de america",#REF!,5,FALSE)</f>
        <v>#REF!</v>
      </c>
      <c r="H209" s="151" t="e">
        <f>VLOOKUP("resto de america",#REF!,4,FALSE)/VLOOKUP("resto de america",#REF!,4,FALSE)-1</f>
        <v>#REF!</v>
      </c>
      <c r="I209" s="152" t="e">
        <f>VLOOKUP("resto de america",#REF!,4,FALSE)</f>
        <v>#REF!</v>
      </c>
      <c r="J209" s="151" t="e">
        <f>VLOOKUP("resto de america",#REF!,3,FALSE)/VLOOKUP("resto de america",#REF!,3,FALSE)-1</f>
        <v>#REF!</v>
      </c>
      <c r="K209" s="152" t="e">
        <f>VLOOKUP("resto de america",#REF!,3,FALSE)</f>
        <v>#REF!</v>
      </c>
      <c r="L209" s="151" t="e">
        <f>VLOOKUP("resto de america",#REF!,2,FALSE)/VLOOKUP("resto de america",#REF!,2,FALSE)-1</f>
        <v>#REF!</v>
      </c>
      <c r="M209" s="152" t="e">
        <f>VLOOKUP("resto de america",#REF!,2,FALSE)</f>
        <v>#REF!</v>
      </c>
      <c r="N209" s="151" t="e">
        <f>VLOOKUP("resto de america",#REF!,7,FALSE)/VLOOKUP("resto de america",#REF!,7,FALSE)-1</f>
        <v>#REF!</v>
      </c>
      <c r="O209" s="152" t="e">
        <f>VLOOKUP("resto de america",#REF!,7,FALSE)</f>
        <v>#REF!</v>
      </c>
      <c r="P209" s="151" t="e">
        <f>VLOOKUP("resto de america",#REF!,8,FALSE)/VLOOKUP("resto de america",#REF!,8,FALSE)-1</f>
        <v>#REF!</v>
      </c>
      <c r="Q209" s="152" t="e">
        <f>VLOOKUP("resto de america",#REF!,8,FALSE)</f>
        <v>#REF!</v>
      </c>
    </row>
    <row r="210" spans="3:18" ht="24" hidden="1" customHeight="1" x14ac:dyDescent="0.2">
      <c r="C210" s="150" t="s">
        <v>60</v>
      </c>
      <c r="D210" s="151" t="e">
        <f>VLOOKUP("resto del mundo",#REF!,6,FALSE)/VLOOKUP("resto del mundo",#REF!,6,FALSE)-1</f>
        <v>#REF!</v>
      </c>
      <c r="E210" s="152" t="e">
        <f>VLOOKUP("resto del mundo",#REF!,6,FALSE)</f>
        <v>#REF!</v>
      </c>
      <c r="F210" s="151" t="e">
        <f>VLOOKUP("resto del mundo",#REF!,5,FALSE)/VLOOKUP("resto del mundo",#REF!,5,FALSE)-1</f>
        <v>#REF!</v>
      </c>
      <c r="G210" s="152" t="e">
        <f>VLOOKUP("resto del mundo",#REF!,5,FALSE)</f>
        <v>#REF!</v>
      </c>
      <c r="H210" s="151" t="e">
        <f>VLOOKUP("resto del mundo",#REF!,4,FALSE)/VLOOKUP("resto del mundo",#REF!,4,FALSE)-1</f>
        <v>#REF!</v>
      </c>
      <c r="I210" s="152" t="e">
        <f>VLOOKUP("resto del mundo",#REF!,4,FALSE)</f>
        <v>#REF!</v>
      </c>
      <c r="J210" s="151" t="e">
        <f>VLOOKUP("resto del mundo",#REF!,3,FALSE)/VLOOKUP("resto del mundo",#REF!,3,FALSE)-1</f>
        <v>#REF!</v>
      </c>
      <c r="K210" s="152" t="e">
        <f>VLOOKUP("resto del mundo",#REF!,3,FALSE)</f>
        <v>#REF!</v>
      </c>
      <c r="L210" s="151" t="e">
        <f>VLOOKUP("resto del mundo",#REF!,2,FALSE)/VLOOKUP("resto del mundo",#REF!,2,FALSE)-1</f>
        <v>#REF!</v>
      </c>
      <c r="M210" s="152" t="e">
        <f>VLOOKUP("resto del mundo",#REF!,2,FALSE)</f>
        <v>#REF!</v>
      </c>
      <c r="N210" s="151" t="e">
        <f>VLOOKUP("resto del mundo",#REF!,7,FALSE)/VLOOKUP("resto del mundo",#REF!,7,FALSE)-1</f>
        <v>#REF!</v>
      </c>
      <c r="O210" s="152" t="e">
        <f>VLOOKUP("resto del mundo",#REF!,7,FALSE)</f>
        <v>#REF!</v>
      </c>
      <c r="P210" s="151" t="e">
        <f>VLOOKUP("resto del mundo",#REF!,8,FALSE)/VLOOKUP("resto del mundo",#REF!,8,FALSE)-1</f>
        <v>#REF!</v>
      </c>
      <c r="Q210" s="152" t="e">
        <f>VLOOKUP("resto del mundo",#REF!,8,FALSE)</f>
        <v>#REF!</v>
      </c>
    </row>
    <row r="211" spans="3:18" ht="24" hidden="1" customHeight="1" x14ac:dyDescent="0.2">
      <c r="C211" s="150" t="s">
        <v>61</v>
      </c>
      <c r="D211" s="151" t="e">
        <f>(VLOOKUP("total",#REF!,6,FALSE)-VLOOKUP("españa",#REF!,6,FALSE))/(VLOOKUP("total",#REF!,6,FALSE)-VLOOKUP("españa",#REF!,6,FALSE))-1</f>
        <v>#REF!</v>
      </c>
      <c r="E211" s="152" t="e">
        <f>VLOOKUP("total",#REF!,6,FALSE)-VLOOKUP("españa",#REF!,6,FALSE)</f>
        <v>#REF!</v>
      </c>
      <c r="F211" s="151" t="e">
        <f>(VLOOKUP("total",#REF!,5,FALSE)-VLOOKUP("españa",#REF!,5,FALSE))/(VLOOKUP("total",#REF!,5,FALSE)-VLOOKUP("españa",#REF!,5,FALSE))-1</f>
        <v>#REF!</v>
      </c>
      <c r="G211" s="152" t="e">
        <f>VLOOKUP("total",#REF!,5,FALSE)-VLOOKUP("españa",#REF!,5,FALSE)</f>
        <v>#REF!</v>
      </c>
      <c r="H211" s="151" t="e">
        <f>(VLOOKUP("total",#REF!,4,FALSE)-VLOOKUP("españa",#REF!,4,FALSE))/(VLOOKUP("total",#REF!,4,FALSE)-VLOOKUP("españa",#REF!,4,FALSE))-1</f>
        <v>#REF!</v>
      </c>
      <c r="I211" s="152" t="e">
        <f>VLOOKUP("total",#REF!,4,FALSE)-VLOOKUP("españa",#REF!,4,FALSE)</f>
        <v>#REF!</v>
      </c>
      <c r="J211" s="151" t="e">
        <f>(VLOOKUP("total",#REF!,3,FALSE)-VLOOKUP("españa",#REF!,3,FALSE))/(VLOOKUP("total",#REF!,3,FALSE)-VLOOKUP("españa",#REF!,3,FALSE))-1</f>
        <v>#REF!</v>
      </c>
      <c r="K211" s="152" t="e">
        <f>VLOOKUP("total",#REF!,3,FALSE)-VLOOKUP("españa",#REF!,3,FALSE)</f>
        <v>#REF!</v>
      </c>
      <c r="L211" s="151" t="e">
        <f>(VLOOKUP("total",#REF!,2,FALSE)-VLOOKUP("españa",#REF!,2,FALSE))/(VLOOKUP("total",#REF!,2,FALSE)-VLOOKUP("españa",#REF!,2,FALSE))-1</f>
        <v>#REF!</v>
      </c>
      <c r="M211" s="152" t="e">
        <f>VLOOKUP("total",#REF!,2,FALSE)-VLOOKUP("españa",#REF!,2,FALSE)</f>
        <v>#REF!</v>
      </c>
      <c r="N211" s="151" t="e">
        <f>(VLOOKUP("total",#REF!,7,FALSE)-VLOOKUP("españa",#REF!,7,FALSE))/(VLOOKUP("total",#REF!,7,FALSE)-VLOOKUP("españa",#REF!,7,FALSE))-1</f>
        <v>#REF!</v>
      </c>
      <c r="O211" s="152" t="e">
        <f>VLOOKUP("total",#REF!,7,FALSE)-VLOOKUP("españa",#REF!,7,FALSE)</f>
        <v>#REF!</v>
      </c>
      <c r="P211" s="151" t="e">
        <f>(VLOOKUP("total",#REF!,8,FALSE)-VLOOKUP("españa",#REF!,8,FALSE))/(VLOOKUP("total",#REF!,8,FALSE)-VLOOKUP("españa",#REF!,8,FALSE))-1</f>
        <v>#REF!</v>
      </c>
      <c r="Q211" s="152" t="e">
        <f>VLOOKUP("total",#REF!,8,FALSE)-VLOOKUP("españa",#REF!,8,FALSE)</f>
        <v>#REF!</v>
      </c>
    </row>
    <row r="212" spans="3:18" ht="24" hidden="1" customHeight="1" x14ac:dyDescent="0.2">
      <c r="C212" s="150" t="s">
        <v>8</v>
      </c>
      <c r="D212" s="151" t="e">
        <f>VLOOKUP("total",#REF!,6,FALSE)/VLOOKUP("total",#REF!,6,FALSE)-1</f>
        <v>#REF!</v>
      </c>
      <c r="E212" s="152" t="e">
        <f>VLOOKUP("total",#REF!,6,FALSE)</f>
        <v>#REF!</v>
      </c>
      <c r="F212" s="151" t="e">
        <f>VLOOKUP("total",#REF!,5,FALSE)/VLOOKUP("total",#REF!,5,FALSE)-1</f>
        <v>#REF!</v>
      </c>
      <c r="G212" s="152" t="e">
        <f>VLOOKUP("total",#REF!,5,FALSE)</f>
        <v>#REF!</v>
      </c>
      <c r="H212" s="151" t="e">
        <f>VLOOKUP("total",#REF!,4,FALSE)/VLOOKUP("total",#REF!,4,FALSE)-1</f>
        <v>#REF!</v>
      </c>
      <c r="I212" s="152" t="e">
        <f>VLOOKUP("total",#REF!,4,FALSE)</f>
        <v>#REF!</v>
      </c>
      <c r="J212" s="151" t="e">
        <f>VLOOKUP("total",#REF!,3,FALSE)/VLOOKUP("total",#REF!,3,FALSE)-1</f>
        <v>#REF!</v>
      </c>
      <c r="K212" s="152" t="e">
        <f>VLOOKUP("total",#REF!,3,FALSE)</f>
        <v>#REF!</v>
      </c>
      <c r="L212" s="151" t="e">
        <f>VLOOKUP("total",#REF!,2,FALSE)/VLOOKUP("total",#REF!,2,FALSE)-1</f>
        <v>#REF!</v>
      </c>
      <c r="M212" s="152" t="e">
        <f>VLOOKUP("total",#REF!,2,FALSE)</f>
        <v>#REF!</v>
      </c>
      <c r="N212" s="151" t="e">
        <f>VLOOKUP("total",#REF!,7,FALSE)/VLOOKUP("total",#REF!,7,FALSE)-1</f>
        <v>#REF!</v>
      </c>
      <c r="O212" s="152" t="e">
        <f>VLOOKUP("total",#REF!,7,FALSE)</f>
        <v>#REF!</v>
      </c>
      <c r="P212" s="151" t="e">
        <f>VLOOKUP("total",#REF!,8,FALSE)/VLOOKUP("total",#REF!,8,FALSE)-1</f>
        <v>#REF!</v>
      </c>
      <c r="Q212" s="152" t="e">
        <f>VLOOKUP("total",#REF!,8,FALSE)</f>
        <v>#REF!</v>
      </c>
    </row>
    <row r="213" spans="3:18" hidden="1" x14ac:dyDescent="0.2"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4"/>
    </row>
    <row r="214" spans="3:18" ht="35.25" hidden="1" customHeight="1" x14ac:dyDescent="0.2">
      <c r="C214" s="349" t="s">
        <v>29</v>
      </c>
      <c r="D214" s="350"/>
      <c r="E214" s="350"/>
      <c r="F214" s="350"/>
      <c r="G214" s="350"/>
      <c r="H214" s="350"/>
      <c r="I214" s="350"/>
      <c r="J214" s="350"/>
      <c r="K214" s="350"/>
      <c r="L214" s="350"/>
      <c r="M214" s="350"/>
      <c r="N214" s="350"/>
      <c r="O214" s="350"/>
      <c r="P214" s="350"/>
      <c r="Q214" s="350"/>
      <c r="R214" s="147"/>
    </row>
    <row r="215" spans="3:18" ht="20.100000000000001" hidden="1" customHeight="1" x14ac:dyDescent="0.2">
      <c r="C215" s="351" t="str">
        <f>I2</f>
        <v>I semestre 2017</v>
      </c>
      <c r="D215" s="352"/>
      <c r="E215" s="352"/>
      <c r="F215" s="352"/>
      <c r="G215" s="352"/>
      <c r="H215" s="352"/>
      <c r="I215" s="352"/>
      <c r="J215" s="352"/>
      <c r="K215" s="352"/>
      <c r="L215" s="352"/>
      <c r="M215" s="352"/>
      <c r="N215" s="352"/>
      <c r="O215" s="352"/>
      <c r="P215" s="352"/>
      <c r="Q215" s="352"/>
      <c r="R215" s="154"/>
    </row>
    <row r="216" spans="3:18" ht="13.5" hidden="1" thickBot="1" x14ac:dyDescent="0.25">
      <c r="C216" s="148"/>
      <c r="D216" s="347" t="s">
        <v>24</v>
      </c>
      <c r="E216" s="348"/>
      <c r="F216" s="347" t="s">
        <v>23</v>
      </c>
      <c r="G216" s="348"/>
      <c r="H216" s="347" t="s">
        <v>22</v>
      </c>
      <c r="I216" s="348"/>
      <c r="J216" s="347" t="s">
        <v>21</v>
      </c>
      <c r="K216" s="348"/>
      <c r="L216" s="347" t="s">
        <v>20</v>
      </c>
      <c r="M216" s="348"/>
      <c r="N216" s="347" t="s">
        <v>63</v>
      </c>
      <c r="O216" s="348"/>
      <c r="P216" s="347" t="s">
        <v>64</v>
      </c>
      <c r="Q216" s="348"/>
    </row>
    <row r="217" spans="3:18" ht="28.5" hidden="1" customHeight="1" x14ac:dyDescent="0.2">
      <c r="C217" s="148"/>
      <c r="D217" s="149" t="s">
        <v>65</v>
      </c>
      <c r="E217" s="149" t="s">
        <v>66</v>
      </c>
      <c r="F217" s="149" t="s">
        <v>65</v>
      </c>
      <c r="G217" s="149" t="s">
        <v>66</v>
      </c>
      <c r="H217" s="149" t="s">
        <v>65</v>
      </c>
      <c r="I217" s="149" t="s">
        <v>66</v>
      </c>
      <c r="J217" s="149" t="s">
        <v>65</v>
      </c>
      <c r="K217" s="149" t="s">
        <v>66</v>
      </c>
      <c r="L217" s="149" t="s">
        <v>65</v>
      </c>
      <c r="M217" s="149" t="s">
        <v>66</v>
      </c>
      <c r="N217" s="149" t="s">
        <v>65</v>
      </c>
      <c r="O217" s="149" t="s">
        <v>66</v>
      </c>
      <c r="P217" s="149" t="s">
        <v>65</v>
      </c>
      <c r="Q217" s="149" t="s">
        <v>66</v>
      </c>
    </row>
    <row r="218" spans="3:18" ht="24" hidden="1" customHeight="1" x14ac:dyDescent="0.2">
      <c r="C218" s="150" t="s">
        <v>36</v>
      </c>
      <c r="D218" s="151" t="e">
        <f>VLOOKUP("españa",#REF!,6,FALSE)/VLOOKUP("españa",#REF!,6,FALSE)-1</f>
        <v>#REF!</v>
      </c>
      <c r="E218" s="152" t="e">
        <f>VLOOKUP("españa",#REF!,6,FALSE)</f>
        <v>#REF!</v>
      </c>
      <c r="F218" s="151" t="e">
        <f>VLOOKUP("españa",#REF!,5,FALSE)/VLOOKUP("españa",#REF!,5,FALSE)-1</f>
        <v>#REF!</v>
      </c>
      <c r="G218" s="152" t="e">
        <f>VLOOKUP("españa",#REF!,5,FALSE)</f>
        <v>#REF!</v>
      </c>
      <c r="H218" s="151" t="e">
        <f>VLOOKUP("españa",#REF!,4,FALSE)/VLOOKUP("españa",#REF!,4,FALSE)-1</f>
        <v>#REF!</v>
      </c>
      <c r="I218" s="152" t="e">
        <f>VLOOKUP("españa",#REF!,4,FALSE)</f>
        <v>#REF!</v>
      </c>
      <c r="J218" s="151" t="e">
        <f>VLOOKUP("españa",#REF!,3,FALSE)/VLOOKUP("españa",#REF!,3,FALSE)-1</f>
        <v>#REF!</v>
      </c>
      <c r="K218" s="152" t="e">
        <f>VLOOKUP("españa",#REF!,3,FALSE)</f>
        <v>#REF!</v>
      </c>
      <c r="L218" s="151" t="e">
        <f>VLOOKUP("españa",#REF!,2,FALSE)/VLOOKUP("españa",#REF!,2,FALSE)-1</f>
        <v>#REF!</v>
      </c>
      <c r="M218" s="152" t="e">
        <f>VLOOKUP("españa",#REF!,2,FALSE)</f>
        <v>#REF!</v>
      </c>
      <c r="N218" s="151" t="e">
        <f>VLOOKUP("españa",#REF!,7,FALSE)/VLOOKUP("españa",#REF!,7,FALSE)-1</f>
        <v>#REF!</v>
      </c>
      <c r="O218" s="152" t="e">
        <f>VLOOKUP("españa",#REF!,7,FALSE)</f>
        <v>#REF!</v>
      </c>
      <c r="P218" s="151" t="e">
        <f>VLOOKUP("españa",#REF!,8,FALSE)/VLOOKUP("españa",#REF!,8,FALSE)-1</f>
        <v>#REF!</v>
      </c>
      <c r="Q218" s="152" t="e">
        <f>VLOOKUP("españa",#REF!,8,FALSE)</f>
        <v>#REF!</v>
      </c>
    </row>
    <row r="219" spans="3:18" ht="24" hidden="1" customHeight="1" x14ac:dyDescent="0.2">
      <c r="C219" s="150" t="s">
        <v>41</v>
      </c>
      <c r="D219" s="151" t="e">
        <f>VLOOKUP("holanda",#REF!,6,FALSE)/VLOOKUP("holanda",#REF!,6,FALSE)-1</f>
        <v>#REF!</v>
      </c>
      <c r="E219" s="152" t="e">
        <f>VLOOKUP("holanda",#REF!,6,FALSE)</f>
        <v>#REF!</v>
      </c>
      <c r="F219" s="151" t="e">
        <f>VLOOKUP("holanda",#REF!,5,FALSE)/VLOOKUP("holanda",#REF!,5,FALSE)-1</f>
        <v>#REF!</v>
      </c>
      <c r="G219" s="152" t="e">
        <f>VLOOKUP("holanda",#REF!,5,FALSE)</f>
        <v>#REF!</v>
      </c>
      <c r="H219" s="151" t="e">
        <f>VLOOKUP("holanda",#REF!,4,FALSE)/VLOOKUP("holanda",#REF!,4,FALSE)-1</f>
        <v>#REF!</v>
      </c>
      <c r="I219" s="152" t="e">
        <f>VLOOKUP("holanda",#REF!,4,FALSE)</f>
        <v>#REF!</v>
      </c>
      <c r="J219" s="151" t="e">
        <f>VLOOKUP("holanda",#REF!,3,FALSE)/VLOOKUP("holanda",#REF!,3,FALSE)-1</f>
        <v>#REF!</v>
      </c>
      <c r="K219" s="152" t="e">
        <f>VLOOKUP("holanda",#REF!,3,FALSE)</f>
        <v>#REF!</v>
      </c>
      <c r="L219" s="151" t="e">
        <f>VLOOKUP("holanda",#REF!,2,FALSE)/VLOOKUP("holanda",#REF!,2,FALSE)-1</f>
        <v>#REF!</v>
      </c>
      <c r="M219" s="152" t="e">
        <f>VLOOKUP("holanda",#REF!,2,FALSE)</f>
        <v>#REF!</v>
      </c>
      <c r="N219" s="151" t="e">
        <f>VLOOKUP("holanda",#REF!,7,FALSE)/VLOOKUP("holanda",#REF!,7,FALSE)-1</f>
        <v>#REF!</v>
      </c>
      <c r="O219" s="152" t="e">
        <f>VLOOKUP("holanda",#REF!,7,FALSE)</f>
        <v>#REF!</v>
      </c>
      <c r="P219" s="151" t="e">
        <f>VLOOKUP("holanda",#REF!,8,FALSE)/VLOOKUP("holanda",#REF!,8,FALSE)-1</f>
        <v>#REF!</v>
      </c>
      <c r="Q219" s="152" t="e">
        <f>VLOOKUP("holanda",#REF!,8,FALSE)</f>
        <v>#REF!</v>
      </c>
    </row>
    <row r="220" spans="3:18" ht="24" hidden="1" customHeight="1" x14ac:dyDescent="0.2">
      <c r="C220" s="150" t="s">
        <v>42</v>
      </c>
      <c r="D220" s="151" t="e">
        <f>VLOOKUP("belgica",#REF!,6,FALSE)/VLOOKUP("belgica",#REF!,6,FALSE)-1</f>
        <v>#REF!</v>
      </c>
      <c r="E220" s="152" t="e">
        <f>VLOOKUP("belgica",#REF!,6,FALSE)</f>
        <v>#REF!</v>
      </c>
      <c r="F220" s="151" t="e">
        <f>VLOOKUP("belgica",#REF!,5,FALSE)/VLOOKUP("belgica",#REF!,5,FALSE)-1</f>
        <v>#REF!</v>
      </c>
      <c r="G220" s="152" t="e">
        <f>VLOOKUP("belgica",#REF!,5,FALSE)</f>
        <v>#REF!</v>
      </c>
      <c r="H220" s="151" t="e">
        <f>VLOOKUP("belgica",#REF!,4,FALSE)/VLOOKUP("belgica",#REF!,4,FALSE)-1</f>
        <v>#REF!</v>
      </c>
      <c r="I220" s="152" t="e">
        <f>VLOOKUP("belgica",#REF!,4,FALSE)</f>
        <v>#REF!</v>
      </c>
      <c r="J220" s="151" t="e">
        <f>VLOOKUP("belgica",#REF!,3,FALSE)/VLOOKUP("belgica",#REF!,3,FALSE)-1</f>
        <v>#REF!</v>
      </c>
      <c r="K220" s="152" t="e">
        <f>VLOOKUP("belgica",#REF!,3,FALSE)</f>
        <v>#REF!</v>
      </c>
      <c r="L220" s="151" t="e">
        <f>VLOOKUP("belgica",#REF!,2,FALSE)/VLOOKUP("belgica",#REF!,2,FALSE)-1</f>
        <v>#REF!</v>
      </c>
      <c r="M220" s="152" t="e">
        <f>VLOOKUP("belgica",#REF!,2,FALSE)</f>
        <v>#REF!</v>
      </c>
      <c r="N220" s="151" t="e">
        <f>VLOOKUP("belgica",#REF!,7,FALSE)/VLOOKUP("belgica",#REF!,7,FALSE)-1</f>
        <v>#REF!</v>
      </c>
      <c r="O220" s="152" t="e">
        <f>VLOOKUP("belgica",#REF!,7,FALSE)</f>
        <v>#REF!</v>
      </c>
      <c r="P220" s="151" t="e">
        <f>VLOOKUP("belgica",#REF!,8,FALSE)/VLOOKUP("belgica",#REF!,8,FALSE)-1</f>
        <v>#REF!</v>
      </c>
      <c r="Q220" s="152" t="e">
        <f>VLOOKUP("belgica",#REF!,8,FALSE)</f>
        <v>#REF!</v>
      </c>
    </row>
    <row r="221" spans="3:18" ht="24" hidden="1" customHeight="1" x14ac:dyDescent="0.2">
      <c r="C221" s="150" t="s">
        <v>43</v>
      </c>
      <c r="D221" s="151" t="e">
        <f>VLOOKUP("alemania",#REF!,6,FALSE)/VLOOKUP("alemania",#REF!,6,FALSE)-1</f>
        <v>#REF!</v>
      </c>
      <c r="E221" s="152" t="e">
        <f>VLOOKUP("alemania",#REF!,6,FALSE)</f>
        <v>#REF!</v>
      </c>
      <c r="F221" s="151" t="e">
        <f>VLOOKUP("alemania",#REF!,5,FALSE)/VLOOKUP("alemania",#REF!,5,FALSE)-1</f>
        <v>#REF!</v>
      </c>
      <c r="G221" s="152" t="e">
        <f>VLOOKUP("alemania",#REF!,5,FALSE)</f>
        <v>#REF!</v>
      </c>
      <c r="H221" s="151" t="e">
        <f>VLOOKUP("alemania",#REF!,4,FALSE)/VLOOKUP("alemania",#REF!,4,FALSE)-1</f>
        <v>#REF!</v>
      </c>
      <c r="I221" s="152" t="e">
        <f>VLOOKUP("alemania",#REF!,4,FALSE)</f>
        <v>#REF!</v>
      </c>
      <c r="J221" s="151" t="e">
        <f>VLOOKUP("alemania",#REF!,3,FALSE)/VLOOKUP("alemania",#REF!,3,FALSE)-1</f>
        <v>#REF!</v>
      </c>
      <c r="K221" s="152" t="e">
        <f>VLOOKUP("alemania",#REF!,3,FALSE)</f>
        <v>#REF!</v>
      </c>
      <c r="L221" s="151" t="e">
        <f>VLOOKUP("alemania",#REF!,2,FALSE)/VLOOKUP("alemania",#REF!,2,FALSE)-1</f>
        <v>#REF!</v>
      </c>
      <c r="M221" s="152" t="e">
        <f>VLOOKUP("alemania",#REF!,2,FALSE)</f>
        <v>#REF!</v>
      </c>
      <c r="N221" s="151" t="e">
        <f>VLOOKUP("alemania",#REF!,7,FALSE)/VLOOKUP("alemania",#REF!,7,FALSE)-1</f>
        <v>#REF!</v>
      </c>
      <c r="O221" s="152" t="e">
        <f>VLOOKUP("alemania",#REF!,7,FALSE)</f>
        <v>#REF!</v>
      </c>
      <c r="P221" s="151" t="e">
        <f>VLOOKUP("alemania",#REF!,8,FALSE)/VLOOKUP("alemania",#REF!,8,FALSE)-1</f>
        <v>#REF!</v>
      </c>
      <c r="Q221" s="152" t="e">
        <f>VLOOKUP("alemania",#REF!,8,FALSE)</f>
        <v>#REF!</v>
      </c>
    </row>
    <row r="222" spans="3:18" ht="24" hidden="1" customHeight="1" x14ac:dyDescent="0.2">
      <c r="C222" s="150" t="s">
        <v>44</v>
      </c>
      <c r="D222" s="151" t="e">
        <f>VLOOKUP("francia",#REF!,6,FALSE)/VLOOKUP("francia",#REF!,6,FALSE)-1</f>
        <v>#REF!</v>
      </c>
      <c r="E222" s="152" t="e">
        <f>VLOOKUP("francia",#REF!,6,FALSE)</f>
        <v>#REF!</v>
      </c>
      <c r="F222" s="151" t="e">
        <f>VLOOKUP("francia",#REF!,5,FALSE)/VLOOKUP("francia",#REF!,5,FALSE)-1</f>
        <v>#REF!</v>
      </c>
      <c r="G222" s="152" t="e">
        <f>VLOOKUP("francia",#REF!,5,FALSE)</f>
        <v>#REF!</v>
      </c>
      <c r="H222" s="151" t="e">
        <f>VLOOKUP("francia",#REF!,4,FALSE)/VLOOKUP("francia",#REF!,4,FALSE)-1</f>
        <v>#REF!</v>
      </c>
      <c r="I222" s="152" t="e">
        <f>VLOOKUP("francia",#REF!,4,FALSE)</f>
        <v>#REF!</v>
      </c>
      <c r="J222" s="151" t="e">
        <f>VLOOKUP("francia",#REF!,3,FALSE)/VLOOKUP("francia",#REF!,3,FALSE)-1</f>
        <v>#REF!</v>
      </c>
      <c r="K222" s="152" t="e">
        <f>VLOOKUP("francia",#REF!,3,FALSE)</f>
        <v>#REF!</v>
      </c>
      <c r="L222" s="151" t="e">
        <f>VLOOKUP("francia",#REF!,2,FALSE)/VLOOKUP("francia",#REF!,2,FALSE)-1</f>
        <v>#REF!</v>
      </c>
      <c r="M222" s="152" t="e">
        <f>VLOOKUP("francia",#REF!,2,FALSE)</f>
        <v>#REF!</v>
      </c>
      <c r="N222" s="151" t="e">
        <f>VLOOKUP("francia",#REF!,7,FALSE)/VLOOKUP("francia",#REF!,7,FALSE)-1</f>
        <v>#REF!</v>
      </c>
      <c r="O222" s="152" t="e">
        <f>VLOOKUP("francia",#REF!,7,FALSE)</f>
        <v>#REF!</v>
      </c>
      <c r="P222" s="151" t="e">
        <f>VLOOKUP("francia",#REF!,8,FALSE)/VLOOKUP("francia",#REF!,8,FALSE)-1</f>
        <v>#REF!</v>
      </c>
      <c r="Q222" s="152" t="e">
        <f>VLOOKUP("francia",#REF!,8,FALSE)</f>
        <v>#REF!</v>
      </c>
    </row>
    <row r="223" spans="3:18" ht="24" hidden="1" customHeight="1" x14ac:dyDescent="0.2">
      <c r="C223" s="150" t="s">
        <v>45</v>
      </c>
      <c r="D223" s="151" t="e">
        <f>VLOOKUP("reino unido",#REF!,6,FALSE)/VLOOKUP("reino unido",#REF!,6,FALSE)-1</f>
        <v>#REF!</v>
      </c>
      <c r="E223" s="152" t="e">
        <f>VLOOKUP("reino unido",#REF!,6,FALSE)</f>
        <v>#REF!</v>
      </c>
      <c r="F223" s="151" t="e">
        <f>VLOOKUP("reino unido",#REF!,5,FALSE)/VLOOKUP("reino unido",#REF!,5,FALSE)-1</f>
        <v>#REF!</v>
      </c>
      <c r="G223" s="152" t="e">
        <f>VLOOKUP("reino unido",#REF!,5,FALSE)</f>
        <v>#REF!</v>
      </c>
      <c r="H223" s="151" t="e">
        <f>VLOOKUP("reino unido",#REF!,4,FALSE)/VLOOKUP("reino unido",#REF!,4,FALSE)-1</f>
        <v>#REF!</v>
      </c>
      <c r="I223" s="152" t="e">
        <f>VLOOKUP("reino unido",#REF!,4,FALSE)</f>
        <v>#REF!</v>
      </c>
      <c r="J223" s="151" t="e">
        <f>VLOOKUP("reino unido",#REF!,3,FALSE)/VLOOKUP("reino unido",#REF!,3,FALSE)-1</f>
        <v>#REF!</v>
      </c>
      <c r="K223" s="152" t="e">
        <f>VLOOKUP("reino unido",#REF!,3,FALSE)</f>
        <v>#REF!</v>
      </c>
      <c r="L223" s="151" t="e">
        <f>VLOOKUP("reino unido",#REF!,2,FALSE)/VLOOKUP("reino unido",#REF!,2,FALSE)-1</f>
        <v>#REF!</v>
      </c>
      <c r="M223" s="152" t="e">
        <f>VLOOKUP("reino unido",#REF!,2,FALSE)</f>
        <v>#REF!</v>
      </c>
      <c r="N223" s="151" t="e">
        <f>VLOOKUP("reino unido",#REF!,7,FALSE)/VLOOKUP("reino unido",#REF!,7,FALSE)-1</f>
        <v>#REF!</v>
      </c>
      <c r="O223" s="152" t="e">
        <f>VLOOKUP("reino unido",#REF!,7,FALSE)</f>
        <v>#REF!</v>
      </c>
      <c r="P223" s="151" t="e">
        <f>VLOOKUP("reino unido",#REF!,8,FALSE)/VLOOKUP("reino unido",#REF!,8,FALSE)-1</f>
        <v>#REF!</v>
      </c>
      <c r="Q223" s="152" t="e">
        <f>VLOOKUP("reino unido",#REF!,8,FALSE)</f>
        <v>#REF!</v>
      </c>
    </row>
    <row r="224" spans="3:18" ht="24" hidden="1" customHeight="1" x14ac:dyDescent="0.2">
      <c r="C224" s="150" t="s">
        <v>46</v>
      </c>
      <c r="D224" s="151" t="e">
        <f>VLOOKUP("irlanda",#REF!,6,FALSE)/VLOOKUP("irlanda",#REF!,6,FALSE)-1</f>
        <v>#REF!</v>
      </c>
      <c r="E224" s="152" t="e">
        <f>VLOOKUP("irlanda",#REF!,6,FALSE)</f>
        <v>#REF!</v>
      </c>
      <c r="F224" s="151" t="e">
        <f>VLOOKUP("irlanda",#REF!,5,FALSE)/VLOOKUP("irlanda",#REF!,5,FALSE)-1</f>
        <v>#REF!</v>
      </c>
      <c r="G224" s="152" t="e">
        <f>VLOOKUP("irlanda",#REF!,5,FALSE)</f>
        <v>#REF!</v>
      </c>
      <c r="H224" s="151" t="e">
        <f>VLOOKUP("irlanda",#REF!,4,FALSE)/VLOOKUP("irlanda",#REF!,4,FALSE)-1</f>
        <v>#REF!</v>
      </c>
      <c r="I224" s="152" t="e">
        <f>VLOOKUP("irlanda",#REF!,4,FALSE)</f>
        <v>#REF!</v>
      </c>
      <c r="J224" s="151" t="e">
        <f>VLOOKUP("irlanda",#REF!,3,FALSE)/VLOOKUP("irlanda",#REF!,3,FALSE)-1</f>
        <v>#REF!</v>
      </c>
      <c r="K224" s="152" t="e">
        <f>VLOOKUP("irlanda",#REF!,3,FALSE)</f>
        <v>#REF!</v>
      </c>
      <c r="L224" s="151" t="e">
        <f>VLOOKUP("irlanda",#REF!,2,FALSE)/VLOOKUP("irlanda",#REF!,2,FALSE)-1</f>
        <v>#REF!</v>
      </c>
      <c r="M224" s="152" t="e">
        <f>VLOOKUP("irlanda",#REF!,2,FALSE)</f>
        <v>#REF!</v>
      </c>
      <c r="N224" s="151" t="e">
        <f>VLOOKUP("irlanda",#REF!,7,FALSE)/VLOOKUP("irlanda",#REF!,7,FALSE)-1</f>
        <v>#REF!</v>
      </c>
      <c r="O224" s="152" t="e">
        <f>VLOOKUP("irlanda",#REF!,7,FALSE)</f>
        <v>#REF!</v>
      </c>
      <c r="P224" s="151" t="e">
        <f>VLOOKUP("irlanda",#REF!,8,FALSE)/VLOOKUP("irlanda",#REF!,8,FALSE)-1</f>
        <v>#REF!</v>
      </c>
      <c r="Q224" s="152" t="e">
        <f>VLOOKUP("irlanda",#REF!,8,FALSE)</f>
        <v>#REF!</v>
      </c>
    </row>
    <row r="225" spans="3:17" ht="24" hidden="1" customHeight="1" x14ac:dyDescent="0.2">
      <c r="C225" s="150" t="s">
        <v>47</v>
      </c>
      <c r="D225" s="151" t="e">
        <f>VLOOKUP("italia",#REF!,6,FALSE)/VLOOKUP("italia",#REF!,6,FALSE)-1</f>
        <v>#REF!</v>
      </c>
      <c r="E225" s="152" t="e">
        <f>VLOOKUP("italia",#REF!,6,FALSE)</f>
        <v>#REF!</v>
      </c>
      <c r="F225" s="151" t="e">
        <f>VLOOKUP("italia",#REF!,5,FALSE)/VLOOKUP("italia",#REF!,5,FALSE)-1</f>
        <v>#REF!</v>
      </c>
      <c r="G225" s="152" t="e">
        <f>VLOOKUP("italia",#REF!,5,FALSE)</f>
        <v>#REF!</v>
      </c>
      <c r="H225" s="151" t="e">
        <f>VLOOKUP("italia",#REF!,4,FALSE)/VLOOKUP("italia",#REF!,4,FALSE)-1</f>
        <v>#REF!</v>
      </c>
      <c r="I225" s="152" t="e">
        <f>VLOOKUP("italia",#REF!,4,FALSE)</f>
        <v>#REF!</v>
      </c>
      <c r="J225" s="151" t="e">
        <f>VLOOKUP("italia",#REF!,3,FALSE)/VLOOKUP("italia",#REF!,3,FALSE)-1</f>
        <v>#REF!</v>
      </c>
      <c r="K225" s="152" t="e">
        <f>VLOOKUP("italia",#REF!,3,FALSE)</f>
        <v>#REF!</v>
      </c>
      <c r="L225" s="151" t="e">
        <f>VLOOKUP("italia",#REF!,2,FALSE)/VLOOKUP("italia",#REF!,2,FALSE)-1</f>
        <v>#REF!</v>
      </c>
      <c r="M225" s="152" t="e">
        <f>VLOOKUP("italia",#REF!,2,FALSE)</f>
        <v>#REF!</v>
      </c>
      <c r="N225" s="151" t="e">
        <f>VLOOKUP("italia",#REF!,7,FALSE)/VLOOKUP("italia",#REF!,7,FALSE)-1</f>
        <v>#REF!</v>
      </c>
      <c r="O225" s="152" t="e">
        <f>VLOOKUP("italia",#REF!,7,FALSE)</f>
        <v>#REF!</v>
      </c>
      <c r="P225" s="151" t="e">
        <f>VLOOKUP("italia",#REF!,8,FALSE)/VLOOKUP("italia",#REF!,8,FALSE)-1</f>
        <v>#REF!</v>
      </c>
      <c r="Q225" s="152" t="e">
        <f>VLOOKUP("italia",#REF!,8,FALSE)</f>
        <v>#REF!</v>
      </c>
    </row>
    <row r="226" spans="3:17" ht="24" hidden="1" customHeight="1" x14ac:dyDescent="0.2">
      <c r="C226" s="150" t="s">
        <v>48</v>
      </c>
      <c r="D226" s="151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152" t="e">
        <f>(VLOOKUP("suecia",#REF!,6,FALSE)+VLOOKUP("noruega",#REF!,6,FALSE)+VLOOKUP("dinamarca",#REF!,6,FALSE)+VLOOKUP("finlandia",#REF!,6,FALSE))</f>
        <v>#REF!</v>
      </c>
      <c r="F226" s="151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152" t="e">
        <f>(VLOOKUP("suecia",#REF!,5,FALSE)+VLOOKUP("noruega",#REF!,5,FALSE)+VLOOKUP("dinamarca",#REF!,5,FALSE)+VLOOKUP("finlandia",#REF!,5,FALSE))</f>
        <v>#REF!</v>
      </c>
      <c r="H226" s="151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152" t="e">
        <f>(VLOOKUP("suecia",#REF!,4,FALSE)+VLOOKUP("noruega",#REF!,4,FALSE)+VLOOKUP("dinamarca",#REF!,4,FALSE)+VLOOKUP("finlandia",#REF!,4,FALSE))</f>
        <v>#REF!</v>
      </c>
      <c r="J226" s="151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152" t="e">
        <f>(VLOOKUP("suecia",#REF!,3,FALSE)+VLOOKUP("noruega",#REF!,3,FALSE)+VLOOKUP("dinamarca",#REF!,3,FALSE)+VLOOKUP("finlandia",#REF!,3,FALSE))</f>
        <v>#REF!</v>
      </c>
      <c r="L226" s="151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152" t="e">
        <f>(VLOOKUP("suecia",#REF!,2,FALSE)+VLOOKUP("noruega",#REF!,2,FALSE)+VLOOKUP("dinamarca",#REF!,2,FALSE)+VLOOKUP("finlandia",#REF!,2,FALSE))</f>
        <v>#REF!</v>
      </c>
      <c r="N226" s="151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152" t="e">
        <f>(VLOOKUP("suecia",#REF!,7,FALSE)+VLOOKUP("noruega",#REF!,7,FALSE)+VLOOKUP("dinamarca",#REF!,7,FALSE)+VLOOKUP("finlandia",#REF!,7,FALSE))</f>
        <v>#REF!</v>
      </c>
      <c r="P226" s="151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152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153" t="s">
        <v>49</v>
      </c>
      <c r="D227" s="151" t="e">
        <f>VLOOKUP("suecia",#REF!,6,FALSE)/VLOOKUP("suecia",#REF!,6,FALSE)-1</f>
        <v>#REF!</v>
      </c>
      <c r="E227" s="152" t="e">
        <f>VLOOKUP("suecia",#REF!,6,FALSE)</f>
        <v>#REF!</v>
      </c>
      <c r="F227" s="151" t="e">
        <f>VLOOKUP("suecia",#REF!,5,FALSE)/VLOOKUP("suecia",#REF!,5,FALSE)-1</f>
        <v>#REF!</v>
      </c>
      <c r="G227" s="152" t="e">
        <f>VLOOKUP("suecia",#REF!,5,FALSE)</f>
        <v>#REF!</v>
      </c>
      <c r="H227" s="151" t="e">
        <f>VLOOKUP("suecia",#REF!,4,FALSE)/VLOOKUP("suecia",#REF!,4,FALSE)-1</f>
        <v>#REF!</v>
      </c>
      <c r="I227" s="152" t="e">
        <f>VLOOKUP("suecia",#REF!,4,FALSE)</f>
        <v>#REF!</v>
      </c>
      <c r="J227" s="151" t="e">
        <f>VLOOKUP("suecia",#REF!,3,FALSE)/VLOOKUP("suecia",#REF!,3,FALSE)-1</f>
        <v>#REF!</v>
      </c>
      <c r="K227" s="152" t="e">
        <f>VLOOKUP("suecia",#REF!,3,FALSE)</f>
        <v>#REF!</v>
      </c>
      <c r="L227" s="151" t="e">
        <f>VLOOKUP("suecia",#REF!,2,FALSE)/VLOOKUP("suecia",#REF!,2,FALSE)-1</f>
        <v>#REF!</v>
      </c>
      <c r="M227" s="152" t="e">
        <f>VLOOKUP("suecia",#REF!,2,FALSE)</f>
        <v>#REF!</v>
      </c>
      <c r="N227" s="151" t="e">
        <f>VLOOKUP("suecia",#REF!,7,FALSE)/VLOOKUP("suecia",#REF!,7,FALSE)-1</f>
        <v>#REF!</v>
      </c>
      <c r="O227" s="152" t="e">
        <f>VLOOKUP("suecia",#REF!,7,FALSE)</f>
        <v>#REF!</v>
      </c>
      <c r="P227" s="151" t="e">
        <f>VLOOKUP("suecia",#REF!,8,FALSE)/VLOOKUP("suecia",#REF!,8,FALSE)-1</f>
        <v>#REF!</v>
      </c>
      <c r="Q227" s="152" t="e">
        <f>VLOOKUP("suecia",#REF!,8,FALSE)</f>
        <v>#REF!</v>
      </c>
    </row>
    <row r="228" spans="3:17" ht="24" hidden="1" customHeight="1" x14ac:dyDescent="0.2">
      <c r="C228" s="153" t="s">
        <v>50</v>
      </c>
      <c r="D228" s="151" t="e">
        <f>VLOOKUP("noruega",#REF!,6,FALSE)/VLOOKUP("noruega",#REF!,6,FALSE)-1</f>
        <v>#REF!</v>
      </c>
      <c r="E228" s="152" t="e">
        <f>VLOOKUP("noruega",#REF!,6,FALSE)</f>
        <v>#REF!</v>
      </c>
      <c r="F228" s="151" t="e">
        <f>VLOOKUP("noruega",#REF!,5,FALSE)/VLOOKUP("noruega",#REF!,5,FALSE)-1</f>
        <v>#REF!</v>
      </c>
      <c r="G228" s="152" t="e">
        <f>VLOOKUP("noruega",#REF!,5,FALSE)</f>
        <v>#REF!</v>
      </c>
      <c r="H228" s="151" t="e">
        <f>VLOOKUP("noruega",#REF!,4,FALSE)/VLOOKUP("noruega",#REF!,4,FALSE)-1</f>
        <v>#REF!</v>
      </c>
      <c r="I228" s="152" t="e">
        <f>VLOOKUP("noruega",#REF!,4,FALSE)</f>
        <v>#REF!</v>
      </c>
      <c r="J228" s="151" t="e">
        <f>VLOOKUP("noruega",#REF!,3,FALSE)/VLOOKUP("noruega",#REF!,3,FALSE)-1</f>
        <v>#REF!</v>
      </c>
      <c r="K228" s="152" t="e">
        <f>VLOOKUP("noruega",#REF!,3,FALSE)</f>
        <v>#REF!</v>
      </c>
      <c r="L228" s="151" t="e">
        <f>VLOOKUP("noruega",#REF!,2,FALSE)/VLOOKUP("noruega",#REF!,2,FALSE)-1</f>
        <v>#REF!</v>
      </c>
      <c r="M228" s="152" t="e">
        <f>VLOOKUP("noruega",#REF!,2,FALSE)</f>
        <v>#REF!</v>
      </c>
      <c r="N228" s="151" t="e">
        <f>VLOOKUP("noruega",#REF!,7,FALSE)/VLOOKUP("noruega",#REF!,7,FALSE)-1</f>
        <v>#REF!</v>
      </c>
      <c r="O228" s="152" t="e">
        <f>VLOOKUP("noruega",#REF!,7,FALSE)</f>
        <v>#REF!</v>
      </c>
      <c r="P228" s="151" t="e">
        <f>VLOOKUP("noruega",#REF!,8,FALSE)/VLOOKUP("noruega",#REF!,8,FALSE)-1</f>
        <v>#REF!</v>
      </c>
      <c r="Q228" s="152" t="e">
        <f>VLOOKUP("noruega",#REF!,8,FALSE)</f>
        <v>#REF!</v>
      </c>
    </row>
    <row r="229" spans="3:17" ht="24" hidden="1" customHeight="1" x14ac:dyDescent="0.2">
      <c r="C229" s="153" t="s">
        <v>51</v>
      </c>
      <c r="D229" s="151" t="e">
        <f>VLOOKUP("dinamarca",#REF!,6,FALSE)/VLOOKUP("dinamarca",#REF!,6,FALSE)-1</f>
        <v>#REF!</v>
      </c>
      <c r="E229" s="152" t="e">
        <f>VLOOKUP("dinamarca",#REF!,6,FALSE)</f>
        <v>#REF!</v>
      </c>
      <c r="F229" s="151" t="e">
        <f>VLOOKUP("dinamarca",#REF!,5,FALSE)/VLOOKUP("dinamarca",#REF!,5,FALSE)-1</f>
        <v>#REF!</v>
      </c>
      <c r="G229" s="152" t="e">
        <f>VLOOKUP("dinamarca",#REF!,5,FALSE)</f>
        <v>#REF!</v>
      </c>
      <c r="H229" s="151" t="e">
        <f>VLOOKUP("dinamarca",#REF!,4,FALSE)/VLOOKUP("dinamarca",#REF!,4,FALSE)-1</f>
        <v>#REF!</v>
      </c>
      <c r="I229" s="152" t="e">
        <f>VLOOKUP("dinamarca",#REF!,4,FALSE)</f>
        <v>#REF!</v>
      </c>
      <c r="J229" s="151" t="e">
        <f>VLOOKUP("dinamarca",#REF!,3,FALSE)/VLOOKUP("dinamarca",#REF!,3,FALSE)-1</f>
        <v>#REF!</v>
      </c>
      <c r="K229" s="152" t="e">
        <f>VLOOKUP("dinamarca",#REF!,3,FALSE)</f>
        <v>#REF!</v>
      </c>
      <c r="L229" s="151" t="e">
        <f>VLOOKUP("dinamarca",#REF!,2,FALSE)/VLOOKUP("dinamarca",#REF!,2,FALSE)-1</f>
        <v>#REF!</v>
      </c>
      <c r="M229" s="152" t="e">
        <f>VLOOKUP("dinamarca",#REF!,2,FALSE)</f>
        <v>#REF!</v>
      </c>
      <c r="N229" s="151" t="e">
        <f>VLOOKUP("dinamarca",#REF!,7,FALSE)/VLOOKUP("dinamarca",#REF!,7,FALSE)-1</f>
        <v>#REF!</v>
      </c>
      <c r="O229" s="152" t="e">
        <f>VLOOKUP("dinamarca",#REF!,7,FALSE)</f>
        <v>#REF!</v>
      </c>
      <c r="P229" s="151" t="e">
        <f>VLOOKUP("dinamarca",#REF!,8,FALSE)/VLOOKUP("dinamarca",#REF!,8,FALSE)-1</f>
        <v>#REF!</v>
      </c>
      <c r="Q229" s="152" t="e">
        <f>VLOOKUP("dinamarca",#REF!,8,FALSE)</f>
        <v>#REF!</v>
      </c>
    </row>
    <row r="230" spans="3:17" ht="24" hidden="1" customHeight="1" x14ac:dyDescent="0.2">
      <c r="C230" s="153" t="s">
        <v>52</v>
      </c>
      <c r="D230" s="151" t="s">
        <v>38</v>
      </c>
      <c r="E230" s="152" t="e">
        <f>VLOOKUP("finlandia",#REF!,6,FALSE)</f>
        <v>#REF!</v>
      </c>
      <c r="F230" s="151" t="e">
        <f>VLOOKUP("finlandia",#REF!,5,FALSE)/VLOOKUP("finlandia",#REF!,5,FALSE)-1</f>
        <v>#REF!</v>
      </c>
      <c r="G230" s="152" t="e">
        <f>VLOOKUP("finlandia",#REF!,5,FALSE)</f>
        <v>#REF!</v>
      </c>
      <c r="H230" s="151" t="e">
        <f>VLOOKUP("finlandia",#REF!,4,FALSE)/VLOOKUP("finlandia",#REF!,4,FALSE)-1</f>
        <v>#REF!</v>
      </c>
      <c r="I230" s="152" t="e">
        <f>VLOOKUP("finlandia",#REF!,4,FALSE)</f>
        <v>#REF!</v>
      </c>
      <c r="J230" s="151" t="e">
        <f>VLOOKUP("finlandia",#REF!,3,FALSE)/VLOOKUP("finlandia",#REF!,3,FALSE)-1</f>
        <v>#REF!</v>
      </c>
      <c r="K230" s="152" t="e">
        <f>VLOOKUP("finlandia",#REF!,3,FALSE)</f>
        <v>#REF!</v>
      </c>
      <c r="L230" s="151" t="s">
        <v>38</v>
      </c>
      <c r="M230" s="152" t="e">
        <f>VLOOKUP("finlandia",#REF!,2,FALSE)</f>
        <v>#REF!</v>
      </c>
      <c r="N230" s="151" t="e">
        <f>VLOOKUP("finlandia",#REF!,7,FALSE)/VLOOKUP("finlandia",#REF!,7,FALSE)-1</f>
        <v>#REF!</v>
      </c>
      <c r="O230" s="152" t="e">
        <f>VLOOKUP("finlandia",#REF!,7,FALSE)</f>
        <v>#REF!</v>
      </c>
      <c r="P230" s="151" t="e">
        <f>VLOOKUP("finlandia",#REF!,8,FALSE)/VLOOKUP("finlandia",#REF!,8,FALSE)-1</f>
        <v>#REF!</v>
      </c>
      <c r="Q230" s="152" t="e">
        <f>VLOOKUP("finlandia",#REF!,8,FALSE)</f>
        <v>#REF!</v>
      </c>
    </row>
    <row r="231" spans="3:17" ht="24" hidden="1" customHeight="1" x14ac:dyDescent="0.2">
      <c r="C231" s="150" t="s">
        <v>53</v>
      </c>
      <c r="D231" s="151" t="e">
        <f>VLOOKUP("suiza",#REF!,6,FALSE)/VLOOKUP("suiza",#REF!,6,FALSE)-1</f>
        <v>#REF!</v>
      </c>
      <c r="E231" s="152" t="e">
        <f>VLOOKUP("suiza",#REF!,6,FALSE)</f>
        <v>#REF!</v>
      </c>
      <c r="F231" s="151" t="e">
        <f>VLOOKUP("suiza",#REF!,5,FALSE)/VLOOKUP("suiza",#REF!,5,FALSE)-1</f>
        <v>#REF!</v>
      </c>
      <c r="G231" s="152" t="e">
        <f>VLOOKUP("suiza",#REF!,5,FALSE)</f>
        <v>#REF!</v>
      </c>
      <c r="H231" s="151" t="e">
        <f>VLOOKUP("suiza",#REF!,4,FALSE)/VLOOKUP("suiza",#REF!,4,FALSE)-1</f>
        <v>#REF!</v>
      </c>
      <c r="I231" s="152" t="e">
        <f>VLOOKUP("suiza",#REF!,4,FALSE)</f>
        <v>#REF!</v>
      </c>
      <c r="J231" s="151" t="e">
        <f>VLOOKUP("suiza",#REF!,3,FALSE)/VLOOKUP("suiza",#REF!,3,FALSE)-1</f>
        <v>#REF!</v>
      </c>
      <c r="K231" s="152" t="e">
        <f>VLOOKUP("suiza",#REF!,3,FALSE)</f>
        <v>#REF!</v>
      </c>
      <c r="L231" s="151" t="e">
        <f>VLOOKUP("suiza",#REF!,2,FALSE)/VLOOKUP("suiza",#REF!,2,FALSE)-1</f>
        <v>#REF!</v>
      </c>
      <c r="M231" s="152" t="e">
        <f>VLOOKUP("suiza",#REF!,2,FALSE)</f>
        <v>#REF!</v>
      </c>
      <c r="N231" s="151" t="e">
        <f>VLOOKUP("suiza",#REF!,7,FALSE)/VLOOKUP("suiza",#REF!,7,FALSE)-1</f>
        <v>#REF!</v>
      </c>
      <c r="O231" s="152" t="e">
        <f>VLOOKUP("suiza",#REF!,7,FALSE)</f>
        <v>#REF!</v>
      </c>
      <c r="P231" s="151" t="e">
        <f>VLOOKUP("suiza",#REF!,8,FALSE)/VLOOKUP("suiza",#REF!,8,FALSE)-1</f>
        <v>#REF!</v>
      </c>
      <c r="Q231" s="152" t="e">
        <f>VLOOKUP("suiza",#REF!,8,FALSE)</f>
        <v>#REF!</v>
      </c>
    </row>
    <row r="232" spans="3:17" ht="24" hidden="1" customHeight="1" x14ac:dyDescent="0.2">
      <c r="C232" s="150" t="s">
        <v>54</v>
      </c>
      <c r="D232" s="151" t="e">
        <f>VLOOKUP("austria",#REF!,6,FALSE)/VLOOKUP("austria",#REF!,6,FALSE)-1</f>
        <v>#REF!</v>
      </c>
      <c r="E232" s="152" t="e">
        <f>VLOOKUP("austria",#REF!,6,FALSE)</f>
        <v>#REF!</v>
      </c>
      <c r="F232" s="151" t="e">
        <f>VLOOKUP("austria",#REF!,5,FALSE)/VLOOKUP("austria",#REF!,5,FALSE)-1</f>
        <v>#REF!</v>
      </c>
      <c r="G232" s="152" t="e">
        <f>VLOOKUP("austria",#REF!,5,FALSE)</f>
        <v>#REF!</v>
      </c>
      <c r="H232" s="151" t="e">
        <f>VLOOKUP("austria",#REF!,4,FALSE)/VLOOKUP("austria",#REF!,4,FALSE)-1</f>
        <v>#REF!</v>
      </c>
      <c r="I232" s="152" t="e">
        <f>VLOOKUP("austria",#REF!,4,FALSE)</f>
        <v>#REF!</v>
      </c>
      <c r="J232" s="151" t="e">
        <f>VLOOKUP("austria",#REF!,3,FALSE)/VLOOKUP("austria",#REF!,3,FALSE)-1</f>
        <v>#REF!</v>
      </c>
      <c r="K232" s="152" t="e">
        <f>VLOOKUP("austria",#REF!,3,FALSE)</f>
        <v>#REF!</v>
      </c>
      <c r="L232" s="151" t="e">
        <f>VLOOKUP("austria",#REF!,2,FALSE)/VLOOKUP("austria",#REF!,2,FALSE)-1</f>
        <v>#REF!</v>
      </c>
      <c r="M232" s="152" t="e">
        <f>VLOOKUP("austria",#REF!,2,FALSE)</f>
        <v>#REF!</v>
      </c>
      <c r="N232" s="151" t="e">
        <f>VLOOKUP("austria",#REF!,7,FALSE)/VLOOKUP("austria",#REF!,7,FALSE)-1</f>
        <v>#REF!</v>
      </c>
      <c r="O232" s="152" t="e">
        <f>VLOOKUP("austria",#REF!,7,FALSE)</f>
        <v>#REF!</v>
      </c>
      <c r="P232" s="151" t="e">
        <f>VLOOKUP("austria",#REF!,8,FALSE)/VLOOKUP("austria",#REF!,8,FALSE)-1</f>
        <v>#REF!</v>
      </c>
      <c r="Q232" s="152" t="e">
        <f>VLOOKUP("austria",#REF!,8,FALSE)</f>
        <v>#REF!</v>
      </c>
    </row>
    <row r="233" spans="3:17" ht="24" hidden="1" customHeight="1" x14ac:dyDescent="0.2">
      <c r="C233" s="150" t="s">
        <v>55</v>
      </c>
      <c r="D233" s="151" t="e">
        <f>VLOOKUP("rusia",#REF!,6,FALSE)/VLOOKUP("rusia",#REF!,6,FALSE)-1</f>
        <v>#REF!</v>
      </c>
      <c r="E233" s="152" t="e">
        <f>VLOOKUP("rusia",#REF!,6,FALSE)</f>
        <v>#REF!</v>
      </c>
      <c r="F233" s="151" t="e">
        <f>VLOOKUP("rusia",#REF!,5,FALSE)/VLOOKUP("rusia",#REF!,5,FALSE)-1</f>
        <v>#REF!</v>
      </c>
      <c r="G233" s="152" t="e">
        <f>VLOOKUP("rusia",#REF!,5,FALSE)</f>
        <v>#REF!</v>
      </c>
      <c r="H233" s="151" t="e">
        <f>VLOOKUP("rusia",#REF!,4,FALSE)/VLOOKUP("rusia",#REF!,4,FALSE)-1</f>
        <v>#REF!</v>
      </c>
      <c r="I233" s="152" t="e">
        <f>VLOOKUP("rusia",#REF!,4,FALSE)</f>
        <v>#REF!</v>
      </c>
      <c r="J233" s="151" t="e">
        <f>VLOOKUP("rusia",#REF!,3,FALSE)/VLOOKUP("rusia",#REF!,3,FALSE)-1</f>
        <v>#REF!</v>
      </c>
      <c r="K233" s="152" t="e">
        <f>VLOOKUP("rusia",#REF!,3,FALSE)</f>
        <v>#REF!</v>
      </c>
      <c r="L233" s="151" t="e">
        <f>VLOOKUP("rusia",#REF!,2,FALSE)/VLOOKUP("rusia",#REF!,2,FALSE)-1</f>
        <v>#REF!</v>
      </c>
      <c r="M233" s="152" t="e">
        <f>VLOOKUP("rusia",#REF!,2,FALSE)</f>
        <v>#REF!</v>
      </c>
      <c r="N233" s="151" t="e">
        <f>VLOOKUP("rusia",#REF!,7,FALSE)/VLOOKUP("rusia",#REF!,7,FALSE)-1</f>
        <v>#REF!</v>
      </c>
      <c r="O233" s="152" t="e">
        <f>VLOOKUP("rusia",#REF!,7,FALSE)</f>
        <v>#REF!</v>
      </c>
      <c r="P233" s="151" t="e">
        <f>VLOOKUP("rusia",#REF!,8,FALSE)/VLOOKUP("rusia",#REF!,8,FALSE)-1</f>
        <v>#REF!</v>
      </c>
      <c r="Q233" s="152" t="e">
        <f>VLOOKUP("rusia",#REF!,8,FALSE)</f>
        <v>#REF!</v>
      </c>
    </row>
    <row r="234" spans="3:17" ht="24" hidden="1" customHeight="1" x14ac:dyDescent="0.2">
      <c r="C234" s="150" t="s">
        <v>56</v>
      </c>
      <c r="D234" s="151" t="e">
        <f>VLOOKUP("paises del este",#REF!,6,FALSE)/VLOOKUP("paises del este",#REF!,6,FALSE)-1</f>
        <v>#REF!</v>
      </c>
      <c r="E234" s="152" t="e">
        <f>VLOOKUP("paises del este",#REF!,6,FALSE)</f>
        <v>#REF!</v>
      </c>
      <c r="F234" s="151" t="e">
        <f>VLOOKUP("paises del este",#REF!,5,FALSE)/VLOOKUP("paises del este",#REF!,5,FALSE)-1</f>
        <v>#REF!</v>
      </c>
      <c r="G234" s="152" t="e">
        <f>VLOOKUP("paises del este",#REF!,5,FALSE)</f>
        <v>#REF!</v>
      </c>
      <c r="H234" s="151" t="e">
        <f>VLOOKUP("paises del este",#REF!,4,FALSE)/VLOOKUP("paises del este",#REF!,4,FALSE)-1</f>
        <v>#REF!</v>
      </c>
      <c r="I234" s="152" t="e">
        <f>VLOOKUP("paises del este",#REF!,4,FALSE)</f>
        <v>#REF!</v>
      </c>
      <c r="J234" s="151" t="e">
        <f>VLOOKUP("paises del este",#REF!,3,FALSE)/VLOOKUP("paises del este",#REF!,3,FALSE)-1</f>
        <v>#REF!</v>
      </c>
      <c r="K234" s="152" t="e">
        <f>VLOOKUP("paises del este",#REF!,3,FALSE)</f>
        <v>#REF!</v>
      </c>
      <c r="L234" s="151" t="e">
        <f>VLOOKUP("paises del este",#REF!,2,FALSE)/VLOOKUP("paises del este",#REF!,2,FALSE)-1</f>
        <v>#REF!</v>
      </c>
      <c r="M234" s="152" t="e">
        <f>VLOOKUP("paises del este",#REF!,2,FALSE)</f>
        <v>#REF!</v>
      </c>
      <c r="N234" s="151" t="e">
        <f>VLOOKUP("paises del este",#REF!,7,FALSE)/VLOOKUP("paises del este",#REF!,7,FALSE)-1</f>
        <v>#REF!</v>
      </c>
      <c r="O234" s="152" t="e">
        <f>VLOOKUP("paises del este",#REF!,7,FALSE)</f>
        <v>#REF!</v>
      </c>
      <c r="P234" s="151" t="e">
        <f>VLOOKUP("paises del este",#REF!,8,FALSE)/VLOOKUP("paises del este",#REF!,8,FALSE)-1</f>
        <v>#REF!</v>
      </c>
      <c r="Q234" s="152" t="e">
        <f>VLOOKUP("paises del este",#REF!,8,FALSE)</f>
        <v>#REF!</v>
      </c>
    </row>
    <row r="235" spans="3:17" ht="24" hidden="1" customHeight="1" x14ac:dyDescent="0.2">
      <c r="C235" s="150" t="s">
        <v>57</v>
      </c>
      <c r="D235" s="151" t="e">
        <f>VLOOKUP("resto de europa",#REF!,6,FALSE)/VLOOKUP("resto de europa",#REF!,6,FALSE)-1</f>
        <v>#REF!</v>
      </c>
      <c r="E235" s="152" t="e">
        <f>VLOOKUP("resto de europa",#REF!,6,FALSE)</f>
        <v>#REF!</v>
      </c>
      <c r="F235" s="151" t="e">
        <f>VLOOKUP("resto de europa",#REF!,5,FALSE)/VLOOKUP("resto de europa",#REF!,5,FALSE)-1</f>
        <v>#REF!</v>
      </c>
      <c r="G235" s="152" t="e">
        <f>VLOOKUP("resto de europa",#REF!,5,FALSE)</f>
        <v>#REF!</v>
      </c>
      <c r="H235" s="151" t="e">
        <f>VLOOKUP("resto de europa",#REF!,4,FALSE)/VLOOKUP("resto de europa",#REF!,4,FALSE)-1</f>
        <v>#REF!</v>
      </c>
      <c r="I235" s="152" t="e">
        <f>VLOOKUP("resto de europa",#REF!,4,FALSE)</f>
        <v>#REF!</v>
      </c>
      <c r="J235" s="151" t="e">
        <f>VLOOKUP("resto de europa",#REF!,3,FALSE)/VLOOKUP("resto de europa",#REF!,3,FALSE)-1</f>
        <v>#REF!</v>
      </c>
      <c r="K235" s="152" t="e">
        <f>VLOOKUP("resto de europa",#REF!,3,FALSE)</f>
        <v>#REF!</v>
      </c>
      <c r="L235" s="151" t="e">
        <f>VLOOKUP("resto de europa",#REF!,2,FALSE)/VLOOKUP("resto de europa",#REF!,2,FALSE)-1</f>
        <v>#REF!</v>
      </c>
      <c r="M235" s="152" t="e">
        <f>VLOOKUP("resto de europa",#REF!,2,FALSE)</f>
        <v>#REF!</v>
      </c>
      <c r="N235" s="151" t="e">
        <f>VLOOKUP("resto de europa",#REF!,7,FALSE)/VLOOKUP("resto de europa",#REF!,7,FALSE)-1</f>
        <v>#REF!</v>
      </c>
      <c r="O235" s="152" t="e">
        <f>VLOOKUP("resto de europa",#REF!,7,FALSE)</f>
        <v>#REF!</v>
      </c>
      <c r="P235" s="151" t="e">
        <f>VLOOKUP("resto de europa",#REF!,8,FALSE)/VLOOKUP("resto de europa",#REF!,8,FALSE)-1</f>
        <v>#REF!</v>
      </c>
      <c r="Q235" s="152" t="e">
        <f>VLOOKUP("resto de europa",#REF!,8,FALSE)</f>
        <v>#REF!</v>
      </c>
    </row>
    <row r="236" spans="3:17" ht="24" hidden="1" customHeight="1" x14ac:dyDescent="0.2">
      <c r="C236" s="150" t="s">
        <v>58</v>
      </c>
      <c r="D236" s="151" t="e">
        <f>VLOOKUP("usa",#REF!,6,FALSE)/VLOOKUP("usa",#REF!,6,FALSE)-1</f>
        <v>#REF!</v>
      </c>
      <c r="E236" s="152" t="e">
        <f>VLOOKUP("usa",#REF!,6,FALSE)</f>
        <v>#REF!</v>
      </c>
      <c r="F236" s="151" t="e">
        <f>VLOOKUP("usa",#REF!,5,FALSE)/VLOOKUP("usa",#REF!,5,FALSE)-1</f>
        <v>#REF!</v>
      </c>
      <c r="G236" s="152" t="e">
        <f>VLOOKUP("usa",#REF!,5,FALSE)</f>
        <v>#REF!</v>
      </c>
      <c r="H236" s="151" t="e">
        <f>VLOOKUP("usa",#REF!,4,FALSE)/VLOOKUP("usa",#REF!,4,FALSE)-1</f>
        <v>#REF!</v>
      </c>
      <c r="I236" s="152" t="e">
        <f>VLOOKUP("usa",#REF!,4,FALSE)</f>
        <v>#REF!</v>
      </c>
      <c r="J236" s="151" t="e">
        <f>VLOOKUP("usa",#REF!,3,FALSE)/VLOOKUP("usa",#REF!,3,FALSE)-1</f>
        <v>#REF!</v>
      </c>
      <c r="K236" s="152" t="e">
        <f>VLOOKUP("usa",#REF!,3,FALSE)</f>
        <v>#REF!</v>
      </c>
      <c r="L236" s="151" t="e">
        <f>VLOOKUP("usa",#REF!,2,FALSE)/VLOOKUP("usa",#REF!,2,FALSE)-1</f>
        <v>#REF!</v>
      </c>
      <c r="M236" s="152" t="e">
        <f>VLOOKUP("usa",#REF!,2,FALSE)</f>
        <v>#REF!</v>
      </c>
      <c r="N236" s="151" t="e">
        <f>VLOOKUP("usa",#REF!,7,FALSE)/VLOOKUP("usa",#REF!,7,FALSE)-1</f>
        <v>#REF!</v>
      </c>
      <c r="O236" s="152" t="e">
        <f>VLOOKUP("usa",#REF!,7,FALSE)</f>
        <v>#REF!</v>
      </c>
      <c r="P236" s="151" t="e">
        <f>VLOOKUP("usa",#REF!,8,FALSE)/VLOOKUP("usa",#REF!,8,FALSE)-1</f>
        <v>#REF!</v>
      </c>
      <c r="Q236" s="152" t="e">
        <f>VLOOKUP("usa",#REF!,8,FALSE)</f>
        <v>#REF!</v>
      </c>
    </row>
    <row r="237" spans="3:17" ht="24" hidden="1" customHeight="1" x14ac:dyDescent="0.2">
      <c r="C237" s="150" t="s">
        <v>59</v>
      </c>
      <c r="D237" s="151" t="e">
        <f>VLOOKUP("resto de america",#REF!,6,FALSE)/VLOOKUP("resto de america",#REF!,6,FALSE)-1</f>
        <v>#REF!</v>
      </c>
      <c r="E237" s="152" t="e">
        <f>VLOOKUP("resto de america",#REF!,6,FALSE)</f>
        <v>#REF!</v>
      </c>
      <c r="F237" s="151" t="e">
        <f>VLOOKUP("resto de america",#REF!,5,FALSE)/VLOOKUP("resto de america",#REF!,5,FALSE)-1</f>
        <v>#REF!</v>
      </c>
      <c r="G237" s="152" t="e">
        <f>VLOOKUP("resto de america",#REF!,5,FALSE)</f>
        <v>#REF!</v>
      </c>
      <c r="H237" s="151" t="e">
        <f>VLOOKUP("resto de america",#REF!,4,FALSE)/VLOOKUP("resto de america",#REF!,4,FALSE)-1</f>
        <v>#REF!</v>
      </c>
      <c r="I237" s="152" t="e">
        <f>VLOOKUP("resto de america",#REF!,4,FALSE)</f>
        <v>#REF!</v>
      </c>
      <c r="J237" s="151" t="e">
        <f>VLOOKUP("resto de america",#REF!,3,FALSE)/VLOOKUP("resto de america",#REF!,3,FALSE)-1</f>
        <v>#REF!</v>
      </c>
      <c r="K237" s="152" t="e">
        <f>VLOOKUP("resto de america",#REF!,3,FALSE)</f>
        <v>#REF!</v>
      </c>
      <c r="L237" s="151" t="e">
        <f>VLOOKUP("resto de america",#REF!,2,FALSE)/VLOOKUP("resto de america",#REF!,2,FALSE)-1</f>
        <v>#REF!</v>
      </c>
      <c r="M237" s="152" t="e">
        <f>VLOOKUP("resto de america",#REF!,2,FALSE)</f>
        <v>#REF!</v>
      </c>
      <c r="N237" s="151" t="e">
        <f>VLOOKUP("resto de america",#REF!,7,FALSE)/VLOOKUP("resto de america",#REF!,7,FALSE)-1</f>
        <v>#REF!</v>
      </c>
      <c r="O237" s="152" t="e">
        <f>VLOOKUP("resto de america",#REF!,7,FALSE)</f>
        <v>#REF!</v>
      </c>
      <c r="P237" s="151" t="e">
        <f>VLOOKUP("resto de america",#REF!,8,FALSE)/VLOOKUP("resto de america",#REF!,8,FALSE)-1</f>
        <v>#REF!</v>
      </c>
      <c r="Q237" s="152" t="e">
        <f>VLOOKUP("resto de america",#REF!,8,FALSE)</f>
        <v>#REF!</v>
      </c>
    </row>
    <row r="238" spans="3:17" ht="24" hidden="1" customHeight="1" x14ac:dyDescent="0.2">
      <c r="C238" s="150" t="s">
        <v>60</v>
      </c>
      <c r="D238" s="151" t="e">
        <f>VLOOKUP("resto del mundo",#REF!,6,FALSE)/VLOOKUP("resto del mundo",#REF!,6,FALSE)-1</f>
        <v>#REF!</v>
      </c>
      <c r="E238" s="152" t="e">
        <f>VLOOKUP("resto del mundo",#REF!,6,FALSE)</f>
        <v>#REF!</v>
      </c>
      <c r="F238" s="151" t="e">
        <f>VLOOKUP("resto del mundo",#REF!,5,FALSE)/VLOOKUP("resto del mundo",#REF!,5,FALSE)-1</f>
        <v>#REF!</v>
      </c>
      <c r="G238" s="152" t="e">
        <f>VLOOKUP("resto del mundo",#REF!,5,FALSE)</f>
        <v>#REF!</v>
      </c>
      <c r="H238" s="151" t="e">
        <f>VLOOKUP("resto del mundo",#REF!,4,FALSE)/VLOOKUP("resto del mundo",#REF!,4,FALSE)-1</f>
        <v>#REF!</v>
      </c>
      <c r="I238" s="152" t="e">
        <f>VLOOKUP("resto del mundo",#REF!,4,FALSE)</f>
        <v>#REF!</v>
      </c>
      <c r="J238" s="151" t="e">
        <f>VLOOKUP("resto del mundo",#REF!,3,FALSE)/VLOOKUP("resto del mundo",#REF!,3,FALSE)-1</f>
        <v>#REF!</v>
      </c>
      <c r="K238" s="152" t="e">
        <f>VLOOKUP("resto del mundo",#REF!,3,FALSE)</f>
        <v>#REF!</v>
      </c>
      <c r="L238" s="151" t="e">
        <f>VLOOKUP("resto del mundo",#REF!,2,FALSE)/VLOOKUP("resto del mundo",#REF!,2,FALSE)-1</f>
        <v>#REF!</v>
      </c>
      <c r="M238" s="152" t="e">
        <f>VLOOKUP("resto del mundo",#REF!,2,FALSE)</f>
        <v>#REF!</v>
      </c>
      <c r="N238" s="151" t="e">
        <f>VLOOKUP("resto del mundo",#REF!,7,FALSE)/VLOOKUP("resto del mundo",#REF!,7,FALSE)-1</f>
        <v>#REF!</v>
      </c>
      <c r="O238" s="152" t="e">
        <f>VLOOKUP("resto del mundo",#REF!,7,FALSE)</f>
        <v>#REF!</v>
      </c>
      <c r="P238" s="151" t="e">
        <f>VLOOKUP("resto del mundo",#REF!,8,FALSE)/VLOOKUP("resto del mundo",#REF!,8,FALSE)-1</f>
        <v>#REF!</v>
      </c>
      <c r="Q238" s="152" t="e">
        <f>VLOOKUP("resto del mundo",#REF!,8,FALSE)</f>
        <v>#REF!</v>
      </c>
    </row>
    <row r="239" spans="3:17" ht="24" hidden="1" customHeight="1" x14ac:dyDescent="0.2">
      <c r="C239" s="150" t="s">
        <v>61</v>
      </c>
      <c r="D239" s="151" t="e">
        <f>(VLOOKUP("total",#REF!,6,FALSE)-VLOOKUP("españa",#REF!,6,FALSE))/(VLOOKUP("total",#REF!,6,FALSE)-VLOOKUP("españa",#REF!,6,FALSE))-1</f>
        <v>#REF!</v>
      </c>
      <c r="E239" s="152" t="e">
        <f>VLOOKUP("total",#REF!,6,FALSE)-VLOOKUP("españa",#REF!,6,FALSE)</f>
        <v>#REF!</v>
      </c>
      <c r="F239" s="151" t="e">
        <f>(VLOOKUP("total",#REF!,5,FALSE)-VLOOKUP("españa",#REF!,5,FALSE))/(VLOOKUP("total",#REF!,5,FALSE)-VLOOKUP("españa",#REF!,5,FALSE))-1</f>
        <v>#REF!</v>
      </c>
      <c r="G239" s="152" t="e">
        <f>VLOOKUP("total",#REF!,5,FALSE)-VLOOKUP("españa",#REF!,5,FALSE)</f>
        <v>#REF!</v>
      </c>
      <c r="H239" s="151" t="e">
        <f>(VLOOKUP("total",#REF!,4,FALSE)-VLOOKUP("españa",#REF!,4,FALSE))/(VLOOKUP("total",#REF!,4,FALSE)-VLOOKUP("españa",#REF!,4,FALSE))-1</f>
        <v>#REF!</v>
      </c>
      <c r="I239" s="152" t="e">
        <f>VLOOKUP("total",#REF!,4,FALSE)-VLOOKUP("españa",#REF!,4,FALSE)</f>
        <v>#REF!</v>
      </c>
      <c r="J239" s="151" t="e">
        <f>(VLOOKUP("total",#REF!,3,FALSE)-VLOOKUP("españa",#REF!,3,FALSE))/(VLOOKUP("total",#REF!,3,FALSE)-VLOOKUP("españa",#REF!,3,FALSE))-1</f>
        <v>#REF!</v>
      </c>
      <c r="K239" s="152" t="e">
        <f>VLOOKUP("total",#REF!,3,FALSE)-VLOOKUP("españa",#REF!,3,FALSE)</f>
        <v>#REF!</v>
      </c>
      <c r="L239" s="151" t="e">
        <f>(VLOOKUP("total",#REF!,2,FALSE)-VLOOKUP("españa",#REF!,2,FALSE))/(VLOOKUP("total",#REF!,2,FALSE)-VLOOKUP("españa",#REF!,2,FALSE))-1</f>
        <v>#REF!</v>
      </c>
      <c r="M239" s="152" t="e">
        <f>VLOOKUP("total",#REF!,2,FALSE)-VLOOKUP("españa",#REF!,2,FALSE)</f>
        <v>#REF!</v>
      </c>
      <c r="N239" s="151" t="e">
        <f>(VLOOKUP("total",#REF!,7,FALSE)-VLOOKUP("españa",#REF!,7,FALSE))/(VLOOKUP("total",#REF!,7,FALSE)-VLOOKUP("españa",#REF!,7,FALSE))-1</f>
        <v>#REF!</v>
      </c>
      <c r="O239" s="152" t="e">
        <f>VLOOKUP("total",#REF!,7,FALSE)-VLOOKUP("españa",#REF!,7,FALSE)</f>
        <v>#REF!</v>
      </c>
      <c r="P239" s="151" t="e">
        <f>(VLOOKUP("total",#REF!,8,FALSE)-VLOOKUP("españa",#REF!,8,FALSE))/(VLOOKUP("total",#REF!,8,FALSE)-VLOOKUP("españa",#REF!,8,FALSE))-1</f>
        <v>#REF!</v>
      </c>
      <c r="Q239" s="152" t="e">
        <f>VLOOKUP("total",#REF!,8,FALSE)-VLOOKUP("españa",#REF!,8,FALSE)</f>
        <v>#REF!</v>
      </c>
    </row>
    <row r="240" spans="3:17" ht="24" hidden="1" customHeight="1" x14ac:dyDescent="0.2">
      <c r="C240" s="150" t="s">
        <v>8</v>
      </c>
      <c r="D240" s="151" t="e">
        <f>VLOOKUP("total",#REF!,6,FALSE)/VLOOKUP("total",#REF!,6,FALSE)-1</f>
        <v>#REF!</v>
      </c>
      <c r="E240" s="152" t="e">
        <f>VLOOKUP("total",#REF!,6,FALSE)</f>
        <v>#REF!</v>
      </c>
      <c r="F240" s="151" t="e">
        <f>VLOOKUP("total",#REF!,5,FALSE)/VLOOKUP("total",#REF!,5,FALSE)-1</f>
        <v>#REF!</v>
      </c>
      <c r="G240" s="152" t="e">
        <f>VLOOKUP("total",#REF!,5,FALSE)</f>
        <v>#REF!</v>
      </c>
      <c r="H240" s="151" t="e">
        <f>VLOOKUP("total",#REF!,4,FALSE)/VLOOKUP("total",#REF!,4,FALSE)-1</f>
        <v>#REF!</v>
      </c>
      <c r="I240" s="152" t="e">
        <f>VLOOKUP("total",#REF!,4,FALSE)</f>
        <v>#REF!</v>
      </c>
      <c r="J240" s="151" t="e">
        <f>VLOOKUP("total",#REF!,3,FALSE)/VLOOKUP("total",#REF!,3,FALSE)-1</f>
        <v>#REF!</v>
      </c>
      <c r="K240" s="152" t="e">
        <f>VLOOKUP("total",#REF!,3,FALSE)</f>
        <v>#REF!</v>
      </c>
      <c r="L240" s="151" t="e">
        <f>VLOOKUP("total",#REF!,2,FALSE)/VLOOKUP("total",#REF!,2,FALSE)-1</f>
        <v>#REF!</v>
      </c>
      <c r="M240" s="152" t="e">
        <f>VLOOKUP("total",#REF!,2,FALSE)</f>
        <v>#REF!</v>
      </c>
      <c r="N240" s="151" t="e">
        <f>VLOOKUP("total",#REF!,7,FALSE)/VLOOKUP("total",#REF!,7,FALSE)-1</f>
        <v>#REF!</v>
      </c>
      <c r="O240" s="152" t="e">
        <f>VLOOKUP("total",#REF!,7,FALSE)</f>
        <v>#REF!</v>
      </c>
      <c r="P240" s="151" t="e">
        <f>VLOOKUP("total",#REF!,8,FALSE)/VLOOKUP("total",#REF!,8,FALSE)-1</f>
        <v>#REF!</v>
      </c>
      <c r="Q240" s="152" t="e">
        <f>VLOOKUP("total",#REF!,8,FALSE)</f>
        <v>#REF!</v>
      </c>
    </row>
    <row r="241" spans="3:13" ht="18" customHeight="1" thickBot="1" x14ac:dyDescent="0.25">
      <c r="C241" s="3"/>
    </row>
    <row r="242" spans="3:13" ht="50.25" customHeight="1" thickBot="1" x14ac:dyDescent="0.25">
      <c r="C242" s="2"/>
      <c r="D242" s="2"/>
      <c r="E242" s="286" t="str">
        <f>$E$1</f>
        <v>INDICADORES TURÍSTICOS DE TENERIFE definitivo</v>
      </c>
      <c r="F242" s="286"/>
      <c r="G242" s="286"/>
      <c r="H242" s="286"/>
      <c r="I242" s="286"/>
      <c r="J242" s="286"/>
      <c r="K242" s="286"/>
      <c r="L242" s="2"/>
      <c r="M242" s="2"/>
    </row>
    <row r="243" spans="3:13" ht="5.25" customHeight="1" thickBot="1" x14ac:dyDescent="0.25">
      <c r="C243" s="3"/>
    </row>
    <row r="244" spans="3:13" ht="28.5" customHeight="1" thickBot="1" x14ac:dyDescent="0.25">
      <c r="C244" s="287" t="s">
        <v>67</v>
      </c>
      <c r="D244" s="288"/>
      <c r="E244" s="288"/>
      <c r="F244" s="288"/>
      <c r="G244" s="288"/>
      <c r="H244" s="288"/>
      <c r="I244" s="288"/>
      <c r="J244" s="288"/>
      <c r="K244" s="288"/>
      <c r="L244" s="288"/>
      <c r="M244" s="289"/>
    </row>
    <row r="245" spans="3:13" ht="5.25" customHeight="1" thickBot="1" x14ac:dyDescent="0.25">
      <c r="C245" s="155"/>
      <c r="D245" s="156"/>
      <c r="E245" s="156"/>
      <c r="F245" s="156"/>
      <c r="G245" s="157"/>
      <c r="H245" s="157"/>
      <c r="I245" s="157"/>
      <c r="J245" s="156"/>
      <c r="K245" s="156"/>
      <c r="L245" s="156"/>
      <c r="M245" s="158"/>
    </row>
    <row r="246" spans="3:13" ht="32.25" customHeight="1" thickTop="1" thickBot="1" x14ac:dyDescent="0.25">
      <c r="C246" s="121"/>
      <c r="D246" s="344" t="s">
        <v>7</v>
      </c>
      <c r="E246" s="345"/>
      <c r="F246" s="344" t="s">
        <v>30</v>
      </c>
      <c r="G246" s="345"/>
      <c r="H246" s="344" t="s">
        <v>31</v>
      </c>
      <c r="I246" s="345"/>
      <c r="J246" s="344" t="s">
        <v>32</v>
      </c>
      <c r="K246" s="345"/>
      <c r="L246" s="344" t="s">
        <v>33</v>
      </c>
      <c r="M246" s="346"/>
    </row>
    <row r="247" spans="3:13" ht="31.5" customHeight="1" thickBot="1" x14ac:dyDescent="0.25">
      <c r="C247" s="122"/>
      <c r="D247" s="159" t="s">
        <v>68</v>
      </c>
      <c r="E247" s="160" t="s">
        <v>69</v>
      </c>
      <c r="F247" s="159" t="s">
        <v>68</v>
      </c>
      <c r="G247" s="160" t="s">
        <v>69</v>
      </c>
      <c r="H247" s="159" t="s">
        <v>68</v>
      </c>
      <c r="I247" s="160" t="s">
        <v>69</v>
      </c>
      <c r="J247" s="159" t="s">
        <v>68</v>
      </c>
      <c r="K247" s="160" t="s">
        <v>69</v>
      </c>
      <c r="L247" s="159" t="s">
        <v>68</v>
      </c>
      <c r="M247" s="161" t="s">
        <v>69</v>
      </c>
    </row>
    <row r="248" spans="3:13" ht="18.75" thickBot="1" x14ac:dyDescent="0.25">
      <c r="C248" s="125" t="s">
        <v>36</v>
      </c>
      <c r="D248" s="162">
        <v>0.27626115435537357</v>
      </c>
      <c r="E248" s="163">
        <v>0.20021644125502808</v>
      </c>
      <c r="F248" s="162">
        <v>0.79370868475039891</v>
      </c>
      <c r="G248" s="163">
        <v>0.69190844749803404</v>
      </c>
      <c r="H248" s="162">
        <v>0.61024575977847006</v>
      </c>
      <c r="I248" s="163">
        <v>0.44499251299216064</v>
      </c>
      <c r="J248" s="162">
        <v>0.59288368541613645</v>
      </c>
      <c r="K248" s="163">
        <v>0.44217465677129647</v>
      </c>
      <c r="L248" s="162">
        <v>0.16483599809350491</v>
      </c>
      <c r="M248" s="164">
        <v>0.11057500494582725</v>
      </c>
    </row>
    <row r="249" spans="3:13" ht="26.25" thickBot="1" x14ac:dyDescent="0.25">
      <c r="C249" s="165" t="s">
        <v>70</v>
      </c>
      <c r="D249" s="166">
        <v>6.932284428055964E-2</v>
      </c>
      <c r="E249" s="167">
        <v>5.0867230797432897E-2</v>
      </c>
      <c r="F249" s="166"/>
      <c r="G249" s="167"/>
      <c r="H249" s="166"/>
      <c r="I249" s="167"/>
      <c r="J249" s="166"/>
      <c r="K249" s="167"/>
      <c r="L249" s="166"/>
      <c r="M249" s="168"/>
    </row>
    <row r="250" spans="3:13" ht="26.25" thickBot="1" x14ac:dyDescent="0.25">
      <c r="C250" s="165" t="s">
        <v>39</v>
      </c>
      <c r="D250" s="166">
        <v>3.1025850566357531E-2</v>
      </c>
      <c r="E250" s="167">
        <v>2.3225019129394699E-2</v>
      </c>
      <c r="F250" s="166"/>
      <c r="G250" s="167"/>
      <c r="H250" s="166"/>
      <c r="I250" s="167"/>
      <c r="J250" s="166"/>
      <c r="K250" s="167"/>
      <c r="L250" s="166"/>
      <c r="M250" s="168"/>
    </row>
    <row r="251" spans="3:13" ht="18.75" thickBot="1" x14ac:dyDescent="0.25">
      <c r="C251" s="165" t="s">
        <v>40</v>
      </c>
      <c r="D251" s="166">
        <v>0.17591245950845638</v>
      </c>
      <c r="E251" s="167">
        <v>0.12612419132818525</v>
      </c>
      <c r="F251" s="166"/>
      <c r="G251" s="167"/>
      <c r="H251" s="166"/>
      <c r="I251" s="167"/>
      <c r="J251" s="166"/>
      <c r="K251" s="167"/>
      <c r="L251" s="166"/>
      <c r="M251" s="168"/>
    </row>
    <row r="252" spans="3:13" ht="18.75" thickBot="1" x14ac:dyDescent="0.25">
      <c r="C252" s="169" t="s">
        <v>41</v>
      </c>
      <c r="D252" s="170">
        <v>2.2249275504892134E-2</v>
      </c>
      <c r="E252" s="171">
        <v>2.8482977932136378E-2</v>
      </c>
      <c r="F252" s="170">
        <v>6.6674264873489856E-3</v>
      </c>
      <c r="G252" s="171">
        <v>7.7811348868010426E-3</v>
      </c>
      <c r="H252" s="170">
        <v>1.6268605053651783E-2</v>
      </c>
      <c r="I252" s="171">
        <v>2.457500220206113E-2</v>
      </c>
      <c r="J252" s="170">
        <v>8.205650292695342E-3</v>
      </c>
      <c r="K252" s="171">
        <v>1.1319234174284824E-2</v>
      </c>
      <c r="L252" s="170">
        <v>2.6772173837687943E-2</v>
      </c>
      <c r="M252" s="172">
        <v>3.3888950006775428E-2</v>
      </c>
    </row>
    <row r="253" spans="3:13" ht="24" customHeight="1" thickBot="1" x14ac:dyDescent="0.25">
      <c r="C253" s="173" t="s">
        <v>42</v>
      </c>
      <c r="D253" s="166">
        <v>2.2298463291564704E-2</v>
      </c>
      <c r="E253" s="167">
        <v>2.7631901540109857E-2</v>
      </c>
      <c r="F253" s="166">
        <v>5.6986551173922951E-3</v>
      </c>
      <c r="G253" s="167">
        <v>6.9864657919788088E-3</v>
      </c>
      <c r="H253" s="166">
        <v>7.6150917272412603E-3</v>
      </c>
      <c r="I253" s="167">
        <v>1.4885933233506562E-2</v>
      </c>
      <c r="J253" s="166">
        <v>9.875286332400101E-3</v>
      </c>
      <c r="K253" s="167">
        <v>9.6222208015869781E-3</v>
      </c>
      <c r="L253" s="166">
        <v>2.6506781056371592E-2</v>
      </c>
      <c r="M253" s="168">
        <v>3.3335583940485761E-2</v>
      </c>
    </row>
    <row r="254" spans="3:13" ht="24" customHeight="1" thickBot="1" x14ac:dyDescent="0.25">
      <c r="C254" s="169" t="s">
        <v>43</v>
      </c>
      <c r="D254" s="170">
        <v>0.10322466931460918</v>
      </c>
      <c r="E254" s="171">
        <v>0.11118355420877797</v>
      </c>
      <c r="F254" s="170">
        <v>1.9318440847959882E-2</v>
      </c>
      <c r="G254" s="171">
        <v>3.5246885476594512E-2</v>
      </c>
      <c r="H254" s="170">
        <v>0.14953271028037382</v>
      </c>
      <c r="I254" s="171">
        <v>0.22328899850259842</v>
      </c>
      <c r="J254" s="170">
        <v>0.17292949860015272</v>
      </c>
      <c r="K254" s="171">
        <v>0.22271944455744952</v>
      </c>
      <c r="L254" s="170">
        <v>8.8308093938212234E-2</v>
      </c>
      <c r="M254" s="172">
        <v>8.7128714741209298E-2</v>
      </c>
    </row>
    <row r="255" spans="3:13" ht="24" customHeight="1" thickBot="1" x14ac:dyDescent="0.25">
      <c r="C255" s="173" t="s">
        <v>44</v>
      </c>
      <c r="D255" s="166">
        <v>2.2361997516016772E-2</v>
      </c>
      <c r="E255" s="167">
        <v>3.4065736650899195E-2</v>
      </c>
      <c r="F255" s="166">
        <v>1.5329382265785275E-2</v>
      </c>
      <c r="G255" s="167">
        <v>2.6480692024336741E-2</v>
      </c>
      <c r="H255" s="166">
        <v>5.1574939425406717E-2</v>
      </c>
      <c r="I255" s="167">
        <v>8.5087642032942834E-2</v>
      </c>
      <c r="J255" s="166">
        <v>2.2132858233647239E-2</v>
      </c>
      <c r="K255" s="167">
        <v>3.3548947018700079E-2</v>
      </c>
      <c r="L255" s="166">
        <v>2.2528597426231638E-2</v>
      </c>
      <c r="M255" s="168">
        <v>3.4077339990094178E-2</v>
      </c>
    </row>
    <row r="256" spans="3:13" ht="24" customHeight="1" thickBot="1" x14ac:dyDescent="0.25">
      <c r="C256" s="169" t="s">
        <v>45</v>
      </c>
      <c r="D256" s="170">
        <v>0.39266610100711991</v>
      </c>
      <c r="E256" s="171">
        <v>0.366020091019092</v>
      </c>
      <c r="F256" s="170">
        <v>3.105767038978801E-2</v>
      </c>
      <c r="G256" s="171">
        <v>4.7680145689334048E-2</v>
      </c>
      <c r="H256" s="170">
        <v>2.9421945309795777E-2</v>
      </c>
      <c r="I256" s="171">
        <v>5.7121465691887606E-2</v>
      </c>
      <c r="J256" s="170">
        <v>7.6039704759480783E-2</v>
      </c>
      <c r="K256" s="171">
        <v>9.9622046450898005E-2</v>
      </c>
      <c r="L256" s="170">
        <v>0.49691548593959878</v>
      </c>
      <c r="M256" s="172">
        <v>0.45241783670696195</v>
      </c>
    </row>
    <row r="257" spans="3:13" ht="24" customHeight="1" thickBot="1" x14ac:dyDescent="0.25">
      <c r="C257" s="173" t="s">
        <v>46</v>
      </c>
      <c r="D257" s="166">
        <v>2.3987243967322915E-2</v>
      </c>
      <c r="E257" s="167">
        <v>1.7874764324922535E-2</v>
      </c>
      <c r="F257" s="166">
        <v>3.7611123774789149E-3</v>
      </c>
      <c r="G257" s="167">
        <v>5.0494598733496132E-3</v>
      </c>
      <c r="H257" s="166">
        <v>2.4229837313949464E-3</v>
      </c>
      <c r="I257" s="167">
        <v>4.668369593939928E-3</v>
      </c>
      <c r="J257" s="166">
        <v>7.0450496309493512E-3</v>
      </c>
      <c r="K257" s="167">
        <v>5.5269168405330483E-3</v>
      </c>
      <c r="L257" s="166">
        <v>2.962379219203605E-2</v>
      </c>
      <c r="M257" s="168">
        <v>2.1757390529602488E-2</v>
      </c>
    </row>
    <row r="258" spans="3:13" ht="24" customHeight="1" thickBot="1" x14ac:dyDescent="0.25">
      <c r="C258" s="169" t="s">
        <v>47</v>
      </c>
      <c r="D258" s="170">
        <v>2.2019732500420146E-2</v>
      </c>
      <c r="E258" s="171">
        <v>2.7225084144598025E-2</v>
      </c>
      <c r="F258" s="170">
        <v>2.182584909961249E-2</v>
      </c>
      <c r="G258" s="171">
        <v>3.1281817805554404E-2</v>
      </c>
      <c r="H258" s="170">
        <v>2.9768085842852197E-2</v>
      </c>
      <c r="I258" s="171">
        <v>2.8935083237910685E-2</v>
      </c>
      <c r="J258" s="170">
        <v>1.4293713413082209E-2</v>
      </c>
      <c r="K258" s="171">
        <v>1.5125890883589919E-2</v>
      </c>
      <c r="L258" s="170">
        <v>2.402346288834005E-2</v>
      </c>
      <c r="M258" s="172">
        <v>2.9924261560841704E-2</v>
      </c>
    </row>
    <row r="259" spans="3:13" ht="24" customHeight="1" thickBot="1" x14ac:dyDescent="0.25">
      <c r="C259" s="173" t="s">
        <v>48</v>
      </c>
      <c r="D259" s="166">
        <v>1.044215721236417E-2</v>
      </c>
      <c r="E259" s="167">
        <v>8.5520936875260786E-2</v>
      </c>
      <c r="F259" s="166">
        <v>7.3512651014360601E-3</v>
      </c>
      <c r="G259" s="167">
        <v>4.1951905964157113E-2</v>
      </c>
      <c r="H259" s="166">
        <v>2.0768431983385254E-3</v>
      </c>
      <c r="I259" s="167">
        <v>1.365277900114507E-2</v>
      </c>
      <c r="J259" s="166">
        <v>6.4749300076355305E-3</v>
      </c>
      <c r="K259" s="167">
        <v>6.7099831267277671E-2</v>
      </c>
      <c r="L259" s="166">
        <v>1.1709779453182547E-2</v>
      </c>
      <c r="M259" s="168">
        <v>9.326626209248863E-2</v>
      </c>
    </row>
    <row r="260" spans="3:13" ht="24" customHeight="1" thickBot="1" x14ac:dyDescent="0.25">
      <c r="C260" s="174" t="s">
        <v>49</v>
      </c>
      <c r="D260" s="170">
        <v>3.18900816927157E-3</v>
      </c>
      <c r="E260" s="171">
        <v>3.109128946353746E-2</v>
      </c>
      <c r="F260" s="170">
        <v>3.2482334169136083E-3</v>
      </c>
      <c r="G260" s="171">
        <v>1.5653325607383799E-2</v>
      </c>
      <c r="H260" s="170">
        <v>3.4614053305642093E-4</v>
      </c>
      <c r="I260" s="171">
        <v>4.5362459261869105E-3</v>
      </c>
      <c r="J260" s="170">
        <v>1.5678289641130059E-3</v>
      </c>
      <c r="K260" s="171">
        <v>1.9099149362360787E-2</v>
      </c>
      <c r="L260" s="170">
        <v>3.6396724294813468E-3</v>
      </c>
      <c r="M260" s="172">
        <v>3.5179350569206881E-2</v>
      </c>
    </row>
    <row r="261" spans="3:13" ht="24" customHeight="1" thickBot="1" x14ac:dyDescent="0.25">
      <c r="C261" s="165" t="s">
        <v>50</v>
      </c>
      <c r="D261" s="166">
        <v>2.6049032025348105E-3</v>
      </c>
      <c r="E261" s="167">
        <v>1.5007601725049764E-2</v>
      </c>
      <c r="F261" s="166">
        <v>2.6783679051743787E-3</v>
      </c>
      <c r="G261" s="167">
        <v>9.9995861098464475E-3</v>
      </c>
      <c r="H261" s="166">
        <v>6.9228106611284187E-4</v>
      </c>
      <c r="I261" s="167">
        <v>1.7616489033735576E-3</v>
      </c>
      <c r="J261" s="166">
        <v>1.9037923135657928E-3</v>
      </c>
      <c r="K261" s="167">
        <v>7.8670905325638665E-3</v>
      </c>
      <c r="L261" s="166">
        <v>2.8028727414532691E-3</v>
      </c>
      <c r="M261" s="168">
        <v>1.7175595045579518E-2</v>
      </c>
    </row>
    <row r="262" spans="3:13" ht="24" customHeight="1" thickBot="1" x14ac:dyDescent="0.25">
      <c r="C262" s="174" t="s">
        <v>51</v>
      </c>
      <c r="D262" s="170">
        <v>3.6357972315474068E-3</v>
      </c>
      <c r="E262" s="171">
        <v>2.0310628482473912E-2</v>
      </c>
      <c r="F262" s="170">
        <v>6.8383861408707544E-4</v>
      </c>
      <c r="G262" s="171">
        <v>7.0444104134762637E-3</v>
      </c>
      <c r="H262" s="170">
        <v>1.0384215991692627E-3</v>
      </c>
      <c r="I262" s="171">
        <v>5.4170703778736902E-3</v>
      </c>
      <c r="J262" s="170">
        <v>2.3415627386103332E-3</v>
      </c>
      <c r="K262" s="171">
        <v>1.2028260309453101E-2</v>
      </c>
      <c r="L262" s="170">
        <v>4.1406690064560853E-3</v>
      </c>
      <c r="M262" s="172">
        <v>2.324562418228596E-2</v>
      </c>
    </row>
    <row r="263" spans="3:13" ht="24" customHeight="1" thickBot="1" x14ac:dyDescent="0.25">
      <c r="C263" s="165" t="s">
        <v>52</v>
      </c>
      <c r="D263" s="166">
        <v>1.0124486090103827E-3</v>
      </c>
      <c r="E263" s="167">
        <v>1.9111417204199652E-2</v>
      </c>
      <c r="F263" s="166">
        <v>7.4082516526099843E-4</v>
      </c>
      <c r="G263" s="167">
        <v>9.2545838334506022E-3</v>
      </c>
      <c r="H263" s="166">
        <v>0</v>
      </c>
      <c r="I263" s="167">
        <v>1.9378137937109134E-3</v>
      </c>
      <c r="J263" s="166">
        <v>6.6174599134639857E-4</v>
      </c>
      <c r="K263" s="167">
        <v>2.8105331062899915E-2</v>
      </c>
      <c r="L263" s="166">
        <v>1.1265652757918455E-3</v>
      </c>
      <c r="M263" s="168">
        <v>1.7665692295416268E-2</v>
      </c>
    </row>
    <row r="264" spans="3:13" ht="24" customHeight="1" thickBot="1" x14ac:dyDescent="0.25">
      <c r="C264" s="169" t="s">
        <v>53</v>
      </c>
      <c r="D264" s="170">
        <v>6.7366772830306232E-3</v>
      </c>
      <c r="E264" s="171">
        <v>9.3024377722391409E-3</v>
      </c>
      <c r="F264" s="170">
        <v>3.1912468657396852E-3</v>
      </c>
      <c r="G264" s="171">
        <v>5.9517404080956914E-3</v>
      </c>
      <c r="H264" s="170">
        <v>2.9768085842852197E-2</v>
      </c>
      <c r="I264" s="171">
        <v>2.1051704395314015E-2</v>
      </c>
      <c r="J264" s="170">
        <v>5.7215576482565539E-3</v>
      </c>
      <c r="K264" s="171">
        <v>9.1475994815972839E-3</v>
      </c>
      <c r="L264" s="170">
        <v>6.9949954504094636E-3</v>
      </c>
      <c r="M264" s="172">
        <v>9.4053345055376738E-3</v>
      </c>
    </row>
    <row r="265" spans="3:13" ht="24" customHeight="1" thickBot="1" x14ac:dyDescent="0.25">
      <c r="C265" s="173" t="s">
        <v>54</v>
      </c>
      <c r="D265" s="166">
        <v>4.1912093227251673E-3</v>
      </c>
      <c r="E265" s="167">
        <v>6.196584965973145E-3</v>
      </c>
      <c r="F265" s="166">
        <v>9.6877136995669017E-4</v>
      </c>
      <c r="G265" s="167">
        <v>2.9551756963701833E-3</v>
      </c>
      <c r="H265" s="166">
        <v>1.0038075458636206E-2</v>
      </c>
      <c r="I265" s="167">
        <v>1.2243459878446225E-2</v>
      </c>
      <c r="J265" s="166">
        <v>5.0598116569101556E-3</v>
      </c>
      <c r="K265" s="167">
        <v>7.6656186253029343E-3</v>
      </c>
      <c r="L265" s="166">
        <v>4.0675505871138268E-3</v>
      </c>
      <c r="M265" s="168">
        <v>5.9586004748938479E-3</v>
      </c>
    </row>
    <row r="266" spans="3:13" ht="24" customHeight="1" thickBot="1" x14ac:dyDescent="0.25">
      <c r="C266" s="169" t="s">
        <v>55</v>
      </c>
      <c r="D266" s="170">
        <v>1.8162590228846177E-2</v>
      </c>
      <c r="E266" s="171">
        <v>1.500220149413589E-2</v>
      </c>
      <c r="F266" s="170">
        <v>5.4137223615226809E-3</v>
      </c>
      <c r="G266" s="171">
        <v>7.3920781424609908E-3</v>
      </c>
      <c r="H266" s="170">
        <v>1.0384215991692627E-3</v>
      </c>
      <c r="I266" s="171">
        <v>5.8134413811327399E-3</v>
      </c>
      <c r="J266" s="170">
        <v>7.6253499618223466E-3</v>
      </c>
      <c r="K266" s="171">
        <v>7.8012247167285609E-3</v>
      </c>
      <c r="L266" s="170">
        <v>2.1705338186229908E-2</v>
      </c>
      <c r="M266" s="172">
        <v>1.7289856639472093E-2</v>
      </c>
    </row>
    <row r="267" spans="3:13" ht="24" customHeight="1" thickBot="1" x14ac:dyDescent="0.25">
      <c r="C267" s="173" t="s">
        <v>56</v>
      </c>
      <c r="D267" s="166">
        <v>2.9543414370211876E-2</v>
      </c>
      <c r="E267" s="167">
        <v>2.5879706616254911E-2</v>
      </c>
      <c r="F267" s="166">
        <v>8.4909961249145204E-3</v>
      </c>
      <c r="G267" s="167">
        <v>1.1299201192003642E-2</v>
      </c>
      <c r="H267" s="166">
        <v>7.2689511941848393E-3</v>
      </c>
      <c r="I267" s="167">
        <v>8.0595437329340266E-3</v>
      </c>
      <c r="J267" s="166">
        <v>2.4352252481547466E-2</v>
      </c>
      <c r="K267" s="167">
        <v>1.8116973814463744E-2</v>
      </c>
      <c r="L267" s="166">
        <v>3.2098986091251787E-2</v>
      </c>
      <c r="M267" s="168">
        <v>2.8794393816275857E-2</v>
      </c>
    </row>
    <row r="268" spans="3:13" ht="24" customHeight="1" thickBot="1" x14ac:dyDescent="0.25">
      <c r="C268" s="169" t="s">
        <v>57</v>
      </c>
      <c r="D268" s="170">
        <v>2.9045388030152112E-2</v>
      </c>
      <c r="E268" s="171">
        <v>2.7475294843607511E-2</v>
      </c>
      <c r="F268" s="170">
        <v>2.3250512878960565E-2</v>
      </c>
      <c r="G268" s="171">
        <v>2.8243864078473572E-2</v>
      </c>
      <c r="H268" s="170">
        <v>8.6535133264105234E-3</v>
      </c>
      <c r="I268" s="171">
        <v>1.374086144631375E-2</v>
      </c>
      <c r="J268" s="170">
        <v>3.1356579282260121E-2</v>
      </c>
      <c r="K268" s="171">
        <v>3.2758557228676426E-2</v>
      </c>
      <c r="L268" s="170">
        <v>2.8865527102560771E-2</v>
      </c>
      <c r="M268" s="172">
        <v>2.6291026168265778E-2</v>
      </c>
    </row>
    <row r="269" spans="3:13" ht="24" customHeight="1" thickBot="1" x14ac:dyDescent="0.25">
      <c r="C269" s="173" t="s">
        <v>58</v>
      </c>
      <c r="D269" s="166">
        <v>3.8284493960149693E-3</v>
      </c>
      <c r="E269" s="167">
        <v>3.8507246569863328E-3</v>
      </c>
      <c r="F269" s="166">
        <v>1.156826988830636E-2</v>
      </c>
      <c r="G269" s="167">
        <v>1.1092256115227019E-2</v>
      </c>
      <c r="H269" s="166">
        <v>1.9383869851159571E-2</v>
      </c>
      <c r="I269" s="167">
        <v>1.5238263014181274E-2</v>
      </c>
      <c r="J269" s="166">
        <v>2.3415627386103332E-3</v>
      </c>
      <c r="K269" s="167">
        <v>3.337847078947929E-3</v>
      </c>
      <c r="L269" s="166">
        <v>3.7344555656657567E-3</v>
      </c>
      <c r="M269" s="168">
        <v>3.4405960111372003E-3</v>
      </c>
    </row>
    <row r="270" spans="3:13" ht="24" customHeight="1" thickBot="1" x14ac:dyDescent="0.25">
      <c r="C270" s="169" t="s">
        <v>59</v>
      </c>
      <c r="D270" s="170">
        <v>3.2054040981624263E-3</v>
      </c>
      <c r="E270" s="171">
        <v>3.2797402416927346E-3</v>
      </c>
      <c r="F270" s="170">
        <v>1.8406656029177113E-2</v>
      </c>
      <c r="G270" s="171">
        <v>1.5611936592028476E-2</v>
      </c>
      <c r="H270" s="170">
        <v>8.9996538594669436E-3</v>
      </c>
      <c r="I270" s="171">
        <v>9.0284506297894831E-3</v>
      </c>
      <c r="J270" s="170">
        <v>3.6955968439806568E-3</v>
      </c>
      <c r="K270" s="171">
        <v>3.8434640769777666E-3</v>
      </c>
      <c r="L270" s="170">
        <v>2.3072923436890679E-3</v>
      </c>
      <c r="M270" s="172">
        <v>2.3773021704509129E-3</v>
      </c>
    </row>
    <row r="271" spans="3:13" ht="24" customHeight="1" thickBot="1" x14ac:dyDescent="0.25">
      <c r="C271" s="173" t="s">
        <v>60</v>
      </c>
      <c r="D271" s="166">
        <v>9.7760726011731289E-3</v>
      </c>
      <c r="E271" s="167">
        <v>1.0791821458285557E-2</v>
      </c>
      <c r="F271" s="166">
        <v>2.3991338044221565E-2</v>
      </c>
      <c r="G271" s="167">
        <v>2.3086792765200117E-2</v>
      </c>
      <c r="H271" s="166">
        <v>1.5922464520595363E-2</v>
      </c>
      <c r="I271" s="167">
        <v>1.7616489033735576E-2</v>
      </c>
      <c r="J271" s="166">
        <v>9.9669127004326803E-3</v>
      </c>
      <c r="K271" s="167">
        <v>1.0569526211688858E-2</v>
      </c>
      <c r="L271" s="166">
        <v>9.0016898479136874E-3</v>
      </c>
      <c r="M271" s="168">
        <v>1.0071545699679926E-2</v>
      </c>
    </row>
    <row r="272" spans="3:13" ht="30.75" customHeight="1" thickBot="1" x14ac:dyDescent="0.25">
      <c r="C272" s="175" t="s">
        <v>61</v>
      </c>
      <c r="D272" s="176">
        <v>0.72373884564462643</v>
      </c>
      <c r="E272" s="177">
        <v>0.79978355874497198</v>
      </c>
      <c r="F272" s="176">
        <v>0.20629131524960109</v>
      </c>
      <c r="G272" s="177">
        <v>0.30809155250196596</v>
      </c>
      <c r="H272" s="176">
        <v>0.38975424022152994</v>
      </c>
      <c r="I272" s="177">
        <v>0.55500748700783942</v>
      </c>
      <c r="J272" s="176">
        <v>0.40711631458386355</v>
      </c>
      <c r="K272" s="177">
        <v>0.55782534322870347</v>
      </c>
      <c r="L272" s="176">
        <v>0.83516400190649509</v>
      </c>
      <c r="M272" s="178">
        <v>0.88942499505417272</v>
      </c>
    </row>
    <row r="273" spans="3:18" ht="24" customHeight="1" thickBot="1" x14ac:dyDescent="0.25">
      <c r="C273" s="179" t="s">
        <v>8</v>
      </c>
      <c r="D273" s="180">
        <v>1</v>
      </c>
      <c r="E273" s="181">
        <v>1</v>
      </c>
      <c r="F273" s="180">
        <v>1</v>
      </c>
      <c r="G273" s="181">
        <v>1</v>
      </c>
      <c r="H273" s="180">
        <v>1</v>
      </c>
      <c r="I273" s="181">
        <v>1</v>
      </c>
      <c r="J273" s="180">
        <v>1</v>
      </c>
      <c r="K273" s="181">
        <v>1</v>
      </c>
      <c r="L273" s="180">
        <v>1</v>
      </c>
      <c r="M273" s="182">
        <v>1</v>
      </c>
    </row>
    <row r="274" spans="3:18" ht="18" customHeight="1" x14ac:dyDescent="0.2">
      <c r="C274" s="183"/>
      <c r="D274" s="184"/>
      <c r="E274" s="185"/>
      <c r="F274" s="184"/>
      <c r="G274" s="185"/>
      <c r="H274" s="184"/>
      <c r="I274" s="185"/>
      <c r="J274" s="184"/>
      <c r="K274" s="185"/>
      <c r="L274" s="184"/>
      <c r="M274" s="185"/>
      <c r="N274" s="186"/>
    </row>
    <row r="275" spans="3:18" ht="5.25" customHeight="1" thickBot="1" x14ac:dyDescent="0.25"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</row>
    <row r="276" spans="3:18" ht="20.100000000000001" customHeight="1" thickBot="1" x14ac:dyDescent="0.25">
      <c r="C276" s="262" t="s">
        <v>71</v>
      </c>
      <c r="D276" s="263"/>
      <c r="E276" s="263"/>
      <c r="F276" s="263"/>
      <c r="G276" s="263"/>
      <c r="H276" s="263"/>
      <c r="I276" s="263"/>
      <c r="J276" s="263"/>
      <c r="K276" s="263"/>
      <c r="L276" s="263"/>
      <c r="M276" s="264"/>
    </row>
    <row r="277" spans="3:18" ht="5.25" customHeight="1" x14ac:dyDescent="0.2"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105"/>
    </row>
    <row r="278" spans="3:18" ht="45.75" customHeight="1" x14ac:dyDescent="0.2">
      <c r="C278" s="315" t="s">
        <v>7</v>
      </c>
      <c r="D278" s="326" t="s">
        <v>72</v>
      </c>
      <c r="E278" s="187" t="s">
        <v>73</v>
      </c>
      <c r="F278" s="188">
        <v>1125.1486422527528</v>
      </c>
      <c r="G278" s="189">
        <v>5.7854971766462482E-2</v>
      </c>
      <c r="H278" s="329" t="s">
        <v>95</v>
      </c>
      <c r="I278" s="329"/>
      <c r="J278" s="329"/>
      <c r="K278" s="329"/>
      <c r="L278" s="330"/>
      <c r="M278" s="269" t="s">
        <v>99</v>
      </c>
      <c r="O278" s="99"/>
      <c r="R278" s="99"/>
    </row>
    <row r="279" spans="3:18" ht="45.75" customHeight="1" x14ac:dyDescent="0.2">
      <c r="C279" s="315"/>
      <c r="D279" s="327"/>
      <c r="E279" s="190" t="s">
        <v>74</v>
      </c>
      <c r="F279" s="191">
        <v>740.38139475498474</v>
      </c>
      <c r="G279" s="192">
        <v>6.036874797643943E-2</v>
      </c>
      <c r="H279" s="331" t="s">
        <v>96</v>
      </c>
      <c r="I279" s="332"/>
      <c r="J279" s="332"/>
      <c r="K279" s="332"/>
      <c r="L279" s="333"/>
      <c r="M279" s="269"/>
      <c r="O279" s="99"/>
      <c r="R279" s="99"/>
    </row>
    <row r="280" spans="3:18" ht="45.75" customHeight="1" thickBot="1" x14ac:dyDescent="0.25">
      <c r="C280" s="315"/>
      <c r="D280" s="328"/>
      <c r="E280" s="193" t="s">
        <v>75</v>
      </c>
      <c r="F280" s="194">
        <v>387.67482844824917</v>
      </c>
      <c r="G280" s="195">
        <v>5.5110229475464179E-2</v>
      </c>
      <c r="H280" s="334" t="str">
        <f>CONCATENATE("El gasto medio por turista en destino ascendió a ",FIXED(F280,1),"€. Experimenta un ",IF(G280&gt;0,"incremento del ","descenso del "),FIXED(G280*100,1),"% respecto al miso periodo del año anterior.")</f>
        <v>El gasto medio por turista en destino ascendió a 387,7€. Experimenta un incremento del 5,5% respecto al miso periodo del año anterior.</v>
      </c>
      <c r="I280" s="335"/>
      <c r="J280" s="335"/>
      <c r="K280" s="335"/>
      <c r="L280" s="336"/>
      <c r="M280" s="269"/>
      <c r="O280" s="99"/>
      <c r="R280" s="99"/>
    </row>
    <row r="281" spans="3:18" ht="45.75" customHeight="1" thickTop="1" x14ac:dyDescent="0.2">
      <c r="C281" s="315"/>
      <c r="D281" s="337" t="s">
        <v>76</v>
      </c>
      <c r="E281" s="196" t="s">
        <v>73</v>
      </c>
      <c r="F281" s="197">
        <v>116.05498752962366</v>
      </c>
      <c r="G281" s="198">
        <v>2.8921260303419905E-2</v>
      </c>
      <c r="H281" s="340" t="s">
        <v>97</v>
      </c>
      <c r="I281" s="341"/>
      <c r="J281" s="341"/>
      <c r="K281" s="341"/>
      <c r="L281" s="342"/>
      <c r="M281" s="269"/>
      <c r="O281" s="99"/>
      <c r="R281" s="99"/>
    </row>
    <row r="282" spans="3:18" ht="45.75" customHeight="1" x14ac:dyDescent="0.2">
      <c r="C282" s="315"/>
      <c r="D282" s="338"/>
      <c r="E282" s="199" t="s">
        <v>74</v>
      </c>
      <c r="F282" s="200">
        <v>76.380484610325709</v>
      </c>
      <c r="G282" s="192">
        <v>3.2007171130422396E-2</v>
      </c>
      <c r="H282" s="343" t="str">
        <f>CONCATENATE("La media del gasto diario por turista en origen fue de ",FIXED(F282,1),"€, ",IF(G282&gt;0,"aumentando un ","disminuyendo un "),FIXED(G282*100,1),"% respecto al mismo período del año anterior.")</f>
        <v>La media del gasto diario por turista en origen fue de 76,4€, aumentando un 3,2% respecto al mismo período del año anterior.</v>
      </c>
      <c r="I282" s="332"/>
      <c r="J282" s="332"/>
      <c r="K282" s="332"/>
      <c r="L282" s="333"/>
      <c r="M282" s="269"/>
      <c r="O282" s="99"/>
      <c r="R282" s="99"/>
    </row>
    <row r="283" spans="3:18" ht="45.75" customHeight="1" x14ac:dyDescent="0.2">
      <c r="C283" s="315"/>
      <c r="D283" s="339"/>
      <c r="E283" s="201" t="s">
        <v>75</v>
      </c>
      <c r="F283" s="202">
        <v>39.805978530376997</v>
      </c>
      <c r="G283" s="203">
        <v>1.9418089374815706E-2</v>
      </c>
      <c r="H283" s="312" t="s">
        <v>98</v>
      </c>
      <c r="I283" s="313"/>
      <c r="J283" s="313"/>
      <c r="K283" s="313"/>
      <c r="L283" s="314"/>
      <c r="M283" s="269"/>
      <c r="O283" s="99"/>
      <c r="R283" s="99"/>
    </row>
    <row r="284" spans="3:18" ht="5.25" customHeight="1" thickBot="1" x14ac:dyDescent="0.25">
      <c r="C284" s="204"/>
      <c r="D284" s="204"/>
      <c r="E284" s="204"/>
      <c r="F284" s="204"/>
      <c r="G284" s="204"/>
      <c r="H284" s="204"/>
      <c r="I284" s="204"/>
      <c r="J284" s="204"/>
      <c r="K284" s="204"/>
      <c r="L284" s="204"/>
      <c r="M284" s="205"/>
      <c r="N284" s="186"/>
      <c r="O284" s="99"/>
      <c r="R284" s="99"/>
    </row>
    <row r="285" spans="3:18" ht="19.5" customHeight="1" thickBot="1" x14ac:dyDescent="0.25">
      <c r="C285" s="262" t="s">
        <v>77</v>
      </c>
      <c r="D285" s="263"/>
      <c r="E285" s="263"/>
      <c r="F285" s="263"/>
      <c r="G285" s="263"/>
      <c r="H285" s="263"/>
      <c r="I285" s="263"/>
      <c r="J285" s="263"/>
      <c r="K285" s="263"/>
      <c r="L285" s="263"/>
      <c r="M285" s="264"/>
      <c r="N285" s="186"/>
      <c r="O285" s="99"/>
      <c r="P285" s="99"/>
      <c r="Q285" s="99"/>
    </row>
    <row r="286" spans="3:18" ht="5.25" customHeight="1" x14ac:dyDescent="0.2"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105"/>
      <c r="N286" s="186"/>
      <c r="O286" s="99"/>
      <c r="P286" s="99"/>
      <c r="Q286" s="99"/>
    </row>
    <row r="287" spans="3:18" s="99" customFormat="1" ht="47.25" customHeight="1" thickBot="1" x14ac:dyDescent="0.25">
      <c r="C287" s="315" t="s">
        <v>7</v>
      </c>
      <c r="D287" s="316"/>
      <c r="E287" s="206" t="s">
        <v>8</v>
      </c>
      <c r="F287" s="207">
        <v>137179</v>
      </c>
      <c r="G287" s="208">
        <v>4.4371874382198584E-3</v>
      </c>
      <c r="H287" s="317" t="s">
        <v>100</v>
      </c>
      <c r="I287" s="317"/>
      <c r="J287" s="317"/>
      <c r="K287" s="317"/>
      <c r="L287" s="318"/>
      <c r="M287" s="269" t="s">
        <v>78</v>
      </c>
      <c r="Q287" s="209"/>
    </row>
    <row r="288" spans="3:18" s="99" customFormat="1" ht="47.25" customHeight="1" thickTop="1" thickBot="1" x14ac:dyDescent="0.25">
      <c r="C288" s="315"/>
      <c r="D288" s="316"/>
      <c r="E288" s="210" t="s">
        <v>79</v>
      </c>
      <c r="F288" s="211">
        <v>84083</v>
      </c>
      <c r="G288" s="212">
        <v>-5.7115152661826318E-3</v>
      </c>
      <c r="H288" s="319" t="s">
        <v>101</v>
      </c>
      <c r="I288" s="320"/>
      <c r="J288" s="320"/>
      <c r="K288" s="320"/>
      <c r="L288" s="321"/>
      <c r="M288" s="269"/>
      <c r="O288" s="213"/>
      <c r="Q288" s="209"/>
    </row>
    <row r="289" spans="3:20" s="99" customFormat="1" ht="47.25" customHeight="1" thickTop="1" thickBot="1" x14ac:dyDescent="0.25">
      <c r="C289" s="315"/>
      <c r="D289" s="316"/>
      <c r="E289" s="214" t="s">
        <v>80</v>
      </c>
      <c r="F289" s="215">
        <v>51626</v>
      </c>
      <c r="G289" s="212">
        <v>2.1366675899180843E-2</v>
      </c>
      <c r="H289" s="322" t="s">
        <v>102</v>
      </c>
      <c r="I289" s="320"/>
      <c r="J289" s="320"/>
      <c r="K289" s="320"/>
      <c r="L289" s="321"/>
      <c r="M289" s="269"/>
      <c r="O289" s="213"/>
      <c r="Q289" s="209"/>
    </row>
    <row r="290" spans="3:20" s="99" customFormat="1" ht="47.25" customHeight="1" thickTop="1" thickBot="1" x14ac:dyDescent="0.25">
      <c r="C290" s="315"/>
      <c r="D290" s="316"/>
      <c r="E290" s="210" t="s">
        <v>81</v>
      </c>
      <c r="F290" s="211">
        <v>557</v>
      </c>
      <c r="G290" s="212">
        <v>0</v>
      </c>
      <c r="H290" s="319" t="s">
        <v>103</v>
      </c>
      <c r="I290" s="320"/>
      <c r="J290" s="320"/>
      <c r="K290" s="320"/>
      <c r="L290" s="321"/>
      <c r="M290" s="269"/>
      <c r="O290" s="213"/>
      <c r="Q290" s="209"/>
    </row>
    <row r="291" spans="3:20" s="99" customFormat="1" ht="47.25" customHeight="1" thickTop="1" x14ac:dyDescent="0.2">
      <c r="C291" s="315"/>
      <c r="D291" s="316"/>
      <c r="E291" s="216" t="s">
        <v>82</v>
      </c>
      <c r="F291" s="217">
        <v>913</v>
      </c>
      <c r="G291" s="218">
        <v>9.9557522123894238E-3</v>
      </c>
      <c r="H291" s="323" t="s">
        <v>104</v>
      </c>
      <c r="I291" s="324"/>
      <c r="J291" s="324"/>
      <c r="K291" s="324"/>
      <c r="L291" s="325"/>
      <c r="M291" s="269"/>
      <c r="O291" s="213"/>
      <c r="Q291" s="209"/>
    </row>
    <row r="292" spans="3:20" ht="5.25" customHeight="1" x14ac:dyDescent="0.2">
      <c r="C292" s="59" t="s">
        <v>83</v>
      </c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219"/>
      <c r="P292" s="99"/>
      <c r="Q292" s="99"/>
      <c r="R292" s="99"/>
    </row>
    <row r="293" spans="3:20" s="1" customFormat="1" ht="18.75" customHeight="1" thickBot="1" x14ac:dyDescent="0.25"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219"/>
      <c r="P293" s="220"/>
      <c r="Q293" s="220"/>
      <c r="R293" s="220"/>
    </row>
    <row r="294" spans="3:20" ht="50.25" customHeight="1" thickBot="1" x14ac:dyDescent="0.25">
      <c r="C294" s="2"/>
      <c r="D294" s="2"/>
      <c r="E294" s="286" t="str">
        <f>E242</f>
        <v>INDICADORES TURÍSTICOS DE TENERIFE definitivo</v>
      </c>
      <c r="F294" s="286"/>
      <c r="G294" s="286"/>
      <c r="H294" s="286"/>
      <c r="I294" s="286"/>
      <c r="J294" s="286"/>
      <c r="K294" s="286"/>
      <c r="L294" s="2"/>
      <c r="M294" s="2"/>
      <c r="O294" s="99"/>
      <c r="P294" s="99"/>
      <c r="Q294" s="99"/>
      <c r="R294" s="99"/>
      <c r="S294" s="99"/>
      <c r="T294" s="99"/>
    </row>
    <row r="295" spans="3:20" ht="5.25" customHeight="1" thickBot="1" x14ac:dyDescent="0.25">
      <c r="C295" s="3"/>
      <c r="O295" s="99"/>
      <c r="P295" s="99"/>
      <c r="Q295" s="99"/>
      <c r="R295" s="99"/>
      <c r="S295" s="99"/>
      <c r="T295" s="99"/>
    </row>
    <row r="296" spans="3:20" ht="18" customHeight="1" thickBot="1" x14ac:dyDescent="0.25">
      <c r="C296" s="287" t="s">
        <v>84</v>
      </c>
      <c r="D296" s="288"/>
      <c r="E296" s="288"/>
      <c r="F296" s="288"/>
      <c r="G296" s="288"/>
      <c r="H296" s="288"/>
      <c r="I296" s="288"/>
      <c r="J296" s="288"/>
      <c r="K296" s="288"/>
      <c r="L296" s="288"/>
      <c r="M296" s="289"/>
      <c r="O296" s="99"/>
      <c r="P296" s="99"/>
      <c r="Q296" s="99"/>
      <c r="R296" s="99"/>
      <c r="S296" s="99"/>
      <c r="T296" s="99"/>
    </row>
    <row r="297" spans="3:20" ht="5.25" customHeight="1" x14ac:dyDescent="0.2"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105"/>
      <c r="N297" s="186"/>
      <c r="O297" s="99"/>
      <c r="P297" s="99"/>
      <c r="Q297" s="99"/>
      <c r="R297" s="99"/>
      <c r="S297" s="99"/>
      <c r="T297" s="99"/>
    </row>
    <row r="298" spans="3:20" ht="27.75" customHeight="1" x14ac:dyDescent="0.2">
      <c r="C298" s="290" t="s">
        <v>7</v>
      </c>
      <c r="D298" s="291"/>
      <c r="E298" s="221" t="s">
        <v>8</v>
      </c>
      <c r="F298" s="23">
        <v>159070</v>
      </c>
      <c r="G298" s="222">
        <v>4.7753199338025354E-3</v>
      </c>
      <c r="H298" s="296" t="s">
        <v>105</v>
      </c>
      <c r="I298" s="296"/>
      <c r="J298" s="296"/>
      <c r="K298" s="296"/>
      <c r="L298" s="297"/>
      <c r="M298" s="269" t="s">
        <v>9</v>
      </c>
      <c r="O298" s="99"/>
      <c r="P298" s="99"/>
      <c r="Q298" s="99"/>
      <c r="R298" s="99"/>
      <c r="S298" s="99"/>
      <c r="T298" s="99"/>
    </row>
    <row r="299" spans="3:20" ht="34.5" customHeight="1" x14ac:dyDescent="0.2">
      <c r="C299" s="292"/>
      <c r="D299" s="293"/>
      <c r="E299" s="223" t="s">
        <v>85</v>
      </c>
      <c r="F299" s="30">
        <v>92778</v>
      </c>
      <c r="G299" s="94">
        <v>2.5718608169440493E-3</v>
      </c>
      <c r="H299" s="298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92.778 plazas, un 58,3% del total de plazas. Aumentan un 0,3% respecto al mismo periodo del año anterior.</v>
      </c>
      <c r="I299" s="298"/>
      <c r="J299" s="298"/>
      <c r="K299" s="298"/>
      <c r="L299" s="299"/>
      <c r="M299" s="269"/>
      <c r="O299" s="99"/>
      <c r="P299" s="99"/>
      <c r="Q299" s="99"/>
      <c r="R299" s="99"/>
      <c r="S299" s="99"/>
      <c r="T299" s="99"/>
    </row>
    <row r="300" spans="3:20" ht="41.25" customHeight="1" thickBot="1" x14ac:dyDescent="0.25">
      <c r="C300" s="294"/>
      <c r="D300" s="295"/>
      <c r="E300" s="224" t="s">
        <v>86</v>
      </c>
      <c r="F300" s="225">
        <v>66292</v>
      </c>
      <c r="G300" s="226">
        <v>7.8754523063824244E-3</v>
      </c>
      <c r="H300" s="300" t="s">
        <v>106</v>
      </c>
      <c r="I300" s="300"/>
      <c r="J300" s="300"/>
      <c r="K300" s="300"/>
      <c r="L300" s="301"/>
      <c r="M300" s="269"/>
      <c r="Q300" s="227"/>
    </row>
    <row r="301" spans="3:20" ht="34.5" hidden="1" customHeight="1" x14ac:dyDescent="0.2">
      <c r="C301" s="302" t="s">
        <v>12</v>
      </c>
      <c r="D301" s="303"/>
      <c r="E301" s="228" t="s">
        <v>8</v>
      </c>
      <c r="F301" s="229">
        <v>2879</v>
      </c>
      <c r="G301" s="230">
        <v>8.9292470677260649E-2</v>
      </c>
      <c r="H301" s="280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-1,6%.</v>
      </c>
      <c r="I301" s="280"/>
      <c r="J301" s="280"/>
      <c r="K301" s="280"/>
      <c r="L301" s="281"/>
      <c r="M301" s="269"/>
      <c r="Q301" s="227"/>
    </row>
    <row r="302" spans="3:20" ht="48.75" customHeight="1" thickTop="1" thickBot="1" x14ac:dyDescent="0.25">
      <c r="C302" s="304"/>
      <c r="D302" s="305"/>
      <c r="E302" s="231" t="s">
        <v>85</v>
      </c>
      <c r="F302" s="232">
        <v>2537</v>
      </c>
      <c r="G302" s="226">
        <v>-1.5521924718665092E-2</v>
      </c>
      <c r="H302" s="284"/>
      <c r="I302" s="284"/>
      <c r="J302" s="284"/>
      <c r="K302" s="284"/>
      <c r="L302" s="285"/>
      <c r="M302" s="269"/>
    </row>
    <row r="303" spans="3:20" ht="42" customHeight="1" thickTop="1" x14ac:dyDescent="0.2">
      <c r="C303" s="306" t="s">
        <v>13</v>
      </c>
      <c r="D303" s="307"/>
      <c r="E303" s="233" t="s">
        <v>8</v>
      </c>
      <c r="F303" s="234">
        <v>1082</v>
      </c>
      <c r="G303" s="230">
        <v>0.13061650992685481</v>
      </c>
      <c r="H303" s="256" t="s">
        <v>107</v>
      </c>
      <c r="I303" s="256"/>
      <c r="J303" s="256"/>
      <c r="K303" s="256"/>
      <c r="L303" s="257"/>
      <c r="M303" s="269"/>
    </row>
    <row r="304" spans="3:20" ht="34.5" customHeight="1" x14ac:dyDescent="0.2">
      <c r="C304" s="308"/>
      <c r="D304" s="309"/>
      <c r="E304" s="235" t="s">
        <v>85</v>
      </c>
      <c r="F304" s="50">
        <v>578</v>
      </c>
      <c r="G304" s="94">
        <v>-3.3444816053511683E-2</v>
      </c>
      <c r="H304" s="258" t="str">
        <f>CONCATENATE("Las plazas hoteleras estimadas se sitúan en ",FIXED(F304,0)," plazas, registrando un ",IF(G304&gt;0,"incremento del ","descenso del "),FIXED(G304*100,1),"%.")</f>
        <v>Las plazas hoteleras estimadas se sitúan en 578 plazas, registrando un descenso del -3,3%.</v>
      </c>
      <c r="I304" s="258"/>
      <c r="J304" s="258"/>
      <c r="K304" s="258"/>
      <c r="L304" s="259"/>
      <c r="M304" s="269"/>
    </row>
    <row r="305" spans="3:18" ht="34.5" customHeight="1" thickBot="1" x14ac:dyDescent="0.25">
      <c r="C305" s="310"/>
      <c r="D305" s="311"/>
      <c r="E305" s="236" t="s">
        <v>86</v>
      </c>
      <c r="F305" s="237">
        <v>504</v>
      </c>
      <c r="G305" s="226">
        <v>0.40389972144846786</v>
      </c>
      <c r="H305" s="272" t="s">
        <v>108</v>
      </c>
      <c r="I305" s="272"/>
      <c r="J305" s="272"/>
      <c r="K305" s="272"/>
      <c r="L305" s="273"/>
      <c r="M305" s="269"/>
    </row>
    <row r="306" spans="3:18" ht="39.75" customHeight="1" thickTop="1" x14ac:dyDescent="0.2">
      <c r="C306" s="274" t="s">
        <v>14</v>
      </c>
      <c r="D306" s="275"/>
      <c r="E306" s="228" t="s">
        <v>8</v>
      </c>
      <c r="F306" s="229">
        <v>27957</v>
      </c>
      <c r="G306" s="230">
        <v>4.0531487271103117E-2</v>
      </c>
      <c r="H306" s="280" t="s">
        <v>109</v>
      </c>
      <c r="I306" s="280"/>
      <c r="J306" s="280"/>
      <c r="K306" s="280"/>
      <c r="L306" s="281"/>
      <c r="M306" s="269"/>
    </row>
    <row r="307" spans="3:18" ht="34.5" customHeight="1" x14ac:dyDescent="0.2">
      <c r="C307" s="276"/>
      <c r="D307" s="277"/>
      <c r="E307" s="238" t="s">
        <v>85</v>
      </c>
      <c r="F307" s="43">
        <v>19202</v>
      </c>
      <c r="G307" s="94">
        <v>4.177517361111116E-2</v>
      </c>
      <c r="H307" s="282" t="str">
        <f>CONCATENATE("La oferta hotelera asciende a ",FIXED(F307,0),", cifra que se ",IF(G307&gt;0,"incrementa un ","reduce un "),FIXED(G307*100,1),"% respecto al año anterior.")</f>
        <v>La oferta hotelera asciende a 19.202, cifra que se incrementa un 4,2% respecto al año anterior.</v>
      </c>
      <c r="I307" s="282"/>
      <c r="J307" s="282"/>
      <c r="K307" s="282"/>
      <c r="L307" s="283"/>
      <c r="M307" s="269"/>
    </row>
    <row r="308" spans="3:18" ht="34.5" customHeight="1" thickBot="1" x14ac:dyDescent="0.25">
      <c r="C308" s="278"/>
      <c r="D308" s="279"/>
      <c r="E308" s="231" t="s">
        <v>86</v>
      </c>
      <c r="F308" s="232">
        <v>8755</v>
      </c>
      <c r="G308" s="226">
        <v>3.7814129919393036E-2</v>
      </c>
      <c r="H308" s="284" t="str">
        <f>CONCATENATE("Las plazas extrahoteras estimadas ascienden a ",FIXED(F308,0),", las cuales ",IF(G308&gt;0,"se incrementan un ","descienden un "),FIXED(G308*100,1),"%.")</f>
        <v>Las plazas extrahoteras estimadas ascienden a 8.755, las cuales se incrementan un 3,8%.</v>
      </c>
      <c r="I308" s="284"/>
      <c r="J308" s="284"/>
      <c r="K308" s="284"/>
      <c r="L308" s="285"/>
      <c r="M308" s="269"/>
    </row>
    <row r="309" spans="3:18" ht="34.5" customHeight="1" thickTop="1" x14ac:dyDescent="0.2">
      <c r="C309" s="252" t="s">
        <v>15</v>
      </c>
      <c r="D309" s="253"/>
      <c r="E309" s="239" t="s">
        <v>8</v>
      </c>
      <c r="F309" s="240">
        <v>127152</v>
      </c>
      <c r="G309" s="230">
        <v>-5.4284060510301213E-3</v>
      </c>
      <c r="H309" s="256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127.152 experimentando un descenso interanual del -0,5%.</v>
      </c>
      <c r="I309" s="256"/>
      <c r="J309" s="256"/>
      <c r="K309" s="256"/>
      <c r="L309" s="257"/>
      <c r="M309" s="269"/>
    </row>
    <row r="310" spans="3:18" ht="34.5" customHeight="1" x14ac:dyDescent="0.2">
      <c r="C310" s="254"/>
      <c r="D310" s="255"/>
      <c r="E310" s="241" t="s">
        <v>85</v>
      </c>
      <c r="F310" s="56">
        <v>70461</v>
      </c>
      <c r="G310" s="94">
        <v>-6.6541666079258377E-3</v>
      </c>
      <c r="H310" s="258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-0,7% respecto al mismo período del año anterior.</v>
      </c>
      <c r="I310" s="258"/>
      <c r="J310" s="258"/>
      <c r="K310" s="258"/>
      <c r="L310" s="259"/>
      <c r="M310" s="269"/>
    </row>
    <row r="311" spans="3:18" ht="34.5" customHeight="1" x14ac:dyDescent="0.2">
      <c r="C311" s="254"/>
      <c r="D311" s="255"/>
      <c r="E311" s="242" t="s">
        <v>86</v>
      </c>
      <c r="F311" s="243">
        <v>56691</v>
      </c>
      <c r="G311" s="244">
        <v>-3.9006905276474102E-3</v>
      </c>
      <c r="H311" s="260" t="s">
        <v>110</v>
      </c>
      <c r="I311" s="260"/>
      <c r="J311" s="260"/>
      <c r="K311" s="260"/>
      <c r="L311" s="261"/>
      <c r="M311" s="269"/>
    </row>
    <row r="312" spans="3:18" ht="5.25" customHeight="1" thickBot="1" x14ac:dyDescent="0.25">
      <c r="C312" s="204"/>
      <c r="D312" s="204"/>
      <c r="E312" s="204"/>
      <c r="F312" s="204"/>
      <c r="G312" s="204"/>
      <c r="H312" s="204"/>
      <c r="I312" s="204"/>
      <c r="J312" s="204"/>
      <c r="K312" s="204"/>
      <c r="L312" s="204"/>
      <c r="M312" s="205"/>
      <c r="N312" s="186"/>
      <c r="O312" s="99"/>
      <c r="R312" s="99"/>
    </row>
    <row r="313" spans="3:18" ht="19.5" customHeight="1" thickBot="1" x14ac:dyDescent="0.25">
      <c r="C313" s="262" t="s">
        <v>87</v>
      </c>
      <c r="D313" s="263"/>
      <c r="E313" s="263"/>
      <c r="F313" s="263"/>
      <c r="G313" s="263"/>
      <c r="H313" s="263"/>
      <c r="I313" s="263"/>
      <c r="J313" s="263"/>
      <c r="K313" s="263"/>
      <c r="L313" s="263"/>
      <c r="M313" s="264"/>
      <c r="N313" s="186"/>
      <c r="O313" s="99"/>
      <c r="P313" s="99"/>
      <c r="Q313" s="99"/>
    </row>
    <row r="314" spans="3:18" ht="5.25" customHeight="1" x14ac:dyDescent="0.2"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105"/>
      <c r="O314" s="99"/>
      <c r="P314" s="99"/>
      <c r="Q314" s="99"/>
    </row>
    <row r="315" spans="3:18" ht="95.25" customHeight="1" thickBot="1" x14ac:dyDescent="0.25">
      <c r="C315" s="265" t="s">
        <v>88</v>
      </c>
      <c r="D315" s="266"/>
      <c r="E315" s="245" t="s">
        <v>89</v>
      </c>
      <c r="F315" s="246">
        <v>237622</v>
      </c>
      <c r="G315" s="208">
        <v>-0.10436768785429984</v>
      </c>
      <c r="H315" s="267" t="s">
        <v>111</v>
      </c>
      <c r="I315" s="267"/>
      <c r="J315" s="267"/>
      <c r="K315" s="267"/>
      <c r="L315" s="268"/>
      <c r="M315" s="269" t="s">
        <v>113</v>
      </c>
    </row>
    <row r="316" spans="3:18" ht="45.75" hidden="1" customHeight="1" x14ac:dyDescent="0.2">
      <c r="C316" s="265"/>
      <c r="D316" s="266"/>
      <c r="E316" s="247" t="s">
        <v>90</v>
      </c>
      <c r="F316" s="217">
        <v>0</v>
      </c>
      <c r="G316" s="218">
        <v>-1</v>
      </c>
      <c r="H316" s="270" t="s">
        <v>112</v>
      </c>
      <c r="I316" s="270"/>
      <c r="J316" s="270"/>
      <c r="K316" s="270"/>
      <c r="L316" s="271"/>
      <c r="M316" s="269"/>
    </row>
    <row r="317" spans="3:18" ht="13.5" thickTop="1" x14ac:dyDescent="0.2">
      <c r="C317" s="248"/>
      <c r="D317" s="249"/>
      <c r="E317" s="249"/>
      <c r="F317" s="249"/>
      <c r="G317" s="249"/>
      <c r="H317" s="249"/>
      <c r="I317" s="249"/>
      <c r="J317" s="249"/>
      <c r="K317" s="249"/>
      <c r="L317" s="249"/>
      <c r="M317" s="249"/>
    </row>
    <row r="318" spans="3:18" ht="29.25" customHeight="1" x14ac:dyDescent="0.2"/>
    <row r="319" spans="3:18" ht="18" customHeight="1" x14ac:dyDescent="0.2">
      <c r="C319" s="251" t="s">
        <v>91</v>
      </c>
      <c r="D319" s="251"/>
      <c r="E319" s="251"/>
      <c r="F319" s="251"/>
      <c r="G319" s="251"/>
      <c r="H319" s="251"/>
      <c r="I319" s="251"/>
      <c r="J319" s="251"/>
      <c r="K319" s="251"/>
      <c r="L319" s="251"/>
      <c r="M319" s="251"/>
    </row>
    <row r="321" spans="5:6" ht="6.75" customHeight="1" x14ac:dyDescent="0.2"/>
    <row r="323" spans="5:6" ht="8.25" customHeight="1" x14ac:dyDescent="0.2"/>
    <row r="326" spans="5:6" x14ac:dyDescent="0.2">
      <c r="E326" s="250"/>
      <c r="F326" s="250"/>
    </row>
    <row r="327" spans="5:6" x14ac:dyDescent="0.2">
      <c r="E327" s="250"/>
      <c r="F327" s="250"/>
    </row>
    <row r="330" spans="5:6" ht="21.75" customHeight="1" x14ac:dyDescent="0.2"/>
    <row r="332" spans="5:6" ht="6" customHeight="1" x14ac:dyDescent="0.2"/>
  </sheetData>
  <mergeCells count="162"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276:M276"/>
    <mergeCell ref="C278:C283"/>
    <mergeCell ref="D278:D280"/>
    <mergeCell ref="H278:L278"/>
    <mergeCell ref="M278:M283"/>
    <mergeCell ref="H279:L279"/>
    <mergeCell ref="H280:L280"/>
    <mergeCell ref="D281:D283"/>
    <mergeCell ref="H281:L281"/>
    <mergeCell ref="H282:L282"/>
    <mergeCell ref="H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G278:G283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junio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2017-07-25T11:09:22+00:00</PublishingStartDate>
    <_dlc_DocId xmlns="8b099203-c902-4a5b-992f-1f849b15ff82">Q5F7QW3RQ55V-2035-358</_dlc_DocId>
    <_dlc_DocIdUrl xmlns="8b099203-c902-4a5b-992f-1f849b15ff82">
      <Url>http://admin.webtenerife.com/es/investigacion/Situacion-turistica/indicadores-turisticos/_layouts/DocIdRedir.aspx?ID=Q5F7QW3RQ55V-2035-358</Url>
      <Description>Q5F7QW3RQ55V-2035-358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531C4C-0B12-4080-AB7C-36E5D15EF4A6}"/>
</file>

<file path=customXml/itemProps2.xml><?xml version="1.0" encoding="utf-8"?>
<ds:datastoreItem xmlns:ds="http://schemas.openxmlformats.org/officeDocument/2006/customXml" ds:itemID="{950B1132-65D1-4A25-A5CD-E260D987B5C6}"/>
</file>

<file path=customXml/itemProps3.xml><?xml version="1.0" encoding="utf-8"?>
<ds:datastoreItem xmlns:ds="http://schemas.openxmlformats.org/officeDocument/2006/customXml" ds:itemID="{E90FC0E3-2779-4568-963B-B582CADC0E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(I semestre 2017)</dc:title>
  <dc:creator>Manuela Rabaneda</dc:creator>
  <cp:lastModifiedBy>Manuela Rabaneda</cp:lastModifiedBy>
  <dcterms:created xsi:type="dcterms:W3CDTF">2017-07-21T07:12:42Z</dcterms:created>
  <dcterms:modified xsi:type="dcterms:W3CDTF">2017-07-21T09:42:41Z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c34d51b0-93e3-46c9-9010-a6b027b77902</vt:lpwstr>
  </property>
</Properties>
</file>