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19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E242" i="1"/>
  <c r="E294" i="1" s="1"/>
  <c r="H309" i="1" l="1"/>
  <c r="H304" i="1"/>
  <c r="H280" i="1"/>
  <c r="H301" i="1"/>
  <c r="H308" i="1"/>
  <c r="H282" i="1"/>
  <c r="H307" i="1"/>
  <c r="H299" i="1"/>
  <c r="H310" i="1"/>
  <c r="C215" i="1"/>
  <c r="I62" i="1"/>
  <c r="G152" i="1"/>
  <c r="E117" i="1"/>
  <c r="E184" i="1"/>
</calcChain>
</file>

<file path=xl/sharedStrings.xml><?xml version="1.0" encoding="utf-8"?>
<sst xmlns="http://schemas.openxmlformats.org/spreadsheetml/2006/main" count="586" uniqueCount="115">
  <si>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</si>
  <si>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</si>
  <si>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</si>
  <si>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</si>
  <si>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</si>
  <si>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</si>
  <si>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</si>
  <si>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</si>
  <si>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</si>
  <si>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</si>
  <si>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</si>
  <si>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</si>
  <si>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</si>
  <si>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</si>
  <si>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</si>
  <si>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</si>
  <si>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</si>
  <si>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</si>
  <si>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</si>
  <si>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</si>
  <si>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</si>
  <si>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</si>
  <si>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</si>
  <si>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</si>
  <si>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</si>
  <si>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</si>
  <si>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</si>
  <si>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</si>
  <si>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</si>
  <si>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</si>
  <si>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</si>
  <si>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</si>
  <si>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</si>
  <si>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</si>
  <si>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</si>
  <si>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</si>
  <si>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</si>
  <si>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</si>
  <si>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</si>
  <si>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</si>
  <si>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</si>
  <si>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</si>
  <si>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</si>
  <si>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</si>
  <si>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</si>
  <si>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</si>
  <si>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</si>
  <si>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</si>
  <si>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</si>
  <si>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</si>
  <si>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</si>
  <si>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</si>
  <si>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</si>
  <si>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</si>
  <si>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</si>
  <si>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</si>
  <si>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</si>
  <si>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</si>
  <si>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</si>
  <si>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</si>
  <si>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</si>
  <si>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</si>
  <si>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</si>
  <si>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</si>
  <si>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</si>
  <si>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</si>
  <si>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</si>
  <si>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</si>
  <si>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</si>
  <si>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</si>
  <si>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</si>
  <si>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</si>
  <si>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</si>
  <si>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</si>
  <si>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</si>
  <si>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</si>
  <si>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</si>
  <si>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</si>
  <si>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</si>
  <si>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</si>
  <si>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</si>
  <si>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</si>
  <si>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</si>
  <si>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</si>
  <si>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</si>
  <si>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</si>
  <si>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</si>
  <si>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</si>
  <si>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</si>
  <si>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</si>
  <si>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</si>
  <si>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</si>
  <si>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</si>
  <si>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abril 2017</t>
  </si>
  <si>
    <t>Muestra hotelera= 90,0%;   Muestra extrahotelera= 66,0%;   Muestra total= 80,0%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</si>
  <si>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</si>
  <si>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</si>
  <si>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</si>
  <si>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</si>
  <si>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</si>
  <si>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abril 2017 asciendían a 136.437 plazas, registrando un descenso del -0,1% respecto al cierre del año 2016.</t>
  </si>
  <si>
    <t>Las plazas hoteleras autorizadas ascienden a 84.679 y representan el 62% del total. Con respecto al año 2016, las plazas hoteleras se incrementan un 0,1%.</t>
  </si>
  <si>
    <t>Las plazas extrahoteleras autorizadas, el 37% del total, ascienden a  50.288 (no incluye oferta rural). Disminuye un -0,5%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</si>
  <si>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</si>
  <si>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913, registrando un incremento del 1,0% respecto a 2016.</t>
  </si>
  <si>
    <t>Las plazas estimadas por el STDE del Cabildo de Tenerife en el I semestre de 2017 ascienden a 159.070. Se incremantan un 0,5% respecto al mismo período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</si>
  <si>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</si>
  <si>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para la zona de La Laguna, Bajamar, La Punta ascienden a 1.082 en el I semestre de 2017, registrando un incremento respecto al mismo periodo del año anterior del 13,1%.</t>
  </si>
  <si>
    <t>Las plazas extrahoteleras se estiman en 504, registrándose un incremento del 40,4% respecto al II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</si>
  <si>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</si>
  <si>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Las plazas extrahoteleras estimadas se sitúan en las 56.691 en el II semestre del  2017, con un descenso del -0,4%  respecto al I semestre del año anterior.</t>
  </si>
  <si>
    <t>Por el Puerto de Santa Cruz de Tenerife han pasado en los primeros cuatro meses del año 2017, 237.622 cruceristas, un -10,4% menos en comparación al mismo período del año 2016</t>
  </si>
  <si>
    <t>El número de buques de crucero en el Puerto de Santa Cruz de Tenerife hasta abril 2017 ascienden a un total de 0 cruceros, cifra que se reduce un -100,0% respecto al mismo período del año anterior.</t>
  </si>
  <si>
    <t>Acumulado abril 2017
FUENTE: Autoridad Portuaria de S/C de Tenerife</t>
  </si>
  <si>
    <t>I cuatrimestre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</si>
</sst>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8FDDA25F-9F1D-4642-8443-7D0E81C89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9D45A99F-C56D-44BD-BA43-82CAC79B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FEADE3F3-C5D3-43B8-B496-0AED1D2B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B6F787A4-0DFD-4287-A723-515610EB6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E1C83529-E1AC-4755-8699-5B0F6A1E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0AB37D0-6A89-47A8-8A10-62AD039FB25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I4" sqref="I4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bestFit="1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86" t="s">
        <v>92</v>
      </c>
      <c r="F1" s="286"/>
      <c r="G1" s="286"/>
      <c r="H1" s="286"/>
      <c r="I1" s="286"/>
      <c r="J1" s="286"/>
      <c r="K1" s="286"/>
      <c r="L1" s="2"/>
      <c r="M1" s="2"/>
    </row>
    <row r="2" spans="2:13" ht="15" customHeight="1" x14ac:dyDescent="0.2">
      <c r="B2" s="4"/>
      <c r="C2" s="382" t="s">
        <v>93</v>
      </c>
      <c r="D2" s="382"/>
      <c r="E2" s="382"/>
      <c r="F2" s="382"/>
      <c r="G2" s="382"/>
      <c r="H2" s="5"/>
      <c r="I2" s="384" t="s">
        <v>114</v>
      </c>
      <c r="J2" s="384"/>
      <c r="K2" s="384"/>
      <c r="L2" s="384"/>
      <c r="M2" s="384"/>
    </row>
    <row r="3" spans="2:13" ht="16.5" customHeight="1" thickBot="1" x14ac:dyDescent="0.25">
      <c r="B3" s="4"/>
      <c r="C3" s="383"/>
      <c r="D3" s="383"/>
      <c r="E3" s="383"/>
      <c r="F3" s="383"/>
      <c r="G3" s="383"/>
      <c r="H3" s="6"/>
      <c r="I3" s="385"/>
      <c r="J3" s="385"/>
      <c r="K3" s="385"/>
      <c r="L3" s="385"/>
      <c r="M3" s="385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386" t="s">
        <v>0</v>
      </c>
      <c r="D5" s="387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62" t="s">
        <v>6</v>
      </c>
      <c r="D7" s="263"/>
      <c r="E7" s="263"/>
      <c r="F7" s="263"/>
      <c r="G7" s="263"/>
      <c r="H7" s="263"/>
      <c r="I7" s="263"/>
      <c r="J7" s="263"/>
      <c r="K7" s="263"/>
      <c r="L7" s="263"/>
      <c r="M7" s="264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404" t="s">
        <v>7</v>
      </c>
      <c r="D9" s="405"/>
      <c r="E9" s="22" t="s">
        <v>8</v>
      </c>
      <c r="F9" s="23">
        <v>507188</v>
      </c>
      <c r="G9" s="24">
        <v>7.9936803464737194E-2</v>
      </c>
      <c r="H9" s="25"/>
      <c r="I9" s="388" t="s">
        <v>7</v>
      </c>
      <c r="J9" s="26" t="s">
        <v>8</v>
      </c>
      <c r="K9" s="27">
        <v>1833085</v>
      </c>
      <c r="L9" s="28">
        <v>9.8234240626513536E-3</v>
      </c>
      <c r="M9" s="372" t="s">
        <v>9</v>
      </c>
    </row>
    <row r="10" spans="2:13" ht="24.75" customHeight="1" x14ac:dyDescent="0.2">
      <c r="C10" s="390"/>
      <c r="D10" s="391"/>
      <c r="E10" s="29" t="s">
        <v>10</v>
      </c>
      <c r="F10" s="30">
        <v>345324</v>
      </c>
      <c r="G10" s="31">
        <v>7.6100877835358238E-2</v>
      </c>
      <c r="H10" s="32"/>
      <c r="I10" s="390"/>
      <c r="J10" s="29" t="s">
        <v>10</v>
      </c>
      <c r="K10" s="30">
        <v>1257365</v>
      </c>
      <c r="L10" s="33">
        <v>1.5926098893551899E-2</v>
      </c>
      <c r="M10" s="372"/>
    </row>
    <row r="11" spans="2:13" ht="24.75" customHeight="1" thickBot="1" x14ac:dyDescent="0.25">
      <c r="C11" s="406"/>
      <c r="D11" s="407"/>
      <c r="E11" s="34" t="s">
        <v>11</v>
      </c>
      <c r="F11" s="23">
        <v>161864</v>
      </c>
      <c r="G11" s="24">
        <v>8.8212554540381793E-2</v>
      </c>
      <c r="H11" s="32"/>
      <c r="I11" s="392"/>
      <c r="J11" s="35" t="s">
        <v>11</v>
      </c>
      <c r="K11" s="36">
        <v>575720</v>
      </c>
      <c r="L11" s="37">
        <v>-3.2531219756266605E-3</v>
      </c>
      <c r="M11" s="372"/>
    </row>
    <row r="12" spans="2:13" ht="24.75" hidden="1" customHeight="1" x14ac:dyDescent="0.2">
      <c r="C12" s="366" t="s">
        <v>12</v>
      </c>
      <c r="D12" s="367"/>
      <c r="E12" s="38" t="s">
        <v>8</v>
      </c>
      <c r="F12" s="39">
        <v>19284</v>
      </c>
      <c r="G12" s="40">
        <v>-1.712538226299698E-2</v>
      </c>
      <c r="H12" s="41"/>
      <c r="I12" s="366" t="s">
        <v>12</v>
      </c>
      <c r="J12" s="38" t="s">
        <v>8</v>
      </c>
      <c r="K12" s="39">
        <v>85193</v>
      </c>
      <c r="L12" s="28">
        <v>-1.2575627622337104E-2</v>
      </c>
      <c r="M12" s="372"/>
    </row>
    <row r="13" spans="2:13" ht="46.5" customHeight="1" thickBot="1" x14ac:dyDescent="0.25">
      <c r="C13" s="368"/>
      <c r="D13" s="369"/>
      <c r="E13" s="42" t="s">
        <v>10</v>
      </c>
      <c r="F13" s="43">
        <v>19284</v>
      </c>
      <c r="G13" s="31">
        <v>-1.3000307093868346E-2</v>
      </c>
      <c r="H13" s="41"/>
      <c r="I13" s="368"/>
      <c r="J13" s="42" t="s">
        <v>10</v>
      </c>
      <c r="K13" s="43">
        <v>85193</v>
      </c>
      <c r="L13" s="33">
        <v>-9.6370695868498446E-3</v>
      </c>
      <c r="M13" s="372"/>
    </row>
    <row r="14" spans="2:13" ht="24.75" hidden="1" customHeight="1" x14ac:dyDescent="0.2">
      <c r="C14" s="370"/>
      <c r="D14" s="371"/>
      <c r="E14" s="44" t="s">
        <v>11</v>
      </c>
      <c r="F14" s="45">
        <v>0</v>
      </c>
      <c r="G14" s="46">
        <v>-1</v>
      </c>
      <c r="H14" s="41"/>
      <c r="I14" s="370"/>
      <c r="J14" s="44" t="s">
        <v>11</v>
      </c>
      <c r="K14" s="45">
        <v>0</v>
      </c>
      <c r="L14" s="37">
        <v>-1</v>
      </c>
      <c r="M14" s="372"/>
    </row>
    <row r="15" spans="2:13" ht="24.75" customHeight="1" x14ac:dyDescent="0.2">
      <c r="C15" s="373" t="s">
        <v>13</v>
      </c>
      <c r="D15" s="394"/>
      <c r="E15" s="47" t="s">
        <v>8</v>
      </c>
      <c r="F15" s="48">
        <v>3959</v>
      </c>
      <c r="G15" s="40">
        <v>6.5392895586652289E-2</v>
      </c>
      <c r="H15" s="41"/>
      <c r="I15" s="373" t="s">
        <v>13</v>
      </c>
      <c r="J15" s="47" t="s">
        <v>8</v>
      </c>
      <c r="K15" s="48">
        <v>16433</v>
      </c>
      <c r="L15" s="28">
        <v>7.2020353578185148E-2</v>
      </c>
      <c r="M15" s="372"/>
    </row>
    <row r="16" spans="2:13" ht="24.75" customHeight="1" x14ac:dyDescent="0.2">
      <c r="C16" s="374"/>
      <c r="D16" s="395"/>
      <c r="E16" s="49" t="s">
        <v>10</v>
      </c>
      <c r="F16" s="50">
        <v>2869</v>
      </c>
      <c r="G16" s="31">
        <v>-1.8138261464750172E-2</v>
      </c>
      <c r="H16" s="41"/>
      <c r="I16" s="374"/>
      <c r="J16" s="49" t="s">
        <v>10</v>
      </c>
      <c r="K16" s="50">
        <v>12149</v>
      </c>
      <c r="L16" s="33">
        <v>-1.9134506701114162E-2</v>
      </c>
      <c r="M16" s="372"/>
    </row>
    <row r="17" spans="3:13" ht="24.75" customHeight="1" thickBot="1" x14ac:dyDescent="0.25">
      <c r="C17" s="375"/>
      <c r="D17" s="396"/>
      <c r="E17" s="51" t="s">
        <v>11</v>
      </c>
      <c r="F17" s="52">
        <v>1090</v>
      </c>
      <c r="G17" s="46">
        <v>0.37279596977329965</v>
      </c>
      <c r="H17" s="41"/>
      <c r="I17" s="375"/>
      <c r="J17" s="51" t="s">
        <v>11</v>
      </c>
      <c r="K17" s="52">
        <v>4284</v>
      </c>
      <c r="L17" s="37">
        <v>0.45565749235474007</v>
      </c>
      <c r="M17" s="372"/>
    </row>
    <row r="18" spans="3:13" ht="24.75" customHeight="1" x14ac:dyDescent="0.2">
      <c r="C18" s="366" t="s">
        <v>14</v>
      </c>
      <c r="D18" s="367"/>
      <c r="E18" s="38" t="s">
        <v>8</v>
      </c>
      <c r="F18" s="39">
        <v>92458</v>
      </c>
      <c r="G18" s="40">
        <v>0.17973255754606243</v>
      </c>
      <c r="H18" s="41"/>
      <c r="I18" s="366" t="s">
        <v>14</v>
      </c>
      <c r="J18" s="38" t="s">
        <v>8</v>
      </c>
      <c r="K18" s="39">
        <v>331870</v>
      </c>
      <c r="L18" s="28">
        <v>8.7449456389957492E-2</v>
      </c>
      <c r="M18" s="372"/>
    </row>
    <row r="19" spans="3:13" ht="24.75" customHeight="1" x14ac:dyDescent="0.2">
      <c r="C19" s="368"/>
      <c r="D19" s="369"/>
      <c r="E19" s="42" t="s">
        <v>10</v>
      </c>
      <c r="F19" s="43">
        <v>68693</v>
      </c>
      <c r="G19" s="31">
        <v>0.16503849937247717</v>
      </c>
      <c r="H19" s="41"/>
      <c r="I19" s="368"/>
      <c r="J19" s="42" t="s">
        <v>10</v>
      </c>
      <c r="K19" s="43">
        <v>250318</v>
      </c>
      <c r="L19" s="33">
        <v>9.159493096801774E-2</v>
      </c>
      <c r="M19" s="372"/>
    </row>
    <row r="20" spans="3:13" ht="24.75" customHeight="1" thickBot="1" x14ac:dyDescent="0.25">
      <c r="C20" s="370"/>
      <c r="D20" s="371"/>
      <c r="E20" s="44" t="s">
        <v>11</v>
      </c>
      <c r="F20" s="45">
        <v>23765</v>
      </c>
      <c r="G20" s="46">
        <v>0.2243688820195775</v>
      </c>
      <c r="H20" s="41"/>
      <c r="I20" s="370"/>
      <c r="J20" s="44" t="s">
        <v>11</v>
      </c>
      <c r="K20" s="45">
        <v>81552</v>
      </c>
      <c r="L20" s="37">
        <v>7.4919597195128418E-2</v>
      </c>
      <c r="M20" s="372"/>
    </row>
    <row r="21" spans="3:13" ht="24.75" customHeight="1" x14ac:dyDescent="0.2">
      <c r="C21" s="376" t="s">
        <v>15</v>
      </c>
      <c r="D21" s="377"/>
      <c r="E21" s="53" t="s">
        <v>8</v>
      </c>
      <c r="F21" s="54">
        <v>391487</v>
      </c>
      <c r="G21" s="40">
        <v>6.4002630878028377E-2</v>
      </c>
      <c r="H21" s="41"/>
      <c r="I21" s="376" t="s">
        <v>15</v>
      </c>
      <c r="J21" s="53" t="s">
        <v>8</v>
      </c>
      <c r="K21" s="54">
        <v>1399589</v>
      </c>
      <c r="L21" s="28">
        <v>-6.301190516761479E-3</v>
      </c>
      <c r="M21" s="372"/>
    </row>
    <row r="22" spans="3:13" ht="24.75" customHeight="1" x14ac:dyDescent="0.2">
      <c r="C22" s="378"/>
      <c r="D22" s="379"/>
      <c r="E22" s="55" t="s">
        <v>10</v>
      </c>
      <c r="F22" s="56">
        <v>254478</v>
      </c>
      <c r="G22" s="31">
        <v>6.2622922068974241E-2</v>
      </c>
      <c r="H22" s="41"/>
      <c r="I22" s="378"/>
      <c r="J22" s="55" t="s">
        <v>10</v>
      </c>
      <c r="K22" s="56">
        <v>909705</v>
      </c>
      <c r="L22" s="33">
        <v>-2.4946919110435672E-4</v>
      </c>
      <c r="M22" s="372"/>
    </row>
    <row r="23" spans="3:13" ht="24.75" customHeight="1" thickBot="1" x14ac:dyDescent="0.25">
      <c r="C23" s="380"/>
      <c r="D23" s="381"/>
      <c r="E23" s="57" t="s">
        <v>11</v>
      </c>
      <c r="F23" s="58">
        <v>137009</v>
      </c>
      <c r="G23" s="46">
        <v>6.6574807133904734E-2</v>
      </c>
      <c r="H23" s="41"/>
      <c r="I23" s="380"/>
      <c r="J23" s="57" t="s">
        <v>11</v>
      </c>
      <c r="K23" s="58">
        <v>489884</v>
      </c>
      <c r="L23" s="37">
        <v>-1.7346930588207021E-2</v>
      </c>
      <c r="M23" s="372"/>
    </row>
    <row r="24" spans="3:13" ht="5.25" customHeight="1" thickBot="1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3:13" ht="20.100000000000001" customHeight="1" thickBot="1" x14ac:dyDescent="0.25">
      <c r="C25" s="262" t="s">
        <v>16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4"/>
    </row>
    <row r="26" spans="3:13" ht="5.25" customHeight="1" thickBo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60"/>
    </row>
    <row r="27" spans="3:13" ht="24.95" customHeight="1" x14ac:dyDescent="0.2">
      <c r="C27" s="388" t="s">
        <v>7</v>
      </c>
      <c r="D27" s="389"/>
      <c r="E27" s="26" t="s">
        <v>8</v>
      </c>
      <c r="F27" s="23">
        <v>3443494</v>
      </c>
      <c r="G27" s="24">
        <v>4.8549430505883784E-2</v>
      </c>
      <c r="H27" s="25"/>
      <c r="I27" s="388" t="s">
        <v>7</v>
      </c>
      <c r="J27" s="26" t="s">
        <v>8</v>
      </c>
      <c r="K27" s="27">
        <v>13826611</v>
      </c>
      <c r="L27" s="28">
        <v>-7.930607862832173E-3</v>
      </c>
      <c r="M27" s="372" t="s">
        <v>9</v>
      </c>
    </row>
    <row r="28" spans="3:13" ht="24.95" customHeight="1" x14ac:dyDescent="0.2">
      <c r="C28" s="390"/>
      <c r="D28" s="391"/>
      <c r="E28" s="29" t="s">
        <v>10</v>
      </c>
      <c r="F28" s="30">
        <v>2212374</v>
      </c>
      <c r="G28" s="31">
        <v>2.8764259368449174E-2</v>
      </c>
      <c r="H28" s="32"/>
      <c r="I28" s="390"/>
      <c r="J28" s="29" t="s">
        <v>10</v>
      </c>
      <c r="K28" s="30">
        <v>8893514</v>
      </c>
      <c r="L28" s="33">
        <v>-1.1344590362028395E-2</v>
      </c>
      <c r="M28" s="372"/>
    </row>
    <row r="29" spans="3:13" ht="24.95" customHeight="1" thickBot="1" x14ac:dyDescent="0.25">
      <c r="C29" s="392"/>
      <c r="D29" s="393"/>
      <c r="E29" s="35" t="s">
        <v>11</v>
      </c>
      <c r="F29" s="23">
        <v>1231120</v>
      </c>
      <c r="G29" s="24">
        <v>8.6085260410096121E-2</v>
      </c>
      <c r="H29" s="32"/>
      <c r="I29" s="392"/>
      <c r="J29" s="35" t="s">
        <v>11</v>
      </c>
      <c r="K29" s="36">
        <v>4933097</v>
      </c>
      <c r="L29" s="37">
        <v>-1.7158493565615496E-3</v>
      </c>
      <c r="M29" s="372"/>
    </row>
    <row r="30" spans="3:13" ht="24.95" hidden="1" customHeight="1" x14ac:dyDescent="0.2">
      <c r="C30" s="366" t="s">
        <v>12</v>
      </c>
      <c r="D30" s="367"/>
      <c r="E30" s="38" t="s">
        <v>8</v>
      </c>
      <c r="F30" s="39">
        <v>45800</v>
      </c>
      <c r="G30" s="40">
        <v>8.9983102882029486E-2</v>
      </c>
      <c r="H30" s="41"/>
      <c r="I30" s="366" t="s">
        <v>12</v>
      </c>
      <c r="J30" s="38" t="s">
        <v>8</v>
      </c>
      <c r="K30" s="39">
        <v>206834</v>
      </c>
      <c r="L30" s="28">
        <v>-1.2844036697248207E-3</v>
      </c>
      <c r="M30" s="372"/>
    </row>
    <row r="31" spans="3:13" ht="48" customHeight="1" thickBot="1" x14ac:dyDescent="0.25">
      <c r="C31" s="368"/>
      <c r="D31" s="369"/>
      <c r="E31" s="42" t="s">
        <v>10</v>
      </c>
      <c r="F31" s="43">
        <v>45800</v>
      </c>
      <c r="G31" s="31">
        <v>0.10957676187707444</v>
      </c>
      <c r="H31" s="41"/>
      <c r="I31" s="368"/>
      <c r="J31" s="42" t="s">
        <v>10</v>
      </c>
      <c r="K31" s="43">
        <v>206834</v>
      </c>
      <c r="L31" s="33">
        <v>1.3653650121540073E-2</v>
      </c>
      <c r="M31" s="372"/>
    </row>
    <row r="32" spans="3:13" ht="24.95" hidden="1" customHeight="1" x14ac:dyDescent="0.2">
      <c r="C32" s="370"/>
      <c r="D32" s="371"/>
      <c r="E32" s="44" t="s">
        <v>11</v>
      </c>
      <c r="F32" s="45">
        <v>0</v>
      </c>
      <c r="G32" s="46">
        <v>-1</v>
      </c>
      <c r="H32" s="41"/>
      <c r="I32" s="370"/>
      <c r="J32" s="44" t="s">
        <v>11</v>
      </c>
      <c r="K32" s="45">
        <v>0</v>
      </c>
      <c r="L32" s="37">
        <v>-1</v>
      </c>
      <c r="M32" s="372"/>
    </row>
    <row r="33" spans="3:13" ht="24.95" customHeight="1" x14ac:dyDescent="0.2">
      <c r="C33" s="373" t="s">
        <v>13</v>
      </c>
      <c r="D33" s="394"/>
      <c r="E33" s="47" t="s">
        <v>8</v>
      </c>
      <c r="F33" s="48">
        <v>17017</v>
      </c>
      <c r="G33" s="40">
        <v>0.34830837493067102</v>
      </c>
      <c r="H33" s="41"/>
      <c r="I33" s="373" t="s">
        <v>13</v>
      </c>
      <c r="J33" s="47" t="s">
        <v>8</v>
      </c>
      <c r="K33" s="48">
        <v>69083</v>
      </c>
      <c r="L33" s="28">
        <v>0.23922363535257496</v>
      </c>
      <c r="M33" s="372"/>
    </row>
    <row r="34" spans="3:13" ht="24.95" customHeight="1" x14ac:dyDescent="0.2">
      <c r="C34" s="374"/>
      <c r="D34" s="395"/>
      <c r="E34" s="49" t="s">
        <v>10</v>
      </c>
      <c r="F34" s="50">
        <v>9033</v>
      </c>
      <c r="G34" s="31">
        <v>0.14240546351334271</v>
      </c>
      <c r="H34" s="41"/>
      <c r="I34" s="374"/>
      <c r="J34" s="49" t="s">
        <v>10</v>
      </c>
      <c r="K34" s="50">
        <v>41112</v>
      </c>
      <c r="L34" s="33">
        <v>0.15837818038375917</v>
      </c>
      <c r="M34" s="372"/>
    </row>
    <row r="35" spans="3:13" ht="24.95" customHeight="1" thickBot="1" x14ac:dyDescent="0.25">
      <c r="C35" s="375"/>
      <c r="D35" s="396"/>
      <c r="E35" s="51" t="s">
        <v>11</v>
      </c>
      <c r="F35" s="52">
        <v>7984</v>
      </c>
      <c r="G35" s="46">
        <v>0.6936784047518032</v>
      </c>
      <c r="H35" s="41"/>
      <c r="I35" s="375"/>
      <c r="J35" s="51" t="s">
        <v>11</v>
      </c>
      <c r="K35" s="52">
        <v>27971</v>
      </c>
      <c r="L35" s="37">
        <v>0.38087480252764605</v>
      </c>
      <c r="M35" s="372"/>
    </row>
    <row r="36" spans="3:13" ht="24.95" customHeight="1" x14ac:dyDescent="0.2">
      <c r="C36" s="366" t="s">
        <v>14</v>
      </c>
      <c r="D36" s="367"/>
      <c r="E36" s="38" t="s">
        <v>8</v>
      </c>
      <c r="F36" s="39">
        <v>583573</v>
      </c>
      <c r="G36" s="40">
        <v>0.10140947678741963</v>
      </c>
      <c r="H36" s="41"/>
      <c r="I36" s="366" t="s">
        <v>14</v>
      </c>
      <c r="J36" s="38" t="s">
        <v>8</v>
      </c>
      <c r="K36" s="39">
        <v>2439829</v>
      </c>
      <c r="L36" s="28">
        <v>3.9022279646895086E-2</v>
      </c>
      <c r="M36" s="372"/>
    </row>
    <row r="37" spans="3:13" ht="24.95" customHeight="1" x14ac:dyDescent="0.2">
      <c r="C37" s="368"/>
      <c r="D37" s="369"/>
      <c r="E37" s="42" t="s">
        <v>10</v>
      </c>
      <c r="F37" s="43">
        <v>425449</v>
      </c>
      <c r="G37" s="31">
        <v>7.7405206099021795E-2</v>
      </c>
      <c r="H37" s="41"/>
      <c r="I37" s="368"/>
      <c r="J37" s="42" t="s">
        <v>10</v>
      </c>
      <c r="K37" s="43">
        <v>1759503</v>
      </c>
      <c r="L37" s="33">
        <v>3.473942782741557E-2</v>
      </c>
      <c r="M37" s="372"/>
    </row>
    <row r="38" spans="3:13" ht="24.95" customHeight="1" thickBot="1" x14ac:dyDescent="0.25">
      <c r="C38" s="370"/>
      <c r="D38" s="371"/>
      <c r="E38" s="44" t="s">
        <v>11</v>
      </c>
      <c r="F38" s="45">
        <v>158124</v>
      </c>
      <c r="G38" s="46">
        <v>0.17164472173030321</v>
      </c>
      <c r="H38" s="41"/>
      <c r="I38" s="370"/>
      <c r="J38" s="44" t="s">
        <v>11</v>
      </c>
      <c r="K38" s="45">
        <v>680326</v>
      </c>
      <c r="L38" s="37">
        <v>5.0265064853666219E-2</v>
      </c>
      <c r="M38" s="372"/>
    </row>
    <row r="39" spans="3:13" ht="24.95" customHeight="1" x14ac:dyDescent="0.2">
      <c r="C39" s="376" t="s">
        <v>15</v>
      </c>
      <c r="D39" s="377"/>
      <c r="E39" s="53" t="s">
        <v>8</v>
      </c>
      <c r="F39" s="54">
        <v>2797104</v>
      </c>
      <c r="G39" s="40">
        <v>3.6128306217316553E-2</v>
      </c>
      <c r="H39" s="41"/>
      <c r="I39" s="376" t="s">
        <v>15</v>
      </c>
      <c r="J39" s="53" t="s">
        <v>8</v>
      </c>
      <c r="K39" s="54">
        <v>11110865</v>
      </c>
      <c r="L39" s="28">
        <v>-1.9003192361852439E-2</v>
      </c>
      <c r="M39" s="372"/>
    </row>
    <row r="40" spans="3:13" ht="24.95" customHeight="1" x14ac:dyDescent="0.2">
      <c r="C40" s="378"/>
      <c r="D40" s="379"/>
      <c r="E40" s="55" t="s">
        <v>10</v>
      </c>
      <c r="F40" s="56">
        <v>1732092</v>
      </c>
      <c r="G40" s="31">
        <v>1.5027111856258157E-2</v>
      </c>
      <c r="H40" s="41"/>
      <c r="I40" s="378"/>
      <c r="J40" s="55" t="s">
        <v>10</v>
      </c>
      <c r="K40" s="56">
        <v>6886065</v>
      </c>
      <c r="L40" s="33">
        <v>-2.4027739687439542E-2</v>
      </c>
      <c r="M40" s="372"/>
    </row>
    <row r="41" spans="3:13" ht="24.95" customHeight="1" thickBot="1" x14ac:dyDescent="0.25">
      <c r="C41" s="380"/>
      <c r="D41" s="381"/>
      <c r="E41" s="57" t="s">
        <v>11</v>
      </c>
      <c r="F41" s="58">
        <v>1065012</v>
      </c>
      <c r="G41" s="46">
        <v>7.2385724239873328E-2</v>
      </c>
      <c r="H41" s="41"/>
      <c r="I41" s="380"/>
      <c r="J41" s="57" t="s">
        <v>11</v>
      </c>
      <c r="K41" s="58">
        <v>4224800</v>
      </c>
      <c r="L41" s="37">
        <v>-1.0701786347366182E-2</v>
      </c>
      <c r="M41" s="372"/>
    </row>
    <row r="42" spans="3:13" ht="5.25" customHeight="1" thickBot="1" x14ac:dyDescent="0.25">
      <c r="C42" s="59"/>
      <c r="D42" s="59"/>
      <c r="F42" s="59"/>
      <c r="G42" s="59"/>
      <c r="H42" s="59"/>
      <c r="I42" s="59"/>
      <c r="J42" s="59"/>
      <c r="K42" s="59"/>
      <c r="L42" s="59"/>
      <c r="M42" s="59"/>
    </row>
    <row r="43" spans="3:13" ht="20.100000000000001" customHeight="1" thickBot="1" x14ac:dyDescent="0.25">
      <c r="C43" s="262" t="s">
        <v>17</v>
      </c>
      <c r="D43" s="263"/>
      <c r="E43" s="263"/>
      <c r="F43" s="263"/>
      <c r="G43" s="263"/>
      <c r="H43" s="263"/>
      <c r="I43" s="263"/>
      <c r="J43" s="263"/>
      <c r="K43" s="263"/>
      <c r="L43" s="263"/>
      <c r="M43" s="264"/>
    </row>
    <row r="44" spans="3:13" ht="5.25" customHeight="1" thickBo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60"/>
    </row>
    <row r="45" spans="3:13" ht="24.75" customHeight="1" x14ac:dyDescent="0.2">
      <c r="C45" s="388" t="s">
        <v>7</v>
      </c>
      <c r="D45" s="389"/>
      <c r="E45" s="26" t="s">
        <v>8</v>
      </c>
      <c r="F45" s="61">
        <v>6.7893838182291377</v>
      </c>
      <c r="G45" s="62">
        <v>-0.20323402584916828</v>
      </c>
      <c r="H45" s="25"/>
      <c r="I45" s="388" t="s">
        <v>7</v>
      </c>
      <c r="J45" s="26" t="s">
        <v>8</v>
      </c>
      <c r="K45" s="61">
        <v>7.5428095260176153</v>
      </c>
      <c r="L45" s="63">
        <v>-0.13498580058424103</v>
      </c>
      <c r="M45" s="372" t="s">
        <v>9</v>
      </c>
    </row>
    <row r="46" spans="3:13" ht="24.75" customHeight="1" x14ac:dyDescent="0.2">
      <c r="C46" s="390"/>
      <c r="D46" s="391"/>
      <c r="E46" s="29" t="s">
        <v>10</v>
      </c>
      <c r="F46" s="64">
        <v>6.4066615700038225</v>
      </c>
      <c r="G46" s="65">
        <v>-0.29479027058351992</v>
      </c>
      <c r="H46" s="32"/>
      <c r="I46" s="390"/>
      <c r="J46" s="29" t="s">
        <v>10</v>
      </c>
      <c r="K46" s="64">
        <v>7.0731362810321583</v>
      </c>
      <c r="L46" s="66">
        <v>-0.19510266135400123</v>
      </c>
      <c r="M46" s="372"/>
    </row>
    <row r="47" spans="3:13" ht="24.75" customHeight="1" thickBot="1" x14ac:dyDescent="0.25">
      <c r="C47" s="392"/>
      <c r="D47" s="393"/>
      <c r="E47" s="35" t="s">
        <v>11</v>
      </c>
      <c r="F47" s="67">
        <v>7.6058913655908666</v>
      </c>
      <c r="G47" s="68">
        <v>-1.4897511868912972E-2</v>
      </c>
      <c r="H47" s="32"/>
      <c r="I47" s="392"/>
      <c r="J47" s="35" t="s">
        <v>11</v>
      </c>
      <c r="K47" s="67">
        <v>8.568569790870562</v>
      </c>
      <c r="L47" s="69">
        <v>1.3194868130044668E-2</v>
      </c>
      <c r="M47" s="372"/>
    </row>
    <row r="48" spans="3:13" ht="24.75" hidden="1" customHeight="1" x14ac:dyDescent="0.2">
      <c r="C48" s="366" t="s">
        <v>12</v>
      </c>
      <c r="D48" s="367"/>
      <c r="E48" s="38" t="s">
        <v>8</v>
      </c>
      <c r="F48" s="70">
        <v>2.3750259282306576</v>
      </c>
      <c r="G48" s="62">
        <v>0.2333847457637872</v>
      </c>
      <c r="H48" s="41"/>
      <c r="I48" s="366" t="s">
        <v>12</v>
      </c>
      <c r="J48" s="38" t="s">
        <v>8</v>
      </c>
      <c r="K48" s="70">
        <v>2.4278285774652848</v>
      </c>
      <c r="L48" s="63">
        <v>2.7448411026563591E-2</v>
      </c>
      <c r="M48" s="372"/>
    </row>
    <row r="49" spans="2:13" ht="50.25" customHeight="1" thickBot="1" x14ac:dyDescent="0.25">
      <c r="C49" s="368"/>
      <c r="D49" s="369"/>
      <c r="E49" s="42" t="s">
        <v>10</v>
      </c>
      <c r="F49" s="71">
        <v>2.3750259282306576</v>
      </c>
      <c r="G49" s="65">
        <v>0.26237366085426306</v>
      </c>
      <c r="H49" s="41"/>
      <c r="I49" s="368"/>
      <c r="J49" s="42" t="s">
        <v>10</v>
      </c>
      <c r="K49" s="71">
        <v>2.4278285774652848</v>
      </c>
      <c r="L49" s="66">
        <v>5.5784216720359048E-2</v>
      </c>
      <c r="M49" s="372"/>
    </row>
    <row r="50" spans="2:13" ht="24.75" hidden="1" customHeight="1" x14ac:dyDescent="0.2">
      <c r="C50" s="370"/>
      <c r="D50" s="371"/>
      <c r="E50" s="44" t="s">
        <v>11</v>
      </c>
      <c r="F50" s="72" t="s">
        <v>38</v>
      </c>
      <c r="G50" s="68" t="s">
        <v>38</v>
      </c>
      <c r="H50" s="41"/>
      <c r="I50" s="370"/>
      <c r="J50" s="44" t="s">
        <v>11</v>
      </c>
      <c r="K50" s="72" t="e">
        <v>#DIV/0!</v>
      </c>
      <c r="L50" s="69" t="s">
        <v>38</v>
      </c>
      <c r="M50" s="372"/>
    </row>
    <row r="51" spans="2:13" ht="24.75" customHeight="1" x14ac:dyDescent="0.2">
      <c r="C51" s="373" t="s">
        <v>13</v>
      </c>
      <c r="D51" s="394"/>
      <c r="E51" s="47" t="s">
        <v>8</v>
      </c>
      <c r="F51" s="73">
        <v>4.2983076534478402</v>
      </c>
      <c r="G51" s="62">
        <v>0.90191368143492312</v>
      </c>
      <c r="H51" s="41"/>
      <c r="I51" s="373" t="s">
        <v>13</v>
      </c>
      <c r="J51" s="47" t="s">
        <v>8</v>
      </c>
      <c r="K51" s="73">
        <v>4.2039189435891196</v>
      </c>
      <c r="L51" s="63">
        <v>0.56721726702835218</v>
      </c>
      <c r="M51" s="372"/>
    </row>
    <row r="52" spans="2:13" ht="24.75" customHeight="1" x14ac:dyDescent="0.2">
      <c r="C52" s="374"/>
      <c r="D52" s="395"/>
      <c r="E52" s="49" t="s">
        <v>10</v>
      </c>
      <c r="F52" s="74">
        <v>3.1484837922621121</v>
      </c>
      <c r="G52" s="65">
        <v>0.44246052053042151</v>
      </c>
      <c r="H52" s="41"/>
      <c r="I52" s="374"/>
      <c r="J52" s="49" t="s">
        <v>10</v>
      </c>
      <c r="K52" s="74">
        <v>3.3839822207589103</v>
      </c>
      <c r="L52" s="66">
        <v>0.51856965818826595</v>
      </c>
      <c r="M52" s="372"/>
    </row>
    <row r="53" spans="2:13" ht="24.75" customHeight="1" thickBot="1" x14ac:dyDescent="0.25">
      <c r="C53" s="375"/>
      <c r="D53" s="396"/>
      <c r="E53" s="51" t="s">
        <v>11</v>
      </c>
      <c r="F53" s="75">
        <v>7.3247706422018348</v>
      </c>
      <c r="G53" s="68">
        <v>1.3877429343932706</v>
      </c>
      <c r="H53" s="41"/>
      <c r="I53" s="375"/>
      <c r="J53" s="51" t="s">
        <v>11</v>
      </c>
      <c r="K53" s="75">
        <v>6.5291783380018673</v>
      </c>
      <c r="L53" s="69">
        <v>-0.35359434293595093</v>
      </c>
      <c r="M53" s="372"/>
    </row>
    <row r="54" spans="2:13" ht="24.75" customHeight="1" x14ac:dyDescent="0.2">
      <c r="C54" s="366" t="s">
        <v>14</v>
      </c>
      <c r="D54" s="367"/>
      <c r="E54" s="38" t="s">
        <v>8</v>
      </c>
      <c r="F54" s="70">
        <v>6.311763178956932</v>
      </c>
      <c r="G54" s="62">
        <v>-0.44884009772351519</v>
      </c>
      <c r="H54" s="41"/>
      <c r="I54" s="366" t="s">
        <v>14</v>
      </c>
      <c r="J54" s="38" t="s">
        <v>8</v>
      </c>
      <c r="K54" s="70">
        <v>7.3517612318076351</v>
      </c>
      <c r="L54" s="63">
        <v>-0.3426539040784915</v>
      </c>
      <c r="M54" s="372"/>
    </row>
    <row r="55" spans="2:13" ht="24.75" customHeight="1" x14ac:dyDescent="0.2">
      <c r="C55" s="368"/>
      <c r="D55" s="369"/>
      <c r="E55" s="42" t="s">
        <v>10</v>
      </c>
      <c r="F55" s="71">
        <v>6.193484052232396</v>
      </c>
      <c r="G55" s="65">
        <v>-0.50376163142826691</v>
      </c>
      <c r="H55" s="41"/>
      <c r="I55" s="368"/>
      <c r="J55" s="42" t="s">
        <v>10</v>
      </c>
      <c r="K55" s="71">
        <v>7.0290710216604477</v>
      </c>
      <c r="L55" s="66">
        <v>-0.38622416310803587</v>
      </c>
      <c r="M55" s="372"/>
    </row>
    <row r="56" spans="2:13" ht="24.75" customHeight="1" thickBot="1" x14ac:dyDescent="0.25">
      <c r="C56" s="370"/>
      <c r="D56" s="371"/>
      <c r="E56" s="44" t="s">
        <v>11</v>
      </c>
      <c r="F56" s="72">
        <v>6.6536503261098252</v>
      </c>
      <c r="G56" s="68">
        <v>-0.29941510408079797</v>
      </c>
      <c r="H56" s="41"/>
      <c r="I56" s="370"/>
      <c r="J56" s="44" t="s">
        <v>11</v>
      </c>
      <c r="K56" s="72">
        <v>8.3422356288012551</v>
      </c>
      <c r="L56" s="69">
        <v>-0.1958304860297666</v>
      </c>
      <c r="M56" s="372"/>
    </row>
    <row r="57" spans="2:13" ht="24.75" customHeight="1" x14ac:dyDescent="0.2">
      <c r="C57" s="376" t="s">
        <v>15</v>
      </c>
      <c r="D57" s="377"/>
      <c r="E57" s="53" t="s">
        <v>8</v>
      </c>
      <c r="F57" s="76">
        <v>7.1448196236401209</v>
      </c>
      <c r="G57" s="62">
        <v>-0.19221270245829825</v>
      </c>
      <c r="H57" s="41"/>
      <c r="I57" s="376" t="s">
        <v>15</v>
      </c>
      <c r="J57" s="53" t="s">
        <v>8</v>
      </c>
      <c r="K57" s="76">
        <v>7.9386627074091036</v>
      </c>
      <c r="L57" s="63">
        <v>-0.10279025127496677</v>
      </c>
      <c r="M57" s="372"/>
    </row>
    <row r="58" spans="2:13" ht="24.75" customHeight="1" x14ac:dyDescent="0.2">
      <c r="C58" s="378"/>
      <c r="D58" s="379"/>
      <c r="E58" s="55" t="s">
        <v>10</v>
      </c>
      <c r="F58" s="77">
        <v>6.8064508523330112</v>
      </c>
      <c r="G58" s="65">
        <v>-0.31916245310666902</v>
      </c>
      <c r="H58" s="41"/>
      <c r="I58" s="378"/>
      <c r="J58" s="55" t="s">
        <v>10</v>
      </c>
      <c r="K58" s="77">
        <v>7.5695582633930778</v>
      </c>
      <c r="L58" s="66">
        <v>-0.18442225383238497</v>
      </c>
      <c r="M58" s="372"/>
    </row>
    <row r="59" spans="2:13" ht="24.75" customHeight="1" thickBot="1" x14ac:dyDescent="0.25">
      <c r="C59" s="397"/>
      <c r="D59" s="398"/>
      <c r="E59" s="78" t="s">
        <v>11</v>
      </c>
      <c r="F59" s="79">
        <v>7.773299564262202</v>
      </c>
      <c r="G59" s="80">
        <v>4.2121037595690858E-2</v>
      </c>
      <c r="H59" s="81"/>
      <c r="I59" s="397"/>
      <c r="J59" s="78" t="s">
        <v>11</v>
      </c>
      <c r="K59" s="79">
        <v>8.6240824358419541</v>
      </c>
      <c r="L59" s="82">
        <v>5.7928207026151313E-2</v>
      </c>
      <c r="M59" s="403"/>
    </row>
    <row r="60" spans="2:13" ht="13.5" thickBot="1" x14ac:dyDescent="0.25">
      <c r="C60" s="399" t="s">
        <v>94</v>
      </c>
      <c r="D60" s="400"/>
      <c r="E60" s="400"/>
      <c r="F60" s="400"/>
      <c r="G60" s="400"/>
      <c r="H60" s="400"/>
      <c r="I60" s="400"/>
      <c r="J60" s="400"/>
      <c r="K60" s="400"/>
      <c r="L60" s="400"/>
      <c r="M60" s="401"/>
    </row>
    <row r="61" spans="2:13" ht="50.25" customHeight="1" thickBot="1" x14ac:dyDescent="0.25">
      <c r="C61" s="83"/>
      <c r="D61" s="83"/>
      <c r="E61" s="402" t="s">
        <v>92</v>
      </c>
      <c r="F61" s="402"/>
      <c r="G61" s="402"/>
      <c r="H61" s="402"/>
      <c r="I61" s="402"/>
      <c r="J61" s="402"/>
      <c r="K61" s="402"/>
      <c r="L61" s="83"/>
      <c r="M61" s="83"/>
    </row>
    <row r="62" spans="2:13" ht="15" customHeight="1" x14ac:dyDescent="0.2">
      <c r="B62" s="4"/>
      <c r="C62" s="382" t="s">
        <v>93</v>
      </c>
      <c r="D62" s="382"/>
      <c r="E62" s="382"/>
      <c r="F62" s="382"/>
      <c r="G62" s="382"/>
      <c r="H62" s="5"/>
      <c r="I62" s="384" t="str">
        <f>I2</f>
        <v>I cuatrimestre 2017</v>
      </c>
      <c r="J62" s="384"/>
      <c r="K62" s="384"/>
      <c r="L62" s="384"/>
      <c r="M62" s="384"/>
    </row>
    <row r="63" spans="2:13" ht="16.5" customHeight="1" thickBot="1" x14ac:dyDescent="0.25">
      <c r="B63" s="4"/>
      <c r="C63" s="383"/>
      <c r="D63" s="383"/>
      <c r="E63" s="383"/>
      <c r="F63" s="383"/>
      <c r="G63" s="383"/>
      <c r="H63" s="6"/>
      <c r="I63" s="385"/>
      <c r="J63" s="385"/>
      <c r="K63" s="385"/>
      <c r="L63" s="385"/>
      <c r="M63" s="385"/>
    </row>
    <row r="64" spans="2:13" ht="81.75" customHeight="1" x14ac:dyDescent="0.2">
      <c r="C64" s="386" t="str">
        <f t="shared" ref="C64:G64" si="0">C5</f>
        <v>Ámbito</v>
      </c>
      <c r="D64" s="387">
        <f t="shared" si="0"/>
        <v>0</v>
      </c>
      <c r="E64" s="15" t="str">
        <f t="shared" si="0"/>
        <v>Variable</v>
      </c>
      <c r="F64" s="15" t="str">
        <f t="shared" si="0"/>
        <v>Valor absoluto
mensual</v>
      </c>
      <c r="G64" s="15" t="str">
        <f t="shared" si="0"/>
        <v>Variación respecto al período anterior</v>
      </c>
      <c r="H64" s="17"/>
      <c r="I64" s="15" t="str">
        <f>I5</f>
        <v>Ámbito</v>
      </c>
      <c r="J64" s="15" t="str">
        <f t="shared" ref="J64:M64" si="1">J5</f>
        <v>Variable</v>
      </c>
      <c r="K64" s="15" t="str">
        <f t="shared" si="1"/>
        <v>Valor absoluto
acumulado</v>
      </c>
      <c r="L64" s="15" t="str">
        <f t="shared" si="1"/>
        <v>Variación respecto al período anterior</v>
      </c>
      <c r="M64" s="16" t="str">
        <f t="shared" si="1"/>
        <v>Fuente</v>
      </c>
    </row>
    <row r="65" spans="3:13" ht="5.25" customHeight="1" thickBot="1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3:13" ht="20.100000000000001" customHeight="1" thickBot="1" x14ac:dyDescent="0.25">
      <c r="C66" s="262" t="s">
        <v>18</v>
      </c>
      <c r="D66" s="263"/>
      <c r="E66" s="263"/>
      <c r="F66" s="263"/>
      <c r="G66" s="263"/>
      <c r="H66" s="263"/>
      <c r="I66" s="263"/>
      <c r="J66" s="263"/>
      <c r="K66" s="263"/>
      <c r="L66" s="263"/>
      <c r="M66" s="264"/>
    </row>
    <row r="67" spans="3:13" ht="5.25" customHeight="1" thickBo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60"/>
    </row>
    <row r="68" spans="3:13" ht="24.75" customHeight="1" x14ac:dyDescent="0.2">
      <c r="C68" s="388" t="s">
        <v>7</v>
      </c>
      <c r="D68" s="389"/>
      <c r="E68" s="26" t="s">
        <v>8</v>
      </c>
      <c r="F68" s="84">
        <v>0.72158881833993416</v>
      </c>
      <c r="G68" s="40">
        <v>4.3566068655990886E-2</v>
      </c>
      <c r="H68" s="25"/>
      <c r="I68" s="388" t="s">
        <v>7</v>
      </c>
      <c r="J68" s="26" t="s">
        <v>8</v>
      </c>
      <c r="K68" s="84">
        <v>0.72434625217409532</v>
      </c>
      <c r="L68" s="28">
        <v>-4.4175874686597227E-3</v>
      </c>
      <c r="M68" s="372" t="s">
        <v>9</v>
      </c>
    </row>
    <row r="69" spans="3:13" ht="24.75" customHeight="1" x14ac:dyDescent="0.2">
      <c r="C69" s="390"/>
      <c r="D69" s="391"/>
      <c r="E69" s="29" t="s">
        <v>10</v>
      </c>
      <c r="F69" s="85">
        <v>0.79486300631615259</v>
      </c>
      <c r="G69" s="31">
        <v>2.6125208152323776E-2</v>
      </c>
      <c r="H69" s="32"/>
      <c r="I69" s="390"/>
      <c r="J69" s="29" t="s">
        <v>10</v>
      </c>
      <c r="K69" s="85">
        <v>0.79881670942105532</v>
      </c>
      <c r="L69" s="33">
        <v>-5.6630914157409507E-3</v>
      </c>
      <c r="M69" s="372"/>
    </row>
    <row r="70" spans="3:13" ht="24.75" customHeight="1" thickBot="1" x14ac:dyDescent="0.25">
      <c r="C70" s="392"/>
      <c r="D70" s="393"/>
      <c r="E70" s="35" t="s">
        <v>11</v>
      </c>
      <c r="F70" s="86">
        <v>0.61903899917536553</v>
      </c>
      <c r="G70" s="46">
        <v>7.7598683373765631E-2</v>
      </c>
      <c r="H70" s="32"/>
      <c r="I70" s="392"/>
      <c r="J70" s="35" t="s">
        <v>11</v>
      </c>
      <c r="K70" s="86">
        <v>0.62012221183048732</v>
      </c>
      <c r="L70" s="37">
        <v>-1.2623256884938261E-3</v>
      </c>
      <c r="M70" s="372"/>
    </row>
    <row r="71" spans="3:13" ht="24.75" hidden="1" customHeight="1" x14ac:dyDescent="0.2">
      <c r="C71" s="366" t="s">
        <v>12</v>
      </c>
      <c r="D71" s="367"/>
      <c r="E71" s="38" t="s">
        <v>8</v>
      </c>
      <c r="F71" s="87">
        <v>0.53027671645247187</v>
      </c>
      <c r="G71" s="40">
        <v>6.3401907509685884E-4</v>
      </c>
      <c r="H71" s="41"/>
      <c r="I71" s="366" t="s">
        <v>12</v>
      </c>
      <c r="J71" s="38" t="s">
        <v>8</v>
      </c>
      <c r="K71" s="87">
        <v>0.59868588630311448</v>
      </c>
      <c r="L71" s="28">
        <v>-7.5511624831506974E-2</v>
      </c>
      <c r="M71" s="372"/>
    </row>
    <row r="72" spans="3:13" ht="43.5" customHeight="1" thickBot="1" x14ac:dyDescent="0.25">
      <c r="C72" s="368"/>
      <c r="D72" s="369"/>
      <c r="E72" s="42" t="s">
        <v>10</v>
      </c>
      <c r="F72" s="88">
        <v>0.60176060964393641</v>
      </c>
      <c r="G72" s="31">
        <v>0.12707107424407593</v>
      </c>
      <c r="H72" s="41"/>
      <c r="I72" s="368"/>
      <c r="J72" s="42" t="s">
        <v>10</v>
      </c>
      <c r="K72" s="88">
        <v>0.67939166995138611</v>
      </c>
      <c r="L72" s="33">
        <v>3.8215872487019631E-2</v>
      </c>
      <c r="M72" s="372"/>
    </row>
    <row r="73" spans="3:13" ht="24.75" hidden="1" customHeight="1" x14ac:dyDescent="0.2">
      <c r="C73" s="370"/>
      <c r="D73" s="371"/>
      <c r="E73" s="44" t="s">
        <v>11</v>
      </c>
      <c r="F73" s="89">
        <v>0</v>
      </c>
      <c r="G73" s="46">
        <v>-1</v>
      </c>
      <c r="H73" s="41"/>
      <c r="I73" s="370"/>
      <c r="J73" s="44" t="s">
        <v>11</v>
      </c>
      <c r="K73" s="89">
        <v>0</v>
      </c>
      <c r="L73" s="37">
        <v>-1</v>
      </c>
      <c r="M73" s="372"/>
    </row>
    <row r="74" spans="3:13" ht="24.75" customHeight="1" x14ac:dyDescent="0.2">
      <c r="C74" s="373" t="s">
        <v>13</v>
      </c>
      <c r="D74" s="394"/>
      <c r="E74" s="47" t="s">
        <v>8</v>
      </c>
      <c r="F74" s="90">
        <v>0.52424522489217495</v>
      </c>
      <c r="G74" s="40">
        <v>0.19254261997102784</v>
      </c>
      <c r="H74" s="41"/>
      <c r="I74" s="373" t="s">
        <v>13</v>
      </c>
      <c r="J74" s="47" t="s">
        <v>8</v>
      </c>
      <c r="K74" s="90">
        <v>0.53206253850893404</v>
      </c>
      <c r="L74" s="28">
        <v>0.10519392562324481</v>
      </c>
      <c r="M74" s="372"/>
    </row>
    <row r="75" spans="3:13" ht="24.75" customHeight="1" x14ac:dyDescent="0.2">
      <c r="C75" s="374"/>
      <c r="D75" s="395"/>
      <c r="E75" s="49" t="s">
        <v>10</v>
      </c>
      <c r="F75" s="91">
        <v>0.52093425605536336</v>
      </c>
      <c r="G75" s="31">
        <v>0.18193506432695306</v>
      </c>
      <c r="H75" s="41"/>
      <c r="I75" s="374"/>
      <c r="J75" s="49" t="s">
        <v>10</v>
      </c>
      <c r="K75" s="91">
        <v>0.59273356401384081</v>
      </c>
      <c r="L75" s="33">
        <v>0.20844764094878965</v>
      </c>
      <c r="M75" s="372"/>
    </row>
    <row r="76" spans="3:13" ht="24.75" customHeight="1" thickBot="1" x14ac:dyDescent="0.25">
      <c r="C76" s="375"/>
      <c r="D76" s="396"/>
      <c r="E76" s="51" t="s">
        <v>11</v>
      </c>
      <c r="F76" s="92">
        <v>0.52804232804232809</v>
      </c>
      <c r="G76" s="46">
        <v>0.2064098160831298</v>
      </c>
      <c r="H76" s="41"/>
      <c r="I76" s="375"/>
      <c r="J76" s="51" t="s">
        <v>11</v>
      </c>
      <c r="K76" s="92">
        <v>0.46248346560846559</v>
      </c>
      <c r="L76" s="37">
        <v>-8.2040253472482894E-3</v>
      </c>
      <c r="M76" s="372"/>
    </row>
    <row r="77" spans="3:13" ht="24.75" customHeight="1" x14ac:dyDescent="0.2">
      <c r="C77" s="366" t="s">
        <v>14</v>
      </c>
      <c r="D77" s="367"/>
      <c r="E77" s="38" t="s">
        <v>8</v>
      </c>
      <c r="F77" s="87">
        <v>0.69579830930834252</v>
      </c>
      <c r="G77" s="40">
        <v>5.8506628834438246E-2</v>
      </c>
      <c r="H77" s="41"/>
      <c r="I77" s="366" t="s">
        <v>14</v>
      </c>
      <c r="J77" s="38" t="s">
        <v>8</v>
      </c>
      <c r="K77" s="87">
        <v>0.72725644143983026</v>
      </c>
      <c r="L77" s="28">
        <v>6.8708265538404145E-3</v>
      </c>
      <c r="M77" s="372"/>
    </row>
    <row r="78" spans="3:13" ht="24.75" customHeight="1" x14ac:dyDescent="0.2">
      <c r="C78" s="368"/>
      <c r="D78" s="369"/>
      <c r="E78" s="42" t="s">
        <v>10</v>
      </c>
      <c r="F78" s="88">
        <v>0.73854980383987778</v>
      </c>
      <c r="G78" s="31">
        <v>3.4201268556252939E-2</v>
      </c>
      <c r="H78" s="41"/>
      <c r="I78" s="368"/>
      <c r="J78" s="42" t="s">
        <v>10</v>
      </c>
      <c r="K78" s="88">
        <v>0.76359363607957509</v>
      </c>
      <c r="L78" s="33">
        <v>1.5234407785238435E-3</v>
      </c>
      <c r="M78" s="372"/>
    </row>
    <row r="79" spans="3:13" ht="24.75" customHeight="1" thickBot="1" x14ac:dyDescent="0.25">
      <c r="C79" s="370"/>
      <c r="D79" s="371"/>
      <c r="E79" s="44" t="s">
        <v>11</v>
      </c>
      <c r="F79" s="89">
        <v>0.60203312392918329</v>
      </c>
      <c r="G79" s="46">
        <v>0.12895429726063257</v>
      </c>
      <c r="H79" s="41"/>
      <c r="I79" s="370"/>
      <c r="J79" s="44" t="s">
        <v>11</v>
      </c>
      <c r="K79" s="89">
        <v>0.64755948981534361</v>
      </c>
      <c r="L79" s="37">
        <v>2.04305792306958E-2</v>
      </c>
      <c r="M79" s="372"/>
    </row>
    <row r="80" spans="3:13" ht="24.75" customHeight="1" x14ac:dyDescent="0.2">
      <c r="C80" s="376" t="s">
        <v>15</v>
      </c>
      <c r="D80" s="377"/>
      <c r="E80" s="53" t="s">
        <v>8</v>
      </c>
      <c r="F80" s="93">
        <v>0.73327041650937463</v>
      </c>
      <c r="G80" s="40">
        <v>4.1783530236717104E-2</v>
      </c>
      <c r="H80" s="41"/>
      <c r="I80" s="376" t="s">
        <v>15</v>
      </c>
      <c r="J80" s="53" t="s">
        <v>8</v>
      </c>
      <c r="K80" s="93">
        <v>0.72818785128560048</v>
      </c>
      <c r="L80" s="28">
        <v>-5.4292852788984103E-3</v>
      </c>
      <c r="M80" s="372"/>
    </row>
    <row r="81" spans="3:13" ht="24.75" customHeight="1" x14ac:dyDescent="0.2">
      <c r="C81" s="378"/>
      <c r="D81" s="379"/>
      <c r="E81" s="55" t="s">
        <v>10</v>
      </c>
      <c r="F81" s="94">
        <v>0.8194093186301642</v>
      </c>
      <c r="G81" s="31">
        <v>2.1826515736364183E-2</v>
      </c>
      <c r="H81" s="41"/>
      <c r="I81" s="378"/>
      <c r="J81" s="55" t="s">
        <v>10</v>
      </c>
      <c r="K81" s="94">
        <v>0.81440619633556155</v>
      </c>
      <c r="L81" s="33">
        <v>-9.3023704329519008E-3</v>
      </c>
      <c r="M81" s="372"/>
    </row>
    <row r="82" spans="3:13" ht="24.75" customHeight="1" thickBot="1" x14ac:dyDescent="0.25">
      <c r="C82" s="380"/>
      <c r="D82" s="381"/>
      <c r="E82" s="57" t="s">
        <v>11</v>
      </c>
      <c r="F82" s="95">
        <v>0.62620874565627704</v>
      </c>
      <c r="G82" s="46">
        <v>7.6585149735653335E-2</v>
      </c>
      <c r="H82" s="41"/>
      <c r="I82" s="380"/>
      <c r="J82" s="57" t="s">
        <v>11</v>
      </c>
      <c r="K82" s="95">
        <v>0.62102744115762054</v>
      </c>
      <c r="L82" s="37">
        <v>1.4487069180726397E-3</v>
      </c>
      <c r="M82" s="372"/>
    </row>
    <row r="83" spans="3:13" ht="5.25" customHeight="1" thickBo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3:13" ht="20.100000000000001" customHeight="1" thickBot="1" x14ac:dyDescent="0.25">
      <c r="C84" s="262" t="s">
        <v>19</v>
      </c>
      <c r="D84" s="263"/>
      <c r="E84" s="263"/>
      <c r="F84" s="263"/>
      <c r="G84" s="263"/>
      <c r="H84" s="263"/>
      <c r="I84" s="263"/>
      <c r="J84" s="263"/>
      <c r="K84" s="263"/>
      <c r="L84" s="263"/>
      <c r="M84" s="264"/>
    </row>
    <row r="85" spans="3:13" ht="5.25" customHeight="1" thickBot="1" x14ac:dyDescent="0.25">
      <c r="C85" s="96"/>
      <c r="D85" s="20"/>
      <c r="E85" s="20"/>
      <c r="F85" s="20"/>
      <c r="G85" s="20"/>
      <c r="H85" s="20"/>
      <c r="I85" s="20"/>
      <c r="J85" s="20"/>
      <c r="K85" s="20"/>
      <c r="L85" s="20"/>
      <c r="M85" s="60"/>
    </row>
    <row r="86" spans="3:13" ht="33.75" customHeight="1" x14ac:dyDescent="0.2">
      <c r="C86" s="366" t="s">
        <v>7</v>
      </c>
      <c r="D86" s="367"/>
      <c r="E86" s="38" t="s">
        <v>20</v>
      </c>
      <c r="F86" s="39">
        <v>56007</v>
      </c>
      <c r="G86" s="40">
        <v>0.12364577481743044</v>
      </c>
      <c r="H86" s="97"/>
      <c r="I86" s="366" t="s">
        <v>7</v>
      </c>
      <c r="J86" s="38" t="s">
        <v>20</v>
      </c>
      <c r="K86" s="39">
        <v>208952</v>
      </c>
      <c r="L86" s="28">
        <v>7.6761347239971967E-2</v>
      </c>
      <c r="M86" s="372" t="s">
        <v>9</v>
      </c>
    </row>
    <row r="87" spans="3:13" ht="33.75" customHeight="1" x14ac:dyDescent="0.2">
      <c r="C87" s="368"/>
      <c r="D87" s="369"/>
      <c r="E87" s="55" t="s">
        <v>21</v>
      </c>
      <c r="F87" s="56">
        <v>202804</v>
      </c>
      <c r="G87" s="31">
        <v>8.9559134816852293E-2</v>
      </c>
      <c r="H87" s="41"/>
      <c r="I87" s="368"/>
      <c r="J87" s="55" t="s">
        <v>21</v>
      </c>
      <c r="K87" s="56">
        <v>725462</v>
      </c>
      <c r="L87" s="33">
        <v>9.4915263671291328E-3</v>
      </c>
      <c r="M87" s="372"/>
    </row>
    <row r="88" spans="3:13" ht="33.75" customHeight="1" x14ac:dyDescent="0.2">
      <c r="C88" s="368"/>
      <c r="D88" s="369"/>
      <c r="E88" s="42" t="s">
        <v>22</v>
      </c>
      <c r="F88" s="43">
        <v>64037</v>
      </c>
      <c r="G88" s="31">
        <v>-5.3742944114430924E-2</v>
      </c>
      <c r="H88" s="41"/>
      <c r="I88" s="368"/>
      <c r="J88" s="42" t="s">
        <v>22</v>
      </c>
      <c r="K88" s="43">
        <v>233918</v>
      </c>
      <c r="L88" s="33">
        <v>-5.8763409275637613E-2</v>
      </c>
      <c r="M88" s="372"/>
    </row>
    <row r="89" spans="3:13" ht="33.75" customHeight="1" x14ac:dyDescent="0.2">
      <c r="C89" s="368"/>
      <c r="D89" s="369"/>
      <c r="E89" s="55" t="s">
        <v>23</v>
      </c>
      <c r="F89" s="56">
        <v>17691</v>
      </c>
      <c r="G89" s="31">
        <v>0.42336471156167033</v>
      </c>
      <c r="H89" s="41"/>
      <c r="I89" s="368"/>
      <c r="J89" s="55" t="s">
        <v>23</v>
      </c>
      <c r="K89" s="56">
        <v>68745</v>
      </c>
      <c r="L89" s="33">
        <v>0.27279628223880326</v>
      </c>
      <c r="M89" s="372"/>
    </row>
    <row r="90" spans="3:13" ht="33.75" customHeight="1" thickBot="1" x14ac:dyDescent="0.25">
      <c r="C90" s="370"/>
      <c r="D90" s="371"/>
      <c r="E90" s="44" t="s">
        <v>24</v>
      </c>
      <c r="F90" s="45">
        <v>4785</v>
      </c>
      <c r="G90" s="46">
        <v>-7.6731646619659921E-3</v>
      </c>
      <c r="H90" s="98"/>
      <c r="I90" s="370"/>
      <c r="J90" s="44" t="s">
        <v>24</v>
      </c>
      <c r="K90" s="45">
        <v>20288</v>
      </c>
      <c r="L90" s="37">
        <v>-9.5255083838744148E-2</v>
      </c>
      <c r="M90" s="372"/>
    </row>
    <row r="91" spans="3:13" ht="5.25" customHeight="1" thickBot="1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3:13" ht="20.100000000000001" customHeight="1" thickBot="1" x14ac:dyDescent="0.25">
      <c r="C92" s="262" t="s">
        <v>25</v>
      </c>
      <c r="D92" s="263"/>
      <c r="E92" s="263"/>
      <c r="F92" s="263"/>
      <c r="G92" s="263"/>
      <c r="H92" s="263"/>
      <c r="I92" s="263"/>
      <c r="J92" s="263"/>
      <c r="K92" s="263"/>
      <c r="L92" s="263"/>
      <c r="M92" s="264"/>
    </row>
    <row r="93" spans="3:13" ht="5.25" customHeight="1" thickBot="1" x14ac:dyDescent="0.25">
      <c r="C93" s="96"/>
      <c r="D93" s="20"/>
      <c r="E93" s="20"/>
      <c r="F93" s="20"/>
      <c r="G93" s="20"/>
      <c r="H93" s="20"/>
      <c r="I93" s="20"/>
      <c r="J93" s="20"/>
      <c r="K93" s="20"/>
      <c r="L93" s="20"/>
      <c r="M93" s="60"/>
    </row>
    <row r="94" spans="3:13" s="99" customFormat="1" ht="33.75" customHeight="1" x14ac:dyDescent="0.2">
      <c r="C94" s="366" t="s">
        <v>7</v>
      </c>
      <c r="D94" s="367"/>
      <c r="E94" s="38" t="s">
        <v>20</v>
      </c>
      <c r="F94" s="39">
        <v>358715</v>
      </c>
      <c r="G94" s="40">
        <v>9.792452887938019E-2</v>
      </c>
      <c r="H94" s="97"/>
      <c r="I94" s="366" t="s">
        <v>7</v>
      </c>
      <c r="J94" s="38" t="s">
        <v>20</v>
      </c>
      <c r="K94" s="39">
        <v>1441213</v>
      </c>
      <c r="L94" s="28">
        <v>7.9617717496585971E-2</v>
      </c>
      <c r="M94" s="372" t="s">
        <v>9</v>
      </c>
    </row>
    <row r="95" spans="3:13" s="99" customFormat="1" ht="33.75" customHeight="1" x14ac:dyDescent="0.2">
      <c r="C95" s="368"/>
      <c r="D95" s="369"/>
      <c r="E95" s="55" t="s">
        <v>21</v>
      </c>
      <c r="F95" s="56">
        <v>1401701</v>
      </c>
      <c r="G95" s="31">
        <v>4.8814706291686605E-2</v>
      </c>
      <c r="H95" s="41"/>
      <c r="I95" s="368"/>
      <c r="J95" s="55" t="s">
        <v>21</v>
      </c>
      <c r="K95" s="56">
        <v>5552304</v>
      </c>
      <c r="L95" s="33">
        <v>-1.0088627161523922E-2</v>
      </c>
      <c r="M95" s="372" t="s">
        <v>26</v>
      </c>
    </row>
    <row r="96" spans="3:13" s="99" customFormat="1" ht="33.75" customHeight="1" x14ac:dyDescent="0.2">
      <c r="C96" s="368"/>
      <c r="D96" s="369"/>
      <c r="E96" s="42" t="s">
        <v>22</v>
      </c>
      <c r="F96" s="43">
        <v>381076</v>
      </c>
      <c r="G96" s="31">
        <v>-9.8883169028572193E-2</v>
      </c>
      <c r="H96" s="41"/>
      <c r="I96" s="368"/>
      <c r="J96" s="42" t="s">
        <v>22</v>
      </c>
      <c r="K96" s="43">
        <v>1569028</v>
      </c>
      <c r="L96" s="33">
        <v>-0.1018317953884551</v>
      </c>
      <c r="M96" s="372" t="s">
        <v>26</v>
      </c>
    </row>
    <row r="97" spans="3:15" s="99" customFormat="1" ht="33.75" customHeight="1" x14ac:dyDescent="0.2">
      <c r="C97" s="368"/>
      <c r="D97" s="369"/>
      <c r="E97" s="55" t="s">
        <v>23</v>
      </c>
      <c r="F97" s="56">
        <v>52173</v>
      </c>
      <c r="G97" s="31">
        <v>0.11628653344173911</v>
      </c>
      <c r="H97" s="41"/>
      <c r="I97" s="368"/>
      <c r="J97" s="55" t="s">
        <v>23</v>
      </c>
      <c r="K97" s="56">
        <v>247453</v>
      </c>
      <c r="L97" s="33">
        <v>0.11956511903576961</v>
      </c>
      <c r="M97" s="372" t="s">
        <v>26</v>
      </c>
    </row>
    <row r="98" spans="3:15" s="99" customFormat="1" ht="33.75" customHeight="1" thickBot="1" x14ac:dyDescent="0.25">
      <c r="C98" s="370"/>
      <c r="D98" s="371"/>
      <c r="E98" s="44" t="s">
        <v>24</v>
      </c>
      <c r="F98" s="45">
        <v>18709</v>
      </c>
      <c r="G98" s="46">
        <v>5.6886227544910239E-2</v>
      </c>
      <c r="H98" s="98"/>
      <c r="I98" s="370"/>
      <c r="J98" s="44" t="s">
        <v>24</v>
      </c>
      <c r="K98" s="45">
        <v>83516</v>
      </c>
      <c r="L98" s="37">
        <v>-3.3890214797136498E-3</v>
      </c>
      <c r="M98" s="372" t="s">
        <v>26</v>
      </c>
    </row>
    <row r="99" spans="3:15" ht="5.25" customHeight="1" thickBot="1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3:15" ht="20.100000000000001" customHeight="1" thickBot="1" x14ac:dyDescent="0.25">
      <c r="C100" s="262" t="s">
        <v>27</v>
      </c>
      <c r="D100" s="263"/>
      <c r="E100" s="263"/>
      <c r="F100" s="263"/>
      <c r="G100" s="263"/>
      <c r="H100" s="263"/>
      <c r="I100" s="263"/>
      <c r="J100" s="263"/>
      <c r="K100" s="263"/>
      <c r="L100" s="263"/>
      <c r="M100" s="264"/>
    </row>
    <row r="101" spans="3:15" ht="5.25" customHeight="1" thickBot="1" x14ac:dyDescent="0.25">
      <c r="C101" s="96"/>
      <c r="D101" s="20"/>
      <c r="E101" s="20"/>
      <c r="F101" s="20"/>
      <c r="G101" s="20"/>
      <c r="H101" s="20"/>
      <c r="I101" s="20"/>
      <c r="J101" s="20"/>
      <c r="K101" s="20"/>
      <c r="L101" s="20"/>
      <c r="M101" s="60"/>
    </row>
    <row r="102" spans="3:15" ht="33.75" customHeight="1" x14ac:dyDescent="0.2">
      <c r="C102" s="366" t="s">
        <v>7</v>
      </c>
      <c r="D102" s="367"/>
      <c r="E102" s="38" t="s">
        <v>20</v>
      </c>
      <c r="F102" s="100">
        <v>6.4048243969503815</v>
      </c>
      <c r="G102" s="62">
        <v>-0.15004680118781</v>
      </c>
      <c r="H102" s="97"/>
      <c r="I102" s="366" t="s">
        <v>7</v>
      </c>
      <c r="J102" s="38" t="s">
        <v>20</v>
      </c>
      <c r="K102" s="100">
        <v>6.8973400589609097</v>
      </c>
      <c r="L102" s="63">
        <v>1.8248456536866797E-2</v>
      </c>
      <c r="M102" s="372" t="s">
        <v>9</v>
      </c>
    </row>
    <row r="103" spans="3:15" ht="33.75" customHeight="1" x14ac:dyDescent="0.2">
      <c r="C103" s="368"/>
      <c r="D103" s="369"/>
      <c r="E103" s="49" t="s">
        <v>21</v>
      </c>
      <c r="F103" s="101">
        <v>6.9116043076073455</v>
      </c>
      <c r="G103" s="65">
        <v>-0.26850249716770946</v>
      </c>
      <c r="H103" s="41"/>
      <c r="I103" s="368"/>
      <c r="J103" s="49" t="s">
        <v>21</v>
      </c>
      <c r="K103" s="101">
        <v>7.6534732349868086</v>
      </c>
      <c r="L103" s="66">
        <v>-0.15138343197207593</v>
      </c>
      <c r="M103" s="372" t="s">
        <v>26</v>
      </c>
    </row>
    <row r="104" spans="3:15" ht="33.75" customHeight="1" x14ac:dyDescent="0.2">
      <c r="C104" s="368"/>
      <c r="D104" s="369"/>
      <c r="E104" s="42" t="s">
        <v>22</v>
      </c>
      <c r="F104" s="102">
        <v>5.9508721520371033</v>
      </c>
      <c r="G104" s="65">
        <v>-0.29810086566541205</v>
      </c>
      <c r="H104" s="41"/>
      <c r="I104" s="368"/>
      <c r="J104" s="42" t="s">
        <v>22</v>
      </c>
      <c r="K104" s="102">
        <v>6.7075983891791138</v>
      </c>
      <c r="L104" s="66">
        <v>-0.3216384590677217</v>
      </c>
      <c r="M104" s="372" t="s">
        <v>26</v>
      </c>
      <c r="O104" s="103"/>
    </row>
    <row r="105" spans="3:15" ht="33.75" customHeight="1" x14ac:dyDescent="0.2">
      <c r="C105" s="368"/>
      <c r="D105" s="369"/>
      <c r="E105" s="49" t="s">
        <v>23</v>
      </c>
      <c r="F105" s="101">
        <v>2.9491266745802949</v>
      </c>
      <c r="G105" s="65">
        <v>-0.81127239211855473</v>
      </c>
      <c r="H105" s="41"/>
      <c r="I105" s="368"/>
      <c r="J105" s="49" t="s">
        <v>23</v>
      </c>
      <c r="K105" s="101">
        <v>3.5995781511382647</v>
      </c>
      <c r="L105" s="66">
        <v>-0.49266231839571883</v>
      </c>
      <c r="M105" s="372" t="s">
        <v>26</v>
      </c>
    </row>
    <row r="106" spans="3:15" ht="33.75" customHeight="1" thickBot="1" x14ac:dyDescent="0.25">
      <c r="C106" s="370"/>
      <c r="D106" s="371"/>
      <c r="E106" s="44" t="s">
        <v>24</v>
      </c>
      <c r="F106" s="104">
        <v>3.909926854754441</v>
      </c>
      <c r="G106" s="68">
        <v>0.23883602107546942</v>
      </c>
      <c r="H106" s="98"/>
      <c r="I106" s="370"/>
      <c r="J106" s="44" t="s">
        <v>24</v>
      </c>
      <c r="K106" s="104">
        <v>4.1165220820189274</v>
      </c>
      <c r="L106" s="69">
        <v>0.37945465426295177</v>
      </c>
      <c r="M106" s="372" t="s">
        <v>26</v>
      </c>
    </row>
    <row r="107" spans="3:15" ht="5.25" customHeight="1" thickBot="1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3:15" ht="20.100000000000001" customHeight="1" thickBot="1" x14ac:dyDescent="0.25">
      <c r="C108" s="262" t="s">
        <v>28</v>
      </c>
      <c r="D108" s="263"/>
      <c r="E108" s="263"/>
      <c r="F108" s="263"/>
      <c r="G108" s="263"/>
      <c r="H108" s="263"/>
      <c r="I108" s="263"/>
      <c r="J108" s="263"/>
      <c r="K108" s="263"/>
      <c r="L108" s="263"/>
      <c r="M108" s="264"/>
    </row>
    <row r="109" spans="3:15" ht="5.25" customHeight="1" thickBot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05"/>
    </row>
    <row r="110" spans="3:15" ht="33.75" customHeight="1" x14ac:dyDescent="0.2">
      <c r="C110" s="366" t="s">
        <v>7</v>
      </c>
      <c r="D110" s="367"/>
      <c r="E110" s="38" t="s">
        <v>20</v>
      </c>
      <c r="F110" s="87">
        <v>0.79836860964590151</v>
      </c>
      <c r="G110" s="40">
        <v>-5.2727336973557026E-4</v>
      </c>
      <c r="H110" s="97"/>
      <c r="I110" s="366" t="s">
        <v>7</v>
      </c>
      <c r="J110" s="38" t="s">
        <v>20</v>
      </c>
      <c r="K110" s="87">
        <v>0.80190347421602015</v>
      </c>
      <c r="L110" s="28">
        <v>-9.0024352884630066E-3</v>
      </c>
      <c r="M110" s="372" t="s">
        <v>9</v>
      </c>
    </row>
    <row r="111" spans="3:15" ht="33.75" customHeight="1" x14ac:dyDescent="0.2">
      <c r="C111" s="368"/>
      <c r="D111" s="369"/>
      <c r="E111" s="49" t="s">
        <v>21</v>
      </c>
      <c r="F111" s="91">
        <v>0.83317046785189941</v>
      </c>
      <c r="G111" s="31">
        <v>4.1389833551484401E-2</v>
      </c>
      <c r="H111" s="41"/>
      <c r="I111" s="368"/>
      <c r="J111" s="49" t="s">
        <v>21</v>
      </c>
      <c r="K111" s="91">
        <v>0.82507177374774876</v>
      </c>
      <c r="L111" s="33">
        <v>-8.9056431478455877E-3</v>
      </c>
      <c r="M111" s="372" t="s">
        <v>26</v>
      </c>
    </row>
    <row r="112" spans="3:15" ht="33.75" customHeight="1" x14ac:dyDescent="0.2">
      <c r="C112" s="368"/>
      <c r="D112" s="369"/>
      <c r="E112" s="42" t="s">
        <v>22</v>
      </c>
      <c r="F112" s="88">
        <v>0.7274802894068686</v>
      </c>
      <c r="G112" s="31">
        <v>-2.3846007798834168E-2</v>
      </c>
      <c r="H112" s="41"/>
      <c r="I112" s="368"/>
      <c r="J112" s="42" t="s">
        <v>22</v>
      </c>
      <c r="K112" s="88">
        <v>0.74882500047725409</v>
      </c>
      <c r="L112" s="33">
        <v>-1.893217149766524E-2</v>
      </c>
      <c r="M112" s="372" t="s">
        <v>26</v>
      </c>
    </row>
    <row r="113" spans="3:19" ht="33.75" customHeight="1" x14ac:dyDescent="0.2">
      <c r="C113" s="368"/>
      <c r="D113" s="369"/>
      <c r="E113" s="49" t="s">
        <v>23</v>
      </c>
      <c r="F113" s="91">
        <v>0.55262154432793131</v>
      </c>
      <c r="G113" s="31">
        <v>0.11344881743680291</v>
      </c>
      <c r="H113" s="41"/>
      <c r="I113" s="368"/>
      <c r="J113" s="49" t="s">
        <v>23</v>
      </c>
      <c r="K113" s="91">
        <v>0.65526162482787842</v>
      </c>
      <c r="L113" s="33">
        <v>0.12602506076434428</v>
      </c>
      <c r="M113" s="372" t="s">
        <v>26</v>
      </c>
    </row>
    <row r="114" spans="3:19" ht="33.75" customHeight="1" thickBot="1" x14ac:dyDescent="0.25">
      <c r="C114" s="370"/>
      <c r="D114" s="371"/>
      <c r="E114" s="44" t="s">
        <v>24</v>
      </c>
      <c r="F114" s="89">
        <v>0.5598144823459007</v>
      </c>
      <c r="G114" s="46">
        <v>0.11001515819348739</v>
      </c>
      <c r="H114" s="98"/>
      <c r="I114" s="370"/>
      <c r="J114" s="44" t="s">
        <v>24</v>
      </c>
      <c r="K114" s="89">
        <v>0.62474566128067022</v>
      </c>
      <c r="L114" s="37">
        <v>5.5432497225590405E-2</v>
      </c>
      <c r="M114" s="372" t="s">
        <v>26</v>
      </c>
    </row>
    <row r="115" spans="3:19" ht="5.25" customHeight="1" thickBot="1" x14ac:dyDescent="0.25">
      <c r="C115" s="106"/>
      <c r="D115" s="106"/>
      <c r="E115" s="107"/>
      <c r="F115" s="59"/>
      <c r="G115" s="108"/>
      <c r="H115" s="109"/>
      <c r="I115" s="59"/>
      <c r="J115" s="108"/>
      <c r="K115" s="107"/>
      <c r="L115" s="106"/>
      <c r="M115" s="110"/>
    </row>
    <row r="116" spans="3:19" ht="17.25" customHeight="1" thickBot="1" x14ac:dyDescent="0.25">
      <c r="C116" s="353"/>
      <c r="D116" s="354"/>
      <c r="E116" s="354"/>
      <c r="F116" s="354"/>
      <c r="G116" s="354"/>
      <c r="H116" s="354"/>
      <c r="I116" s="354"/>
      <c r="J116" s="354"/>
      <c r="K116" s="354"/>
      <c r="L116" s="354"/>
      <c r="M116" s="355"/>
    </row>
    <row r="117" spans="3:19" ht="50.25" customHeight="1" thickBot="1" x14ac:dyDescent="0.25">
      <c r="C117" s="2"/>
      <c r="D117" s="2"/>
      <c r="E117" s="286" t="str">
        <f>$E$1</f>
        <v>INDICADORES TURÍSTICOS DE TENERIFE definitivo</v>
      </c>
      <c r="F117" s="286"/>
      <c r="G117" s="286"/>
      <c r="H117" s="286"/>
      <c r="I117" s="286"/>
      <c r="J117" s="286"/>
      <c r="K117" s="286"/>
      <c r="L117" s="2"/>
      <c r="M117" s="2"/>
    </row>
    <row r="118" spans="3:19" s="1" customFormat="1" ht="9" customHeight="1" thickBot="1" x14ac:dyDescent="0.25">
      <c r="C118" s="111"/>
      <c r="D118" s="112"/>
      <c r="E118" s="113"/>
      <c r="F118" s="113"/>
      <c r="G118" s="113"/>
      <c r="H118" s="113"/>
      <c r="I118" s="113"/>
      <c r="J118" s="113"/>
      <c r="K118" s="113"/>
      <c r="L118" s="112"/>
      <c r="M118" s="114"/>
      <c r="O118" s="3"/>
      <c r="P118" s="3"/>
      <c r="Q118" s="3"/>
      <c r="R118" s="3"/>
      <c r="S118" s="3"/>
    </row>
    <row r="119" spans="3:19" ht="33" customHeight="1" thickBot="1" x14ac:dyDescent="0.25">
      <c r="C119" s="361" t="s">
        <v>29</v>
      </c>
      <c r="D119" s="362"/>
      <c r="E119" s="362"/>
      <c r="F119" s="362"/>
      <c r="G119" s="362"/>
      <c r="H119" s="362"/>
      <c r="I119" s="362"/>
      <c r="J119" s="362"/>
      <c r="K119" s="362"/>
      <c r="L119" s="362"/>
      <c r="M119" s="363"/>
    </row>
    <row r="120" spans="3:19" ht="20.100000000000001" customHeight="1" x14ac:dyDescent="0.2">
      <c r="C120" s="115"/>
      <c r="D120" s="116"/>
      <c r="E120" s="116"/>
      <c r="F120" s="116"/>
      <c r="G120" s="364" t="str">
        <f>C2</f>
        <v>abril 2017</v>
      </c>
      <c r="H120" s="365"/>
      <c r="I120" s="365"/>
      <c r="J120" s="116"/>
      <c r="K120" s="116"/>
      <c r="L120" s="116"/>
      <c r="M120" s="117"/>
    </row>
    <row r="121" spans="3:19" ht="5.25" customHeight="1" thickBot="1" x14ac:dyDescent="0.25">
      <c r="C121" s="118"/>
      <c r="D121" s="116"/>
      <c r="E121" s="116"/>
      <c r="F121" s="116"/>
      <c r="G121" s="119"/>
      <c r="H121" s="119"/>
      <c r="I121" s="119"/>
      <c r="J121" s="116"/>
      <c r="K121" s="116"/>
      <c r="L121" s="116"/>
      <c r="M121" s="120"/>
    </row>
    <row r="122" spans="3:19" ht="33" customHeight="1" thickTop="1" thickBot="1" x14ac:dyDescent="0.25">
      <c r="C122" s="121"/>
      <c r="D122" s="344" t="s">
        <v>7</v>
      </c>
      <c r="E122" s="345"/>
      <c r="F122" s="344" t="s">
        <v>30</v>
      </c>
      <c r="G122" s="345"/>
      <c r="H122" s="344" t="s">
        <v>31</v>
      </c>
      <c r="I122" s="345"/>
      <c r="J122" s="344" t="s">
        <v>32</v>
      </c>
      <c r="K122" s="345"/>
      <c r="L122" s="344" t="s">
        <v>33</v>
      </c>
      <c r="M122" s="345"/>
    </row>
    <row r="123" spans="3:19" ht="31.5" customHeight="1" thickBot="1" x14ac:dyDescent="0.25">
      <c r="C123" s="122"/>
      <c r="D123" s="123" t="s">
        <v>34</v>
      </c>
      <c r="E123" s="124" t="s">
        <v>35</v>
      </c>
      <c r="F123" s="123" t="s">
        <v>34</v>
      </c>
      <c r="G123" s="124" t="s">
        <v>35</v>
      </c>
      <c r="H123" s="123" t="s">
        <v>34</v>
      </c>
      <c r="I123" s="124" t="s">
        <v>35</v>
      </c>
      <c r="J123" s="123" t="s">
        <v>34</v>
      </c>
      <c r="K123" s="124" t="s">
        <v>35</v>
      </c>
      <c r="L123" s="123" t="s">
        <v>34</v>
      </c>
      <c r="M123" s="124" t="s">
        <v>35</v>
      </c>
    </row>
    <row r="124" spans="3:19" ht="24" customHeight="1" thickBot="1" x14ac:dyDescent="0.25">
      <c r="C124" s="125" t="s">
        <v>36</v>
      </c>
      <c r="D124" s="126">
        <v>116100</v>
      </c>
      <c r="E124" s="127">
        <v>0.19772216147069144</v>
      </c>
      <c r="F124" s="126">
        <v>12800</v>
      </c>
      <c r="G124" s="127">
        <v>-6.7123387508199128E-2</v>
      </c>
      <c r="H124" s="126">
        <v>1798</v>
      </c>
      <c r="I124" s="127">
        <v>7.7937649880095883E-2</v>
      </c>
      <c r="J124" s="126">
        <v>45873</v>
      </c>
      <c r="K124" s="127">
        <v>0.16630224753381473</v>
      </c>
      <c r="L124" s="126">
        <v>55629</v>
      </c>
      <c r="M124" s="127">
        <v>0.31781678629805987</v>
      </c>
    </row>
    <row r="125" spans="3:19" ht="27" customHeight="1" thickBot="1" x14ac:dyDescent="0.25">
      <c r="C125" s="128" t="s">
        <v>37</v>
      </c>
      <c r="D125" s="129">
        <v>30964.490578416597</v>
      </c>
      <c r="E125" s="130">
        <v>0.14153371625610389</v>
      </c>
      <c r="F125" s="129" t="s">
        <v>38</v>
      </c>
      <c r="G125" s="130" t="s">
        <v>38</v>
      </c>
      <c r="H125" s="129" t="s">
        <v>38</v>
      </c>
      <c r="I125" s="130" t="s">
        <v>38</v>
      </c>
      <c r="J125" s="129" t="s">
        <v>38</v>
      </c>
      <c r="K125" s="130" t="s">
        <v>38</v>
      </c>
      <c r="L125" s="129" t="s">
        <v>38</v>
      </c>
      <c r="M125" s="130" t="s">
        <v>38</v>
      </c>
    </row>
    <row r="126" spans="3:19" ht="28.5" customHeight="1" thickBot="1" x14ac:dyDescent="0.25">
      <c r="C126" s="131" t="s">
        <v>39</v>
      </c>
      <c r="D126" s="132">
        <v>13056.844840223401</v>
      </c>
      <c r="E126" s="133">
        <v>-8.2983143534665071E-4</v>
      </c>
      <c r="F126" s="132" t="s">
        <v>38</v>
      </c>
      <c r="G126" s="133" t="s">
        <v>38</v>
      </c>
      <c r="H126" s="132" t="s">
        <v>38</v>
      </c>
      <c r="I126" s="133" t="s">
        <v>38</v>
      </c>
      <c r="J126" s="132" t="s">
        <v>38</v>
      </c>
      <c r="K126" s="133" t="s">
        <v>38</v>
      </c>
      <c r="L126" s="132" t="s">
        <v>38</v>
      </c>
      <c r="M126" s="133" t="s">
        <v>38</v>
      </c>
    </row>
    <row r="127" spans="3:19" ht="27.75" customHeight="1" thickBot="1" x14ac:dyDescent="0.25">
      <c r="C127" s="131" t="s">
        <v>40</v>
      </c>
      <c r="D127" s="132">
        <v>72078.664581360004</v>
      </c>
      <c r="E127" s="133">
        <v>0.27031073896464819</v>
      </c>
      <c r="F127" s="132" t="s">
        <v>38</v>
      </c>
      <c r="G127" s="133" t="s">
        <v>38</v>
      </c>
      <c r="H127" s="132" t="s">
        <v>38</v>
      </c>
      <c r="I127" s="133" t="s">
        <v>38</v>
      </c>
      <c r="J127" s="132" t="s">
        <v>38</v>
      </c>
      <c r="K127" s="133" t="s">
        <v>38</v>
      </c>
      <c r="L127" s="132" t="s">
        <v>38</v>
      </c>
      <c r="M127" s="133" t="s">
        <v>38</v>
      </c>
    </row>
    <row r="128" spans="3:19" ht="24" customHeight="1" thickBot="1" x14ac:dyDescent="0.25">
      <c r="C128" s="134" t="s">
        <v>41</v>
      </c>
      <c r="D128" s="135">
        <v>17697</v>
      </c>
      <c r="E128" s="133">
        <v>-0.11470735367683838</v>
      </c>
      <c r="F128" s="135">
        <v>107</v>
      </c>
      <c r="G128" s="133">
        <v>-0.25174825174825177</v>
      </c>
      <c r="H128" s="135">
        <v>101</v>
      </c>
      <c r="I128" s="133">
        <v>0.36486486486486491</v>
      </c>
      <c r="J128" s="135">
        <v>1169</v>
      </c>
      <c r="K128" s="133">
        <v>0.43611793611793614</v>
      </c>
      <c r="L128" s="135">
        <v>16320</v>
      </c>
      <c r="M128" s="133">
        <v>-0.1391951052270689</v>
      </c>
    </row>
    <row r="129" spans="3:13" ht="24" customHeight="1" thickBot="1" x14ac:dyDescent="0.25">
      <c r="C129" s="136" t="s">
        <v>42</v>
      </c>
      <c r="D129" s="132">
        <v>14069</v>
      </c>
      <c r="E129" s="133">
        <v>0.10701077976237316</v>
      </c>
      <c r="F129" s="132">
        <v>152</v>
      </c>
      <c r="G129" s="133">
        <v>0.55102040816326525</v>
      </c>
      <c r="H129" s="132">
        <v>39</v>
      </c>
      <c r="I129" s="133">
        <v>-0.45070422535211263</v>
      </c>
      <c r="J129" s="132">
        <v>944</v>
      </c>
      <c r="K129" s="133">
        <v>0.75791433891992543</v>
      </c>
      <c r="L129" s="132">
        <v>12934</v>
      </c>
      <c r="M129" s="133">
        <v>7.7563942347746329E-2</v>
      </c>
    </row>
    <row r="130" spans="3:13" ht="24" customHeight="1" thickBot="1" x14ac:dyDescent="0.25">
      <c r="C130" s="134" t="s">
        <v>43</v>
      </c>
      <c r="D130" s="135">
        <v>52379</v>
      </c>
      <c r="E130" s="133">
        <v>-8.8557534013283812E-3</v>
      </c>
      <c r="F130" s="135">
        <v>629</v>
      </c>
      <c r="G130" s="133">
        <v>0</v>
      </c>
      <c r="H130" s="135">
        <v>1072</v>
      </c>
      <c r="I130" s="133">
        <v>0.12605042016806722</v>
      </c>
      <c r="J130" s="135">
        <v>17758</v>
      </c>
      <c r="K130" s="133">
        <v>-7.3511765012782337E-2</v>
      </c>
      <c r="L130" s="135">
        <v>32920</v>
      </c>
      <c r="M130" s="133">
        <v>2.5577120782578788E-2</v>
      </c>
    </row>
    <row r="131" spans="3:13" ht="24" customHeight="1" thickBot="1" x14ac:dyDescent="0.25">
      <c r="C131" s="136" t="s">
        <v>44</v>
      </c>
      <c r="D131" s="132">
        <v>22984</v>
      </c>
      <c r="E131" s="133">
        <v>-6.3635622912083467E-2</v>
      </c>
      <c r="F131" s="132">
        <v>666</v>
      </c>
      <c r="G131" s="133">
        <v>-0.32040816326530608</v>
      </c>
      <c r="H131" s="132">
        <v>306</v>
      </c>
      <c r="I131" s="133">
        <v>-0.21336760925449871</v>
      </c>
      <c r="J131" s="132">
        <v>4440</v>
      </c>
      <c r="K131" s="133">
        <v>0.19999999999999996</v>
      </c>
      <c r="L131" s="132">
        <v>17572</v>
      </c>
      <c r="M131" s="133">
        <v>-9.7807670585819184E-2</v>
      </c>
    </row>
    <row r="132" spans="3:13" ht="24" customHeight="1" thickBot="1" x14ac:dyDescent="0.25">
      <c r="C132" s="134" t="s">
        <v>45</v>
      </c>
      <c r="D132" s="135">
        <v>178343</v>
      </c>
      <c r="E132" s="133">
        <v>5.0120413823153687E-2</v>
      </c>
      <c r="F132" s="135">
        <v>855</v>
      </c>
      <c r="G132" s="133">
        <v>0.24092888243831645</v>
      </c>
      <c r="H132" s="135">
        <v>179</v>
      </c>
      <c r="I132" s="133">
        <v>0.58407079646017701</v>
      </c>
      <c r="J132" s="135">
        <v>8933</v>
      </c>
      <c r="K132" s="133">
        <v>0.68706326723323885</v>
      </c>
      <c r="L132" s="135">
        <v>168376</v>
      </c>
      <c r="M132" s="133">
        <v>2.8350861763592139E-2</v>
      </c>
    </row>
    <row r="133" spans="3:13" ht="24" customHeight="1" thickBot="1" x14ac:dyDescent="0.25">
      <c r="C133" s="136" t="s">
        <v>46</v>
      </c>
      <c r="D133" s="132">
        <v>8240</v>
      </c>
      <c r="E133" s="133">
        <v>0.11066181426068211</v>
      </c>
      <c r="F133" s="132">
        <v>107</v>
      </c>
      <c r="G133" s="133">
        <v>0.33749999999999991</v>
      </c>
      <c r="H133" s="132">
        <v>6</v>
      </c>
      <c r="I133" s="133">
        <v>-0.53846153846153844</v>
      </c>
      <c r="J133" s="132">
        <v>395</v>
      </c>
      <c r="K133" s="133">
        <v>0.7099567099567099</v>
      </c>
      <c r="L133" s="132">
        <v>7732</v>
      </c>
      <c r="M133" s="133">
        <v>8.978153629316421E-2</v>
      </c>
    </row>
    <row r="134" spans="3:13" ht="24" customHeight="1" thickBot="1" x14ac:dyDescent="0.25">
      <c r="C134" s="134" t="s">
        <v>47</v>
      </c>
      <c r="D134" s="135">
        <v>12864</v>
      </c>
      <c r="E134" s="133">
        <v>1.2833635146838773E-2</v>
      </c>
      <c r="F134" s="135">
        <v>654</v>
      </c>
      <c r="G134" s="133">
        <v>0.17204301075268824</v>
      </c>
      <c r="H134" s="135">
        <v>121</v>
      </c>
      <c r="I134" s="133">
        <v>0.30107526881720426</v>
      </c>
      <c r="J134" s="135">
        <v>1160</v>
      </c>
      <c r="K134" s="133">
        <v>7.8066914498141182E-2</v>
      </c>
      <c r="L134" s="135">
        <v>10929</v>
      </c>
      <c r="M134" s="133">
        <v>-4.100601421541783E-3</v>
      </c>
    </row>
    <row r="135" spans="3:13" ht="24" customHeight="1" thickBot="1" x14ac:dyDescent="0.25">
      <c r="C135" s="136" t="s">
        <v>48</v>
      </c>
      <c r="D135" s="132">
        <v>33062</v>
      </c>
      <c r="E135" s="133">
        <v>0.29118175427634152</v>
      </c>
      <c r="F135" s="132">
        <v>996</v>
      </c>
      <c r="G135" s="133">
        <v>0.15277777777777768</v>
      </c>
      <c r="H135" s="132">
        <v>28</v>
      </c>
      <c r="I135" s="133">
        <v>-0.30000000000000004</v>
      </c>
      <c r="J135" s="132">
        <v>3983</v>
      </c>
      <c r="K135" s="133">
        <v>0.67352941176470593</v>
      </c>
      <c r="L135" s="132">
        <v>28055</v>
      </c>
      <c r="M135" s="133">
        <v>0.25683182510527724</v>
      </c>
    </row>
    <row r="136" spans="3:13" ht="24" customHeight="1" thickBot="1" x14ac:dyDescent="0.25">
      <c r="C136" s="137" t="s">
        <v>49</v>
      </c>
      <c r="D136" s="135">
        <v>12806</v>
      </c>
      <c r="E136" s="133">
        <v>0.32594740111824394</v>
      </c>
      <c r="F136" s="135">
        <v>326</v>
      </c>
      <c r="G136" s="133">
        <v>-0.10192837465564741</v>
      </c>
      <c r="H136" s="135">
        <v>4</v>
      </c>
      <c r="I136" s="133">
        <v>-0.69230769230769229</v>
      </c>
      <c r="J136" s="135">
        <v>1220</v>
      </c>
      <c r="K136" s="133">
        <v>0.67123287671232879</v>
      </c>
      <c r="L136" s="135">
        <v>11256</v>
      </c>
      <c r="M136" s="133">
        <v>0.31618334892422828</v>
      </c>
    </row>
    <row r="137" spans="3:13" ht="24" customHeight="1" thickBot="1" x14ac:dyDescent="0.25">
      <c r="C137" s="131" t="s">
        <v>50</v>
      </c>
      <c r="D137" s="132">
        <v>5335</v>
      </c>
      <c r="E137" s="133">
        <v>0.38679490512087344</v>
      </c>
      <c r="F137" s="132">
        <v>205</v>
      </c>
      <c r="G137" s="133">
        <v>3.5353535353535248E-2</v>
      </c>
      <c r="H137" s="132">
        <v>4</v>
      </c>
      <c r="I137" s="133">
        <v>-0.5</v>
      </c>
      <c r="J137" s="132">
        <v>422</v>
      </c>
      <c r="K137" s="133">
        <v>0.82683982683982693</v>
      </c>
      <c r="L137" s="132">
        <v>4704</v>
      </c>
      <c r="M137" s="133">
        <v>0.37947214076246327</v>
      </c>
    </row>
    <row r="138" spans="3:13" ht="24" customHeight="1" thickBot="1" x14ac:dyDescent="0.25">
      <c r="C138" s="137" t="s">
        <v>51</v>
      </c>
      <c r="D138" s="135">
        <v>8162</v>
      </c>
      <c r="E138" s="133">
        <v>0.24610687022900768</v>
      </c>
      <c r="F138" s="135">
        <v>283</v>
      </c>
      <c r="G138" s="133">
        <v>1.5044247787610621</v>
      </c>
      <c r="H138" s="135">
        <v>17</v>
      </c>
      <c r="I138" s="133">
        <v>0.88888888888888884</v>
      </c>
      <c r="J138" s="135">
        <v>517</v>
      </c>
      <c r="K138" s="133">
        <v>0.28927680798004984</v>
      </c>
      <c r="L138" s="135">
        <v>7345</v>
      </c>
      <c r="M138" s="133">
        <v>0.21868259498921527</v>
      </c>
    </row>
    <row r="139" spans="3:13" ht="24" customHeight="1" thickBot="1" x14ac:dyDescent="0.25">
      <c r="C139" s="131" t="s">
        <v>52</v>
      </c>
      <c r="D139" s="132">
        <v>6759</v>
      </c>
      <c r="E139" s="133">
        <v>0.2176184471266438</v>
      </c>
      <c r="F139" s="132">
        <v>182</v>
      </c>
      <c r="G139" s="133">
        <v>-4.2105263157894757E-2</v>
      </c>
      <c r="H139" s="132">
        <v>3</v>
      </c>
      <c r="I139" s="133">
        <v>-0.7</v>
      </c>
      <c r="J139" s="132">
        <v>1824</v>
      </c>
      <c r="K139" s="133">
        <v>0.79174852652259342</v>
      </c>
      <c r="L139" s="132">
        <v>4750</v>
      </c>
      <c r="M139" s="133">
        <v>9.6238172167089742E-2</v>
      </c>
    </row>
    <row r="140" spans="3:13" ht="24" customHeight="1" thickBot="1" x14ac:dyDescent="0.25">
      <c r="C140" s="134" t="s">
        <v>53</v>
      </c>
      <c r="D140" s="135">
        <v>5974</v>
      </c>
      <c r="E140" s="133">
        <v>0.10038681156750773</v>
      </c>
      <c r="F140" s="135">
        <v>159</v>
      </c>
      <c r="G140" s="133">
        <v>0.59000000000000008</v>
      </c>
      <c r="H140" s="135">
        <v>72</v>
      </c>
      <c r="I140" s="133">
        <v>-0.12195121951219512</v>
      </c>
      <c r="J140" s="135">
        <v>964</v>
      </c>
      <c r="K140" s="133">
        <v>0.27176781002638517</v>
      </c>
      <c r="L140" s="135">
        <v>4779</v>
      </c>
      <c r="M140" s="133">
        <v>6.4602361327689817E-2</v>
      </c>
    </row>
    <row r="141" spans="3:13" ht="24" customHeight="1" thickBot="1" x14ac:dyDescent="0.25">
      <c r="C141" s="136" t="s">
        <v>54</v>
      </c>
      <c r="D141" s="132">
        <v>2948</v>
      </c>
      <c r="E141" s="133">
        <v>0.20918785890073832</v>
      </c>
      <c r="F141" s="132">
        <v>66</v>
      </c>
      <c r="G141" s="133">
        <v>0.4042553191489362</v>
      </c>
      <c r="H141" s="132">
        <v>30</v>
      </c>
      <c r="I141" s="133">
        <v>-0.34782608695652173</v>
      </c>
      <c r="J141" s="132">
        <v>689</v>
      </c>
      <c r="K141" s="133">
        <v>0.41188524590163933</v>
      </c>
      <c r="L141" s="132">
        <v>2163</v>
      </c>
      <c r="M141" s="133">
        <v>0.16478190630048473</v>
      </c>
    </row>
    <row r="142" spans="3:13" ht="24" customHeight="1" thickBot="1" x14ac:dyDescent="0.25">
      <c r="C142" s="134" t="s">
        <v>55</v>
      </c>
      <c r="D142" s="135">
        <v>7041</v>
      </c>
      <c r="E142" s="133">
        <v>-0.19623287671232881</v>
      </c>
      <c r="F142" s="135">
        <v>142</v>
      </c>
      <c r="G142" s="133">
        <v>6.7669172932330879E-2</v>
      </c>
      <c r="H142" s="135">
        <v>29</v>
      </c>
      <c r="I142" s="133">
        <v>0.8125</v>
      </c>
      <c r="J142" s="135">
        <v>641</v>
      </c>
      <c r="K142" s="133">
        <v>0.28200000000000003</v>
      </c>
      <c r="L142" s="135">
        <v>6229</v>
      </c>
      <c r="M142" s="133">
        <v>-0.23203057576131181</v>
      </c>
    </row>
    <row r="143" spans="3:13" ht="24" customHeight="1" thickBot="1" x14ac:dyDescent="0.25">
      <c r="C143" s="136" t="s">
        <v>56</v>
      </c>
      <c r="D143" s="132">
        <v>12100</v>
      </c>
      <c r="E143" s="133">
        <v>6.8904593639576017E-2</v>
      </c>
      <c r="F143" s="132">
        <v>235</v>
      </c>
      <c r="G143" s="133">
        <v>0.28415300546448097</v>
      </c>
      <c r="H143" s="132">
        <v>15</v>
      </c>
      <c r="I143" s="133">
        <v>-0.16666666666666663</v>
      </c>
      <c r="J143" s="132">
        <v>1355</v>
      </c>
      <c r="K143" s="133">
        <v>0.31681243926141889</v>
      </c>
      <c r="L143" s="132">
        <v>10495</v>
      </c>
      <c r="M143" s="133">
        <v>4.0138751238850245E-2</v>
      </c>
    </row>
    <row r="144" spans="3:13" ht="24" customHeight="1" thickBot="1" x14ac:dyDescent="0.25">
      <c r="C144" s="134" t="s">
        <v>57</v>
      </c>
      <c r="D144" s="135">
        <v>13838</v>
      </c>
      <c r="E144" s="133">
        <v>0.13398344669343598</v>
      </c>
      <c r="F144" s="135">
        <v>544</v>
      </c>
      <c r="G144" s="133">
        <v>0.30455635491606725</v>
      </c>
      <c r="H144" s="135">
        <v>36</v>
      </c>
      <c r="I144" s="133">
        <v>1</v>
      </c>
      <c r="J144" s="135">
        <v>2549</v>
      </c>
      <c r="K144" s="133">
        <v>0.43363329583802024</v>
      </c>
      <c r="L144" s="135">
        <v>10709</v>
      </c>
      <c r="M144" s="133">
        <v>7.1971971971972026E-2</v>
      </c>
    </row>
    <row r="145" spans="3:13" ht="24" customHeight="1" thickBot="1" x14ac:dyDescent="0.25">
      <c r="C145" s="136" t="s">
        <v>58</v>
      </c>
      <c r="D145" s="132">
        <v>2192</v>
      </c>
      <c r="E145" s="133">
        <v>0.40063897763578282</v>
      </c>
      <c r="F145" s="132">
        <v>307</v>
      </c>
      <c r="G145" s="133">
        <v>0.32327586206896552</v>
      </c>
      <c r="H145" s="132">
        <v>58</v>
      </c>
      <c r="I145" s="133">
        <v>5.4545454545454453E-2</v>
      </c>
      <c r="J145" s="132">
        <v>295</v>
      </c>
      <c r="K145" s="133">
        <v>0.10902255639097747</v>
      </c>
      <c r="L145" s="132">
        <v>1532</v>
      </c>
      <c r="M145" s="133">
        <v>0.51383399209486158</v>
      </c>
    </row>
    <row r="146" spans="3:13" ht="24" customHeight="1" thickBot="1" x14ac:dyDescent="0.25">
      <c r="C146" s="134" t="s">
        <v>59</v>
      </c>
      <c r="D146" s="135">
        <v>1566</v>
      </c>
      <c r="E146" s="133">
        <v>-0.10769230769230764</v>
      </c>
      <c r="F146" s="135">
        <v>337</v>
      </c>
      <c r="G146" s="133">
        <v>4.9844236760124616E-2</v>
      </c>
      <c r="H146" s="135">
        <v>33</v>
      </c>
      <c r="I146" s="133">
        <v>0.5714285714285714</v>
      </c>
      <c r="J146" s="135">
        <v>318</v>
      </c>
      <c r="K146" s="133">
        <v>-0.19083969465648853</v>
      </c>
      <c r="L146" s="135">
        <v>878</v>
      </c>
      <c r="M146" s="133">
        <v>-0.13921568627450975</v>
      </c>
    </row>
    <row r="147" spans="3:13" ht="24" customHeight="1" thickBot="1" x14ac:dyDescent="0.25">
      <c r="C147" s="136" t="s">
        <v>60</v>
      </c>
      <c r="D147" s="138">
        <v>5791</v>
      </c>
      <c r="E147" s="139">
        <v>0.61174505983857497</v>
      </c>
      <c r="F147" s="138">
        <v>528</v>
      </c>
      <c r="G147" s="139">
        <v>0.24235294117647066</v>
      </c>
      <c r="H147" s="138">
        <v>36</v>
      </c>
      <c r="I147" s="139">
        <v>-0.23404255319148937</v>
      </c>
      <c r="J147" s="138">
        <v>992</v>
      </c>
      <c r="K147" s="139">
        <v>0.57961783439490455</v>
      </c>
      <c r="L147" s="138">
        <v>4235</v>
      </c>
      <c r="M147" s="139">
        <v>0.69875651825110308</v>
      </c>
    </row>
    <row r="148" spans="3:13" ht="30.75" customHeight="1" thickTop="1" thickBot="1" x14ac:dyDescent="0.25">
      <c r="C148" s="140" t="s">
        <v>61</v>
      </c>
      <c r="D148" s="141">
        <v>391088</v>
      </c>
      <c r="E148" s="142">
        <v>4.9303483654939972E-2</v>
      </c>
      <c r="F148" s="141">
        <v>6484</v>
      </c>
      <c r="G148" s="142">
        <v>9.9169350737413176E-2</v>
      </c>
      <c r="H148" s="141">
        <v>2161</v>
      </c>
      <c r="I148" s="142">
        <v>5.517578125E-2</v>
      </c>
      <c r="J148" s="141">
        <v>46585</v>
      </c>
      <c r="K148" s="142">
        <v>0.19326331967213117</v>
      </c>
      <c r="L148" s="141">
        <v>335858</v>
      </c>
      <c r="M148" s="142">
        <v>3.1109064394811536E-2</v>
      </c>
    </row>
    <row r="149" spans="3:13" ht="24" customHeight="1" thickBot="1" x14ac:dyDescent="0.25">
      <c r="C149" s="143" t="s">
        <v>8</v>
      </c>
      <c r="D149" s="144">
        <v>507188</v>
      </c>
      <c r="E149" s="145">
        <v>7.9936803464737194E-2</v>
      </c>
      <c r="F149" s="144">
        <v>19284</v>
      </c>
      <c r="G149" s="145">
        <v>-1.712538226299698E-2</v>
      </c>
      <c r="H149" s="144">
        <v>3959</v>
      </c>
      <c r="I149" s="145">
        <v>6.5392895586652289E-2</v>
      </c>
      <c r="J149" s="144">
        <v>92458</v>
      </c>
      <c r="K149" s="145">
        <v>0.17973255754606243</v>
      </c>
      <c r="L149" s="144">
        <v>391487</v>
      </c>
      <c r="M149" s="145">
        <v>6.4002630878028377E-2</v>
      </c>
    </row>
    <row r="150" spans="3:13" ht="13.5" thickBot="1" x14ac:dyDescent="0.25">
      <c r="C150" s="13"/>
      <c r="D150" s="4"/>
      <c r="E150" s="4"/>
      <c r="F150" s="4"/>
      <c r="G150" s="4"/>
      <c r="H150" s="4"/>
      <c r="I150" s="4"/>
      <c r="J150" s="4"/>
      <c r="K150" s="4"/>
      <c r="L150" s="4"/>
      <c r="M150" s="146"/>
    </row>
    <row r="151" spans="3:13" ht="35.25" customHeight="1" thickBot="1" x14ac:dyDescent="0.25">
      <c r="C151" s="361" t="s">
        <v>29</v>
      </c>
      <c r="D151" s="362"/>
      <c r="E151" s="362"/>
      <c r="F151" s="362"/>
      <c r="G151" s="362"/>
      <c r="H151" s="362"/>
      <c r="I151" s="362"/>
      <c r="J151" s="362"/>
      <c r="K151" s="362"/>
      <c r="L151" s="362"/>
      <c r="M151" s="363"/>
    </row>
    <row r="152" spans="3:13" ht="20.100000000000001" customHeight="1" x14ac:dyDescent="0.2">
      <c r="C152" s="115"/>
      <c r="D152" s="116"/>
      <c r="E152" s="116"/>
      <c r="F152" s="116"/>
      <c r="G152" s="364" t="str">
        <f>I2</f>
        <v>I cuatrimestre 2017</v>
      </c>
      <c r="H152" s="365"/>
      <c r="I152" s="365"/>
      <c r="J152" s="116"/>
      <c r="K152" s="116"/>
      <c r="L152" s="116"/>
      <c r="M152" s="117"/>
    </row>
    <row r="153" spans="3:13" ht="5.25" customHeight="1" thickBot="1" x14ac:dyDescent="0.25">
      <c r="C153" s="118"/>
      <c r="D153" s="116"/>
      <c r="E153" s="116"/>
      <c r="F153" s="116"/>
      <c r="G153" s="119"/>
      <c r="H153" s="119"/>
      <c r="I153" s="119"/>
      <c r="J153" s="116"/>
      <c r="K153" s="116"/>
      <c r="L153" s="116"/>
      <c r="M153" s="120"/>
    </row>
    <row r="154" spans="3:13" ht="32.25" customHeight="1" thickTop="1" thickBot="1" x14ac:dyDescent="0.25">
      <c r="C154" s="121"/>
      <c r="D154" s="344" t="s">
        <v>7</v>
      </c>
      <c r="E154" s="345"/>
      <c r="F154" s="344" t="s">
        <v>30</v>
      </c>
      <c r="G154" s="345"/>
      <c r="H154" s="344" t="s">
        <v>31</v>
      </c>
      <c r="I154" s="345"/>
      <c r="J154" s="344" t="s">
        <v>32</v>
      </c>
      <c r="K154" s="345"/>
      <c r="L154" s="344" t="s">
        <v>33</v>
      </c>
      <c r="M154" s="345"/>
    </row>
    <row r="155" spans="3:13" ht="31.5" customHeight="1" thickBot="1" x14ac:dyDescent="0.25">
      <c r="C155" s="122"/>
      <c r="D155" s="123" t="s">
        <v>62</v>
      </c>
      <c r="E155" s="124" t="s">
        <v>35</v>
      </c>
      <c r="F155" s="123" t="s">
        <v>62</v>
      </c>
      <c r="G155" s="124" t="s">
        <v>35</v>
      </c>
      <c r="H155" s="123" t="s">
        <v>62</v>
      </c>
      <c r="I155" s="124" t="s">
        <v>35</v>
      </c>
      <c r="J155" s="123" t="s">
        <v>62</v>
      </c>
      <c r="K155" s="124" t="s">
        <v>35</v>
      </c>
      <c r="L155" s="123" t="s">
        <v>62</v>
      </c>
      <c r="M155" s="124" t="s">
        <v>35</v>
      </c>
    </row>
    <row r="156" spans="3:13" ht="24" customHeight="1" thickBot="1" x14ac:dyDescent="0.25">
      <c r="C156" s="125" t="s">
        <v>36</v>
      </c>
      <c r="D156" s="126">
        <v>306906</v>
      </c>
      <c r="E156" s="127">
        <v>1.4300397582118984E-2</v>
      </c>
      <c r="F156" s="126">
        <v>55412</v>
      </c>
      <c r="G156" s="127">
        <v>-2.9137100306614094E-2</v>
      </c>
      <c r="H156" s="126">
        <v>6613</v>
      </c>
      <c r="I156" s="127">
        <v>3.2797126347024808E-2</v>
      </c>
      <c r="J156" s="126">
        <v>120041</v>
      </c>
      <c r="K156" s="127">
        <v>4.3335795923688636E-2</v>
      </c>
      <c r="L156" s="126">
        <v>124840</v>
      </c>
      <c r="M156" s="127">
        <v>6.4008512970994413E-3</v>
      </c>
    </row>
    <row r="157" spans="3:13" ht="24" customHeight="1" thickBot="1" x14ac:dyDescent="0.25">
      <c r="C157" s="128" t="s">
        <v>37</v>
      </c>
      <c r="D157" s="129">
        <v>76445.392296233651</v>
      </c>
      <c r="E157" s="130">
        <v>-4.8381533336488314E-2</v>
      </c>
      <c r="F157" s="129" t="s">
        <v>38</v>
      </c>
      <c r="G157" s="130" t="s">
        <v>38</v>
      </c>
      <c r="H157" s="129" t="s">
        <v>38</v>
      </c>
      <c r="I157" s="130" t="s">
        <v>38</v>
      </c>
      <c r="J157" s="129" t="s">
        <v>38</v>
      </c>
      <c r="K157" s="130" t="s">
        <v>38</v>
      </c>
      <c r="L157" s="129" t="s">
        <v>38</v>
      </c>
      <c r="M157" s="130" t="s">
        <v>38</v>
      </c>
    </row>
    <row r="158" spans="3:13" ht="24" customHeight="1" thickBot="1" x14ac:dyDescent="0.25">
      <c r="C158" s="131" t="s">
        <v>39</v>
      </c>
      <c r="D158" s="132">
        <v>36588.171878326335</v>
      </c>
      <c r="E158" s="133">
        <v>-8.1663877420483755E-2</v>
      </c>
      <c r="F158" s="132" t="s">
        <v>38</v>
      </c>
      <c r="G158" s="133" t="s">
        <v>38</v>
      </c>
      <c r="H158" s="132" t="s">
        <v>38</v>
      </c>
      <c r="I158" s="133" t="s">
        <v>38</v>
      </c>
      <c r="J158" s="132" t="s">
        <v>38</v>
      </c>
      <c r="K158" s="133" t="s">
        <v>38</v>
      </c>
      <c r="L158" s="132" t="s">
        <v>38</v>
      </c>
      <c r="M158" s="133" t="s">
        <v>38</v>
      </c>
    </row>
    <row r="159" spans="3:13" ht="24" customHeight="1" thickBot="1" x14ac:dyDescent="0.25">
      <c r="C159" s="131" t="s">
        <v>40</v>
      </c>
      <c r="D159" s="132">
        <v>193872.43582551216</v>
      </c>
      <c r="E159" s="133">
        <v>6.2866737418771912E-2</v>
      </c>
      <c r="F159" s="132" t="s">
        <v>38</v>
      </c>
      <c r="G159" s="133" t="s">
        <v>38</v>
      </c>
      <c r="H159" s="132" t="s">
        <v>38</v>
      </c>
      <c r="I159" s="133" t="s">
        <v>38</v>
      </c>
      <c r="J159" s="132" t="s">
        <v>38</v>
      </c>
      <c r="K159" s="133" t="s">
        <v>38</v>
      </c>
      <c r="L159" s="132" t="s">
        <v>38</v>
      </c>
      <c r="M159" s="133" t="s">
        <v>38</v>
      </c>
    </row>
    <row r="160" spans="3:13" ht="24" customHeight="1" thickBot="1" x14ac:dyDescent="0.25">
      <c r="C160" s="134" t="s">
        <v>41</v>
      </c>
      <c r="D160" s="135">
        <v>55026</v>
      </c>
      <c r="E160" s="133">
        <v>-3.437746775467232E-2</v>
      </c>
      <c r="F160" s="135">
        <v>747</v>
      </c>
      <c r="G160" s="133">
        <v>0.10666666666666669</v>
      </c>
      <c r="H160" s="135">
        <v>457</v>
      </c>
      <c r="I160" s="133">
        <v>8.293838862559233E-2</v>
      </c>
      <c r="J160" s="135">
        <v>4197</v>
      </c>
      <c r="K160" s="133">
        <v>0.42706562393743619</v>
      </c>
      <c r="L160" s="135">
        <v>49625</v>
      </c>
      <c r="M160" s="133">
        <v>-6.2741987270289123E-2</v>
      </c>
    </row>
    <row r="161" spans="3:13" ht="24" customHeight="1" thickBot="1" x14ac:dyDescent="0.25">
      <c r="C161" s="136" t="s">
        <v>42</v>
      </c>
      <c r="D161" s="132">
        <v>54424</v>
      </c>
      <c r="E161" s="133">
        <v>1.8374584275004935E-5</v>
      </c>
      <c r="F161" s="132">
        <v>650</v>
      </c>
      <c r="G161" s="133">
        <v>0.22180451127819545</v>
      </c>
      <c r="H161" s="132">
        <v>241</v>
      </c>
      <c r="I161" s="133">
        <v>-8.7121212121212155E-2</v>
      </c>
      <c r="J161" s="132">
        <v>3209</v>
      </c>
      <c r="K161" s="133">
        <v>0.67834728033472813</v>
      </c>
      <c r="L161" s="132">
        <v>50324</v>
      </c>
      <c r="M161" s="133">
        <v>-2.6897418543942786E-2</v>
      </c>
    </row>
    <row r="162" spans="3:13" ht="24" customHeight="1" thickBot="1" x14ac:dyDescent="0.25">
      <c r="C162" s="134" t="s">
        <v>43</v>
      </c>
      <c r="D162" s="135">
        <v>214022</v>
      </c>
      <c r="E162" s="133">
        <v>-5.5394949971973695E-2</v>
      </c>
      <c r="F162" s="135">
        <v>3547</v>
      </c>
      <c r="G162" s="133">
        <v>-0.14735576923076921</v>
      </c>
      <c r="H162" s="135">
        <v>4088</v>
      </c>
      <c r="I162" s="133">
        <v>0.19392523364485981</v>
      </c>
      <c r="J162" s="135">
        <v>82218</v>
      </c>
      <c r="K162" s="133">
        <v>-4.8986154326628339E-2</v>
      </c>
      <c r="L162" s="135">
        <v>124169</v>
      </c>
      <c r="M162" s="133">
        <v>-6.3130017504677949E-2</v>
      </c>
    </row>
    <row r="163" spans="3:13" ht="24" customHeight="1" thickBot="1" x14ac:dyDescent="0.25">
      <c r="C163" s="136" t="s">
        <v>44</v>
      </c>
      <c r="D163" s="132">
        <v>69185</v>
      </c>
      <c r="E163" s="133">
        <v>4.6972654772173605E-2</v>
      </c>
      <c r="F163" s="132">
        <v>2407</v>
      </c>
      <c r="G163" s="133">
        <v>-0.25364341085271314</v>
      </c>
      <c r="H163" s="132">
        <v>1453</v>
      </c>
      <c r="I163" s="133">
        <v>-4.5335085413929055E-2</v>
      </c>
      <c r="J163" s="132">
        <v>12406</v>
      </c>
      <c r="K163" s="133">
        <v>0.17547849156717832</v>
      </c>
      <c r="L163" s="132">
        <v>52919</v>
      </c>
      <c r="M163" s="133">
        <v>4.2122883024812818E-2</v>
      </c>
    </row>
    <row r="164" spans="3:13" ht="24" customHeight="1" thickBot="1" x14ac:dyDescent="0.25">
      <c r="C164" s="134" t="s">
        <v>45</v>
      </c>
      <c r="D164" s="135">
        <v>640394</v>
      </c>
      <c r="E164" s="133">
        <v>1.923578881694965E-2</v>
      </c>
      <c r="F164" s="135">
        <v>4702</v>
      </c>
      <c r="G164" s="133">
        <v>7.2781200091261766E-2</v>
      </c>
      <c r="H164" s="135">
        <v>1079</v>
      </c>
      <c r="I164" s="133">
        <v>6.2007874015747921E-2</v>
      </c>
      <c r="J164" s="135">
        <v>37887</v>
      </c>
      <c r="K164" s="133">
        <v>0.37525863007731686</v>
      </c>
      <c r="L164" s="135">
        <v>596726</v>
      </c>
      <c r="M164" s="133">
        <v>2.2944101048105736E-3</v>
      </c>
    </row>
    <row r="165" spans="3:13" ht="24" customHeight="1" thickBot="1" x14ac:dyDescent="0.25">
      <c r="C165" s="136" t="s">
        <v>46</v>
      </c>
      <c r="D165" s="132">
        <v>28957</v>
      </c>
      <c r="E165" s="133">
        <v>2.9399217916814768E-2</v>
      </c>
      <c r="F165" s="132">
        <v>499</v>
      </c>
      <c r="G165" s="133">
        <v>-1.5779092702169595E-2</v>
      </c>
      <c r="H165" s="132">
        <v>92</v>
      </c>
      <c r="I165" s="133">
        <v>0.14999999999999991</v>
      </c>
      <c r="J165" s="132">
        <v>1731</v>
      </c>
      <c r="K165" s="133">
        <v>8.187499999999992E-2</v>
      </c>
      <c r="L165" s="132">
        <v>26635</v>
      </c>
      <c r="M165" s="133">
        <v>2.6673861928073084E-2</v>
      </c>
    </row>
    <row r="166" spans="3:13" ht="24" customHeight="1" thickBot="1" x14ac:dyDescent="0.25">
      <c r="C166" s="134" t="s">
        <v>47</v>
      </c>
      <c r="D166" s="135">
        <v>52781</v>
      </c>
      <c r="E166" s="133">
        <v>-6.6120527973388965E-2</v>
      </c>
      <c r="F166" s="135">
        <v>2910</v>
      </c>
      <c r="G166" s="133">
        <v>9.3652445369407644E-3</v>
      </c>
      <c r="H166" s="135">
        <v>495</v>
      </c>
      <c r="I166" s="133">
        <v>-9.671532846715325E-2</v>
      </c>
      <c r="J166" s="135">
        <v>5135</v>
      </c>
      <c r="K166" s="133">
        <v>0.11485019539730779</v>
      </c>
      <c r="L166" s="135">
        <v>44241</v>
      </c>
      <c r="M166" s="133">
        <v>-8.7456941894762941E-2</v>
      </c>
    </row>
    <row r="167" spans="3:13" ht="24" customHeight="1" thickBot="1" x14ac:dyDescent="0.25">
      <c r="C167" s="136" t="s">
        <v>48</v>
      </c>
      <c r="D167" s="132">
        <v>227361</v>
      </c>
      <c r="E167" s="133">
        <v>7.220984268886399E-3</v>
      </c>
      <c r="F167" s="132">
        <v>4815</v>
      </c>
      <c r="G167" s="133">
        <v>3.1270079246091154E-2</v>
      </c>
      <c r="H167" s="132">
        <v>290</v>
      </c>
      <c r="I167" s="133">
        <v>-5.2287581699346442E-2</v>
      </c>
      <c r="J167" s="132">
        <v>33556</v>
      </c>
      <c r="K167" s="133">
        <v>0.16663769425998676</v>
      </c>
      <c r="L167" s="132">
        <v>188700</v>
      </c>
      <c r="M167" s="133">
        <v>-1.7151666987858971E-2</v>
      </c>
    </row>
    <row r="168" spans="3:13" ht="24" customHeight="1" thickBot="1" x14ac:dyDescent="0.25">
      <c r="C168" s="137" t="s">
        <v>49</v>
      </c>
      <c r="D168" s="135">
        <v>83709</v>
      </c>
      <c r="E168" s="133">
        <v>3.2488436632747364E-2</v>
      </c>
      <c r="F168" s="135">
        <v>1793</v>
      </c>
      <c r="G168" s="133">
        <v>-1.8609742747673796E-2</v>
      </c>
      <c r="H168" s="135">
        <v>97</v>
      </c>
      <c r="I168" s="133">
        <v>4.3010752688172005E-2</v>
      </c>
      <c r="J168" s="135">
        <v>9558</v>
      </c>
      <c r="K168" s="133">
        <v>0.12672403630790985</v>
      </c>
      <c r="L168" s="135">
        <v>72261</v>
      </c>
      <c r="M168" s="133">
        <v>2.24841521394612E-2</v>
      </c>
    </row>
    <row r="169" spans="3:13" ht="24" customHeight="1" thickBot="1" x14ac:dyDescent="0.25">
      <c r="C169" s="131" t="s">
        <v>50</v>
      </c>
      <c r="D169" s="132">
        <v>39593</v>
      </c>
      <c r="E169" s="133">
        <v>2.9130148437104264E-3</v>
      </c>
      <c r="F169" s="132">
        <v>1136</v>
      </c>
      <c r="G169" s="133">
        <v>6.2675397567820479E-2</v>
      </c>
      <c r="H169" s="132">
        <v>37</v>
      </c>
      <c r="I169" s="133">
        <v>-9.7560975609756073E-2</v>
      </c>
      <c r="J169" s="132">
        <v>3767</v>
      </c>
      <c r="K169" s="133">
        <v>0.46518864255153636</v>
      </c>
      <c r="L169" s="132">
        <v>34653</v>
      </c>
      <c r="M169" s="133">
        <v>-3.1957985306031222E-2</v>
      </c>
    </row>
    <row r="170" spans="3:13" ht="24" customHeight="1" thickBot="1" x14ac:dyDescent="0.25">
      <c r="C170" s="137" t="s">
        <v>51</v>
      </c>
      <c r="D170" s="135">
        <v>52568</v>
      </c>
      <c r="E170" s="133">
        <v>6.4713766034845133E-3</v>
      </c>
      <c r="F170" s="135">
        <v>813</v>
      </c>
      <c r="G170" s="133">
        <v>0.14185393258426959</v>
      </c>
      <c r="H170" s="135">
        <v>112</v>
      </c>
      <c r="I170" s="133">
        <v>7.6923076923076872E-2</v>
      </c>
      <c r="J170" s="135">
        <v>5863</v>
      </c>
      <c r="K170" s="133">
        <v>0.29169420577219651</v>
      </c>
      <c r="L170" s="135">
        <v>45780</v>
      </c>
      <c r="M170" s="133">
        <v>-2.3360000000000047E-2</v>
      </c>
    </row>
    <row r="171" spans="3:13" ht="24" customHeight="1" thickBot="1" x14ac:dyDescent="0.25">
      <c r="C171" s="131" t="s">
        <v>52</v>
      </c>
      <c r="D171" s="132">
        <v>51491</v>
      </c>
      <c r="E171" s="133">
        <v>-2.7517564402810279E-2</v>
      </c>
      <c r="F171" s="132">
        <v>1073</v>
      </c>
      <c r="G171" s="133">
        <v>1.1310084825636224E-2</v>
      </c>
      <c r="H171" s="132">
        <v>44</v>
      </c>
      <c r="I171" s="133">
        <v>-0.3529411764705882</v>
      </c>
      <c r="J171" s="132">
        <v>14368</v>
      </c>
      <c r="K171" s="133">
        <v>9.0964312832194416E-2</v>
      </c>
      <c r="L171" s="132">
        <v>36006</v>
      </c>
      <c r="M171" s="133">
        <v>-6.8384693006287356E-2</v>
      </c>
    </row>
    <row r="172" spans="3:13" ht="24" customHeight="1" thickBot="1" x14ac:dyDescent="0.25">
      <c r="C172" s="134" t="s">
        <v>53</v>
      </c>
      <c r="D172" s="135">
        <v>18245</v>
      </c>
      <c r="E172" s="133">
        <v>4.9588678594028712E-2</v>
      </c>
      <c r="F172" s="135">
        <v>583</v>
      </c>
      <c r="G172" s="133">
        <v>2.821869488536155E-2</v>
      </c>
      <c r="H172" s="135">
        <v>330</v>
      </c>
      <c r="I172" s="133">
        <v>0.30952380952380953</v>
      </c>
      <c r="J172" s="135">
        <v>3331</v>
      </c>
      <c r="K172" s="133">
        <v>0.19091884161601724</v>
      </c>
      <c r="L172" s="135">
        <v>14001</v>
      </c>
      <c r="M172" s="133">
        <v>1.6997167138810276E-2</v>
      </c>
    </row>
    <row r="173" spans="3:13" ht="24" customHeight="1" thickBot="1" x14ac:dyDescent="0.25">
      <c r="C173" s="136" t="s">
        <v>54</v>
      </c>
      <c r="D173" s="132">
        <v>12868</v>
      </c>
      <c r="E173" s="133">
        <v>8.7007940530495098E-2</v>
      </c>
      <c r="F173" s="132">
        <v>311</v>
      </c>
      <c r="G173" s="133">
        <v>-0.14560439560439564</v>
      </c>
      <c r="H173" s="132">
        <v>185</v>
      </c>
      <c r="I173" s="133">
        <v>-5.3763440860215006E-3</v>
      </c>
      <c r="J173" s="132">
        <v>2926</v>
      </c>
      <c r="K173" s="133">
        <v>0.23773265651438247</v>
      </c>
      <c r="L173" s="132">
        <v>9446</v>
      </c>
      <c r="M173" s="133">
        <v>5.8493948901837678E-2</v>
      </c>
    </row>
    <row r="174" spans="3:13" ht="24" customHeight="1" thickBot="1" x14ac:dyDescent="0.25">
      <c r="C174" s="134" t="s">
        <v>55</v>
      </c>
      <c r="D174" s="135">
        <v>24811</v>
      </c>
      <c r="E174" s="133">
        <v>-4.5106415733364158E-2</v>
      </c>
      <c r="F174" s="135">
        <v>688</v>
      </c>
      <c r="G174" s="133">
        <v>3.7707390648567207E-2</v>
      </c>
      <c r="H174" s="135">
        <v>120</v>
      </c>
      <c r="I174" s="133">
        <v>0.25</v>
      </c>
      <c r="J174" s="135">
        <v>2491</v>
      </c>
      <c r="K174" s="133">
        <v>0.23255813953488369</v>
      </c>
      <c r="L174" s="135">
        <v>21512</v>
      </c>
      <c r="M174" s="133">
        <v>-7.287850708960053E-2</v>
      </c>
    </row>
    <row r="175" spans="3:13" ht="24" customHeight="1" thickBot="1" x14ac:dyDescent="0.25">
      <c r="C175" s="136" t="s">
        <v>56</v>
      </c>
      <c r="D175" s="132">
        <v>44985</v>
      </c>
      <c r="E175" s="133">
        <v>9.4126231302444463E-2</v>
      </c>
      <c r="F175" s="132">
        <v>1074</v>
      </c>
      <c r="G175" s="133">
        <v>0.19866071428571419</v>
      </c>
      <c r="H175" s="132">
        <v>145</v>
      </c>
      <c r="I175" s="133">
        <v>0.93333333333333335</v>
      </c>
      <c r="J175" s="132">
        <v>5527</v>
      </c>
      <c r="K175" s="133">
        <v>0.19735701906412473</v>
      </c>
      <c r="L175" s="132">
        <v>38239</v>
      </c>
      <c r="M175" s="133">
        <v>7.6306012159423453E-2</v>
      </c>
    </row>
    <row r="176" spans="3:13" ht="24" customHeight="1" thickBot="1" x14ac:dyDescent="0.25">
      <c r="C176" s="134" t="s">
        <v>57</v>
      </c>
      <c r="D176" s="135">
        <v>49712</v>
      </c>
      <c r="E176" s="133">
        <v>4.4391688901027404E-2</v>
      </c>
      <c r="F176" s="135">
        <v>2615</v>
      </c>
      <c r="G176" s="133">
        <v>0.27003399708596398</v>
      </c>
      <c r="H176" s="135">
        <v>228</v>
      </c>
      <c r="I176" s="133">
        <v>0.34911242603550297</v>
      </c>
      <c r="J176" s="135">
        <v>11163</v>
      </c>
      <c r="K176" s="133">
        <v>0.29111727966689793</v>
      </c>
      <c r="L176" s="135">
        <v>35706</v>
      </c>
      <c r="M176" s="133">
        <v>-2.774676650782848E-2</v>
      </c>
    </row>
    <row r="177" spans="3:18" ht="24" customHeight="1" thickBot="1" x14ac:dyDescent="0.25">
      <c r="C177" s="136" t="s">
        <v>58</v>
      </c>
      <c r="D177" s="132">
        <v>6964</v>
      </c>
      <c r="E177" s="133">
        <v>0.34206976296010794</v>
      </c>
      <c r="F177" s="132">
        <v>965</v>
      </c>
      <c r="G177" s="133">
        <v>0.28495339547270304</v>
      </c>
      <c r="H177" s="132">
        <v>243</v>
      </c>
      <c r="I177" s="133">
        <v>0.46385542168674698</v>
      </c>
      <c r="J177" s="132">
        <v>1181</v>
      </c>
      <c r="K177" s="133">
        <v>0.30353200883002218</v>
      </c>
      <c r="L177" s="132">
        <v>4575</v>
      </c>
      <c r="M177" s="133">
        <v>0.35918003565062384</v>
      </c>
    </row>
    <row r="178" spans="3:18" ht="24" customHeight="1" thickBot="1" x14ac:dyDescent="0.25">
      <c r="C178" s="134" t="s">
        <v>59</v>
      </c>
      <c r="D178" s="135">
        <v>5712</v>
      </c>
      <c r="E178" s="133">
        <v>4.8265736832446393E-2</v>
      </c>
      <c r="F178" s="135">
        <v>1238</v>
      </c>
      <c r="G178" s="133">
        <v>0.22332015810276684</v>
      </c>
      <c r="H178" s="135">
        <v>151</v>
      </c>
      <c r="I178" s="133">
        <v>7.0921985815602939E-2</v>
      </c>
      <c r="J178" s="135">
        <v>1161</v>
      </c>
      <c r="K178" s="133">
        <v>5.9306569343065663E-2</v>
      </c>
      <c r="L178" s="135">
        <v>3162</v>
      </c>
      <c r="M178" s="133">
        <v>-1.1874999999999969E-2</v>
      </c>
    </row>
    <row r="179" spans="3:18" ht="24" customHeight="1" thickBot="1" x14ac:dyDescent="0.25">
      <c r="C179" s="136" t="s">
        <v>60</v>
      </c>
      <c r="D179" s="138">
        <v>20732</v>
      </c>
      <c r="E179" s="139">
        <v>0.34894918342117243</v>
      </c>
      <c r="F179" s="138">
        <v>2030</v>
      </c>
      <c r="G179" s="139">
        <v>9.3161012385568176E-2</v>
      </c>
      <c r="H179" s="138">
        <v>223</v>
      </c>
      <c r="I179" s="139">
        <v>-0.13899613899613905</v>
      </c>
      <c r="J179" s="138">
        <v>3710</v>
      </c>
      <c r="K179" s="139">
        <v>0.12322131395700886</v>
      </c>
      <c r="L179" s="138">
        <v>14769</v>
      </c>
      <c r="M179" s="139">
        <v>0.48432160804020108</v>
      </c>
    </row>
    <row r="180" spans="3:18" ht="30.75" customHeight="1" thickTop="1" thickBot="1" x14ac:dyDescent="0.25">
      <c r="C180" s="140" t="s">
        <v>61</v>
      </c>
      <c r="D180" s="141">
        <v>1526179</v>
      </c>
      <c r="E180" s="142">
        <v>8.9278985425809143E-3</v>
      </c>
      <c r="F180" s="141">
        <v>29781</v>
      </c>
      <c r="G180" s="142">
        <v>1.979248707324599E-2</v>
      </c>
      <c r="H180" s="141">
        <v>9820</v>
      </c>
      <c r="I180" s="142">
        <v>0.10015684517140944</v>
      </c>
      <c r="J180" s="141">
        <v>211829</v>
      </c>
      <c r="K180" s="142">
        <v>0.11414475587370543</v>
      </c>
      <c r="L180" s="141">
        <v>1274749</v>
      </c>
      <c r="M180" s="142">
        <v>-7.5279231527430879E-3</v>
      </c>
    </row>
    <row r="181" spans="3:18" ht="24" customHeight="1" thickBot="1" x14ac:dyDescent="0.25">
      <c r="C181" s="143" t="s">
        <v>8</v>
      </c>
      <c r="D181" s="144">
        <v>1833085</v>
      </c>
      <c r="E181" s="145">
        <v>9.8234240626513536E-3</v>
      </c>
      <c r="F181" s="144">
        <v>85193</v>
      </c>
      <c r="G181" s="145">
        <v>-1.2575627622337104E-2</v>
      </c>
      <c r="H181" s="144">
        <v>16433</v>
      </c>
      <c r="I181" s="145">
        <v>7.2020353578185148E-2</v>
      </c>
      <c r="J181" s="144">
        <v>331870</v>
      </c>
      <c r="K181" s="145">
        <v>8.7449456389957492E-2</v>
      </c>
      <c r="L181" s="144">
        <v>1399589</v>
      </c>
      <c r="M181" s="145">
        <v>-6.301190516761479E-3</v>
      </c>
    </row>
    <row r="182" spans="3:18" ht="18" customHeight="1" x14ac:dyDescent="0.2">
      <c r="C182" s="3"/>
    </row>
    <row r="183" spans="3:18" ht="17.25" hidden="1" customHeight="1" x14ac:dyDescent="0.2">
      <c r="C183" s="353"/>
      <c r="D183" s="354"/>
      <c r="E183" s="354"/>
      <c r="F183" s="354"/>
      <c r="G183" s="354"/>
      <c r="H183" s="354"/>
      <c r="I183" s="354"/>
      <c r="J183" s="354"/>
      <c r="K183" s="354"/>
      <c r="L183" s="354"/>
      <c r="M183" s="355"/>
    </row>
    <row r="184" spans="3:18" ht="21.75" hidden="1" customHeight="1" x14ac:dyDescent="0.2">
      <c r="C184" s="111"/>
      <c r="D184" s="112"/>
      <c r="E184" s="356" t="str">
        <f>$E$1</f>
        <v>INDICADORES TURÍSTICOS DE TENERIFE definitivo</v>
      </c>
      <c r="F184" s="357"/>
      <c r="G184" s="357"/>
      <c r="H184" s="357"/>
      <c r="I184" s="357"/>
      <c r="J184" s="357"/>
      <c r="K184" s="358"/>
      <c r="L184" s="112"/>
      <c r="M184" s="114"/>
    </row>
    <row r="185" spans="3:18" s="1" customFormat="1" ht="21.75" hidden="1" customHeight="1" x14ac:dyDescent="0.2">
      <c r="C185" s="111"/>
      <c r="D185" s="112"/>
      <c r="E185" s="113"/>
      <c r="F185" s="113"/>
      <c r="G185" s="113"/>
      <c r="H185" s="113"/>
      <c r="I185" s="113"/>
      <c r="J185" s="113"/>
      <c r="K185" s="113"/>
      <c r="L185" s="112"/>
      <c r="M185" s="114"/>
    </row>
    <row r="186" spans="3:18" ht="33" hidden="1" customHeight="1" x14ac:dyDescent="0.2">
      <c r="C186" s="349" t="s">
        <v>29</v>
      </c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  <c r="N186" s="350"/>
      <c r="O186" s="350"/>
      <c r="P186" s="350"/>
      <c r="Q186" s="350"/>
      <c r="R186" s="147"/>
    </row>
    <row r="187" spans="3:18" ht="20.100000000000001" hidden="1" customHeight="1" x14ac:dyDescent="0.2">
      <c r="C187" s="359">
        <f>E3</f>
        <v>0</v>
      </c>
      <c r="D187" s="360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0"/>
      <c r="P187" s="360"/>
      <c r="Q187" s="360"/>
      <c r="R187" s="1"/>
    </row>
    <row r="188" spans="3:18" ht="17.25" hidden="1" customHeight="1" x14ac:dyDescent="0.2">
      <c r="C188" s="148"/>
      <c r="D188" s="347" t="s">
        <v>24</v>
      </c>
      <c r="E188" s="348"/>
      <c r="F188" s="347" t="s">
        <v>23</v>
      </c>
      <c r="G188" s="348"/>
      <c r="H188" s="347" t="s">
        <v>22</v>
      </c>
      <c r="I188" s="348"/>
      <c r="J188" s="347" t="s">
        <v>21</v>
      </c>
      <c r="K188" s="348"/>
      <c r="L188" s="347" t="s">
        <v>20</v>
      </c>
      <c r="M188" s="348"/>
      <c r="N188" s="347" t="s">
        <v>63</v>
      </c>
      <c r="O188" s="348"/>
      <c r="P188" s="347" t="s">
        <v>64</v>
      </c>
      <c r="Q188" s="348"/>
    </row>
    <row r="189" spans="3:18" ht="28.5" hidden="1" customHeight="1" x14ac:dyDescent="0.2">
      <c r="C189" s="148"/>
      <c r="D189" s="149" t="s">
        <v>35</v>
      </c>
      <c r="E189" s="149" t="s">
        <v>34</v>
      </c>
      <c r="F189" s="149" t="s">
        <v>35</v>
      </c>
      <c r="G189" s="149" t="s">
        <v>34</v>
      </c>
      <c r="H189" s="149" t="s">
        <v>35</v>
      </c>
      <c r="I189" s="149" t="s">
        <v>34</v>
      </c>
      <c r="J189" s="149" t="s">
        <v>35</v>
      </c>
      <c r="K189" s="149" t="s">
        <v>34</v>
      </c>
      <c r="L189" s="149" t="s">
        <v>35</v>
      </c>
      <c r="M189" s="149" t="s">
        <v>34</v>
      </c>
      <c r="N189" s="149" t="s">
        <v>35</v>
      </c>
      <c r="O189" s="149" t="s">
        <v>34</v>
      </c>
      <c r="P189" s="149" t="s">
        <v>35</v>
      </c>
      <c r="Q189" s="149" t="s">
        <v>34</v>
      </c>
    </row>
    <row r="190" spans="3:18" ht="24" hidden="1" customHeight="1" x14ac:dyDescent="0.2">
      <c r="C190" s="150" t="s">
        <v>36</v>
      </c>
      <c r="D190" s="151" t="e">
        <f>VLOOKUP("españa",#REF!,6,FALSE)/VLOOKUP("españa",#REF!,6,FALSE)-1</f>
        <v>#REF!</v>
      </c>
      <c r="E190" s="152" t="e">
        <f>VLOOKUP("españa",#REF!,6,FALSE)</f>
        <v>#REF!</v>
      </c>
      <c r="F190" s="151" t="e">
        <f>VLOOKUP("españa",#REF!,5,FALSE)/VLOOKUP("españa",#REF!,5,FALSE)-1</f>
        <v>#REF!</v>
      </c>
      <c r="G190" s="152" t="e">
        <f>VLOOKUP("españa",#REF!,5,FALSE)</f>
        <v>#REF!</v>
      </c>
      <c r="H190" s="151" t="e">
        <f>VLOOKUP("españa",#REF!,4,FALSE)/VLOOKUP("españa",#REF!,4,FALSE)-1</f>
        <v>#REF!</v>
      </c>
      <c r="I190" s="152" t="e">
        <f>VLOOKUP("españa",#REF!,4,FALSE)</f>
        <v>#REF!</v>
      </c>
      <c r="J190" s="151" t="e">
        <f>VLOOKUP("españa",#REF!,3,FALSE)/VLOOKUP("españa",#REF!,3,FALSE)-1</f>
        <v>#REF!</v>
      </c>
      <c r="K190" s="152" t="e">
        <f>VLOOKUP("españa",#REF!,3,FALSE)</f>
        <v>#REF!</v>
      </c>
      <c r="L190" s="151" t="e">
        <f>VLOOKUP("españa",#REF!,2,FALSE)/VLOOKUP("españa",#REF!,2,FALSE)-1</f>
        <v>#REF!</v>
      </c>
      <c r="M190" s="152" t="e">
        <f>VLOOKUP("españa",#REF!,2,FALSE)</f>
        <v>#REF!</v>
      </c>
      <c r="N190" s="151" t="e">
        <f>VLOOKUP("españa",#REF!,7,FALSE)/VLOOKUP("españa",#REF!,7,FALSE)-1</f>
        <v>#REF!</v>
      </c>
      <c r="O190" s="152" t="e">
        <f>VLOOKUP("españa",#REF!,7,FALSE)</f>
        <v>#REF!</v>
      </c>
      <c r="P190" s="151" t="e">
        <f>VLOOKUP("españa",#REF!,8,FALSE)/VLOOKUP("españa",#REF!,8,FALSE)-1</f>
        <v>#REF!</v>
      </c>
      <c r="Q190" s="152" t="e">
        <f>VLOOKUP("españa",#REF!,8,FALSE)</f>
        <v>#REF!</v>
      </c>
    </row>
    <row r="191" spans="3:18" ht="24" hidden="1" customHeight="1" x14ac:dyDescent="0.2">
      <c r="C191" s="150" t="s">
        <v>41</v>
      </c>
      <c r="D191" s="151" t="e">
        <f>VLOOKUP("holanda",#REF!,6,FALSE)/VLOOKUP("holanda",#REF!,6,FALSE)-1</f>
        <v>#REF!</v>
      </c>
      <c r="E191" s="152" t="e">
        <f>VLOOKUP("holanda",#REF!,6,FALSE)</f>
        <v>#REF!</v>
      </c>
      <c r="F191" s="151" t="e">
        <f>VLOOKUP("holanda",#REF!,5,FALSE)/VLOOKUP("holanda",#REF!,5,FALSE)-1</f>
        <v>#REF!</v>
      </c>
      <c r="G191" s="152" t="e">
        <f>VLOOKUP("holanda",#REF!,5,FALSE)</f>
        <v>#REF!</v>
      </c>
      <c r="H191" s="151" t="e">
        <f>VLOOKUP("holanda",#REF!,4,FALSE)/VLOOKUP("holanda",#REF!,4,FALSE)-1</f>
        <v>#REF!</v>
      </c>
      <c r="I191" s="152" t="e">
        <f>VLOOKUP("holanda",#REF!,4,FALSE)</f>
        <v>#REF!</v>
      </c>
      <c r="J191" s="151" t="e">
        <f>VLOOKUP("holanda",#REF!,3,FALSE)/VLOOKUP("holanda",#REF!,3,FALSE)-1</f>
        <v>#REF!</v>
      </c>
      <c r="K191" s="152" t="e">
        <f>VLOOKUP("holanda",#REF!,3,FALSE)</f>
        <v>#REF!</v>
      </c>
      <c r="L191" s="151" t="e">
        <f>VLOOKUP("holanda",#REF!,2,FALSE)/VLOOKUP("holanda",#REF!,2,FALSE)-1</f>
        <v>#REF!</v>
      </c>
      <c r="M191" s="152" t="e">
        <f>VLOOKUP("holanda",#REF!,2,FALSE)</f>
        <v>#REF!</v>
      </c>
      <c r="N191" s="151" t="e">
        <f>VLOOKUP("holanda",#REF!,7,FALSE)/VLOOKUP("holanda",#REF!,7,FALSE)-1</f>
        <v>#REF!</v>
      </c>
      <c r="O191" s="152" t="e">
        <f>VLOOKUP("holanda",#REF!,7,FALSE)</f>
        <v>#REF!</v>
      </c>
      <c r="P191" s="151" t="e">
        <f>VLOOKUP("holanda",#REF!,8,FALSE)/VLOOKUP("holanda",#REF!,8,FALSE)-1</f>
        <v>#REF!</v>
      </c>
      <c r="Q191" s="152" t="e">
        <f>VLOOKUP("holanda",#REF!,8,FALSE)</f>
        <v>#REF!</v>
      </c>
    </row>
    <row r="192" spans="3:18" ht="24" hidden="1" customHeight="1" x14ac:dyDescent="0.2">
      <c r="C192" s="150" t="s">
        <v>42</v>
      </c>
      <c r="D192" s="151" t="e">
        <f>VLOOKUP("belgica",#REF!,6,FALSE)/VLOOKUP("belgica",#REF!,6,FALSE)-1</f>
        <v>#REF!</v>
      </c>
      <c r="E192" s="152" t="e">
        <f>VLOOKUP("belgica",#REF!,6,FALSE)</f>
        <v>#REF!</v>
      </c>
      <c r="F192" s="151" t="e">
        <f>VLOOKUP("belgica",#REF!,5,FALSE)/VLOOKUP("belgica",#REF!,5,FALSE)-1</f>
        <v>#REF!</v>
      </c>
      <c r="G192" s="152" t="e">
        <f>VLOOKUP("belgica",#REF!,5,FALSE)</f>
        <v>#REF!</v>
      </c>
      <c r="H192" s="151" t="e">
        <f>VLOOKUP("belgica",#REF!,4,FALSE)/VLOOKUP("belgica",#REF!,4,FALSE)-1</f>
        <v>#REF!</v>
      </c>
      <c r="I192" s="152" t="e">
        <f>VLOOKUP("belgica",#REF!,4,FALSE)</f>
        <v>#REF!</v>
      </c>
      <c r="J192" s="151" t="e">
        <f>VLOOKUP("belgica",#REF!,3,FALSE)/VLOOKUP("belgica",#REF!,3,FALSE)-1</f>
        <v>#REF!</v>
      </c>
      <c r="K192" s="152" t="e">
        <f>VLOOKUP("belgica",#REF!,3,FALSE)</f>
        <v>#REF!</v>
      </c>
      <c r="L192" s="151" t="e">
        <f>VLOOKUP("belgica",#REF!,2,FALSE)/VLOOKUP("belgica",#REF!,2,FALSE)-1</f>
        <v>#REF!</v>
      </c>
      <c r="M192" s="152" t="e">
        <f>VLOOKUP("belgica",#REF!,2,FALSE)</f>
        <v>#REF!</v>
      </c>
      <c r="N192" s="151" t="e">
        <f>VLOOKUP("belgica",#REF!,7,FALSE)/VLOOKUP("belgica",#REF!,7,FALSE)-1</f>
        <v>#REF!</v>
      </c>
      <c r="O192" s="152" t="e">
        <f>VLOOKUP("belgica",#REF!,7,FALSE)</f>
        <v>#REF!</v>
      </c>
      <c r="P192" s="151" t="e">
        <f>VLOOKUP("belgica",#REF!,8,FALSE)/VLOOKUP("belgica",#REF!,8,FALSE)-1</f>
        <v>#REF!</v>
      </c>
      <c r="Q192" s="152" t="e">
        <f>VLOOKUP("belgica",#REF!,8,FALSE)</f>
        <v>#REF!</v>
      </c>
    </row>
    <row r="193" spans="3:17" ht="24" hidden="1" customHeight="1" x14ac:dyDescent="0.2">
      <c r="C193" s="150" t="s">
        <v>43</v>
      </c>
      <c r="D193" s="151" t="e">
        <f>VLOOKUP("alemania",#REF!,6,FALSE)/VLOOKUP("alemania",#REF!,6,FALSE)-1</f>
        <v>#REF!</v>
      </c>
      <c r="E193" s="152" t="e">
        <f>VLOOKUP("alemania",#REF!,6,FALSE)</f>
        <v>#REF!</v>
      </c>
      <c r="F193" s="151" t="e">
        <f>VLOOKUP("alemania",#REF!,5,FALSE)/VLOOKUP("alemania",#REF!,5,FALSE)-1</f>
        <v>#REF!</v>
      </c>
      <c r="G193" s="152" t="e">
        <f>VLOOKUP("alemania",#REF!,5,FALSE)</f>
        <v>#REF!</v>
      </c>
      <c r="H193" s="151" t="e">
        <f>VLOOKUP("alemania",#REF!,4,FALSE)/VLOOKUP("alemania",#REF!,4,FALSE)-1</f>
        <v>#REF!</v>
      </c>
      <c r="I193" s="152" t="e">
        <f>VLOOKUP("alemania",#REF!,4,FALSE)</f>
        <v>#REF!</v>
      </c>
      <c r="J193" s="151" t="e">
        <f>VLOOKUP("alemania",#REF!,3,FALSE)/VLOOKUP("alemania",#REF!,3,FALSE)-1</f>
        <v>#REF!</v>
      </c>
      <c r="K193" s="152" t="e">
        <f>VLOOKUP("alemania",#REF!,3,FALSE)</f>
        <v>#REF!</v>
      </c>
      <c r="L193" s="151" t="e">
        <f>VLOOKUP("alemania",#REF!,2,FALSE)/VLOOKUP("alemania",#REF!,2,FALSE)-1</f>
        <v>#REF!</v>
      </c>
      <c r="M193" s="152" t="e">
        <f>VLOOKUP("alemania",#REF!,2,FALSE)</f>
        <v>#REF!</v>
      </c>
      <c r="N193" s="151" t="e">
        <f>VLOOKUP("alemania",#REF!,7,FALSE)/VLOOKUP("alemania",#REF!,7,FALSE)-1</f>
        <v>#REF!</v>
      </c>
      <c r="O193" s="152" t="e">
        <f>VLOOKUP("alemania",#REF!,7,FALSE)</f>
        <v>#REF!</v>
      </c>
      <c r="P193" s="151" t="e">
        <f>VLOOKUP("alemania",#REF!,8,FALSE)/VLOOKUP("alemania",#REF!,8,FALSE)-1</f>
        <v>#REF!</v>
      </c>
      <c r="Q193" s="152" t="e">
        <f>VLOOKUP("alemania",#REF!,8,FALSE)</f>
        <v>#REF!</v>
      </c>
    </row>
    <row r="194" spans="3:17" ht="24" hidden="1" customHeight="1" x14ac:dyDescent="0.2">
      <c r="C194" s="150" t="s">
        <v>44</v>
      </c>
      <c r="D194" s="151" t="e">
        <f>VLOOKUP("francia",#REF!,6,FALSE)/VLOOKUP("francia",#REF!,6,FALSE)-1</f>
        <v>#REF!</v>
      </c>
      <c r="E194" s="152" t="e">
        <f>VLOOKUP("francia",#REF!,6,FALSE)</f>
        <v>#REF!</v>
      </c>
      <c r="F194" s="151" t="e">
        <f>VLOOKUP("francia",#REF!,5,FALSE)/VLOOKUP("francia",#REF!,5,FALSE)-1</f>
        <v>#REF!</v>
      </c>
      <c r="G194" s="152" t="e">
        <f>VLOOKUP("francia",#REF!,5,FALSE)</f>
        <v>#REF!</v>
      </c>
      <c r="H194" s="151" t="e">
        <f>VLOOKUP("francia",#REF!,4,FALSE)/VLOOKUP("francia",#REF!,4,FALSE)-1</f>
        <v>#REF!</v>
      </c>
      <c r="I194" s="152" t="e">
        <f>VLOOKUP("francia",#REF!,4,FALSE)</f>
        <v>#REF!</v>
      </c>
      <c r="J194" s="151" t="e">
        <f>VLOOKUP("francia",#REF!,3,FALSE)/VLOOKUP("francia",#REF!,3,FALSE)-1</f>
        <v>#REF!</v>
      </c>
      <c r="K194" s="152" t="e">
        <f>VLOOKUP("francia",#REF!,3,FALSE)</f>
        <v>#REF!</v>
      </c>
      <c r="L194" s="151" t="e">
        <f>VLOOKUP("francia",#REF!,2,FALSE)/VLOOKUP("francia",#REF!,2,FALSE)-1</f>
        <v>#REF!</v>
      </c>
      <c r="M194" s="152" t="e">
        <f>VLOOKUP("francia",#REF!,2,FALSE)</f>
        <v>#REF!</v>
      </c>
      <c r="N194" s="151" t="e">
        <f>VLOOKUP("francia",#REF!,7,FALSE)/VLOOKUP("francia",#REF!,7,FALSE)-1</f>
        <v>#REF!</v>
      </c>
      <c r="O194" s="152" t="e">
        <f>VLOOKUP("francia",#REF!,7,FALSE)</f>
        <v>#REF!</v>
      </c>
      <c r="P194" s="151" t="e">
        <f>VLOOKUP("francia",#REF!,8,FALSE)/VLOOKUP("francia",#REF!,8,FALSE)-1</f>
        <v>#REF!</v>
      </c>
      <c r="Q194" s="152" t="e">
        <f>VLOOKUP("francia",#REF!,8,FALSE)</f>
        <v>#REF!</v>
      </c>
    </row>
    <row r="195" spans="3:17" ht="24" hidden="1" customHeight="1" x14ac:dyDescent="0.2">
      <c r="C195" s="150" t="s">
        <v>45</v>
      </c>
      <c r="D195" s="151" t="e">
        <f>VLOOKUP("reino unido",#REF!,6,FALSE)/VLOOKUP("reino unido",#REF!,6,FALSE)-1</f>
        <v>#REF!</v>
      </c>
      <c r="E195" s="152" t="e">
        <f>VLOOKUP("reino unido",#REF!,6,FALSE)</f>
        <v>#REF!</v>
      </c>
      <c r="F195" s="151" t="e">
        <f>VLOOKUP("reino unido",#REF!,5,FALSE)/VLOOKUP("reino unido",#REF!,5,FALSE)-1</f>
        <v>#REF!</v>
      </c>
      <c r="G195" s="152" t="e">
        <f>VLOOKUP("reino unido",#REF!,5,FALSE)</f>
        <v>#REF!</v>
      </c>
      <c r="H195" s="151" t="e">
        <f>VLOOKUP("reino unido",#REF!,4,FALSE)/VLOOKUP("reino unido",#REF!,4,FALSE)-1</f>
        <v>#REF!</v>
      </c>
      <c r="I195" s="152" t="e">
        <f>VLOOKUP("reino unido",#REF!,4,FALSE)</f>
        <v>#REF!</v>
      </c>
      <c r="J195" s="151" t="e">
        <f>VLOOKUP("reino unido",#REF!,3,FALSE)/VLOOKUP("reino unido",#REF!,3,FALSE)-1</f>
        <v>#REF!</v>
      </c>
      <c r="K195" s="152" t="e">
        <f>VLOOKUP("reino unido",#REF!,3,FALSE)</f>
        <v>#REF!</v>
      </c>
      <c r="L195" s="151" t="e">
        <f>VLOOKUP("reino unido",#REF!,2,FALSE)/VLOOKUP("reino unido",#REF!,2,FALSE)-1</f>
        <v>#REF!</v>
      </c>
      <c r="M195" s="152" t="e">
        <f>VLOOKUP("reino unido",#REF!,2,FALSE)</f>
        <v>#REF!</v>
      </c>
      <c r="N195" s="151" t="e">
        <f>VLOOKUP("reino unido",#REF!,7,FALSE)/VLOOKUP("reino unido",#REF!,7,FALSE)-1</f>
        <v>#REF!</v>
      </c>
      <c r="O195" s="152" t="e">
        <f>VLOOKUP("reino unido",#REF!,7,FALSE)</f>
        <v>#REF!</v>
      </c>
      <c r="P195" s="151" t="e">
        <f>VLOOKUP("reino unido",#REF!,8,FALSE)/VLOOKUP("reino unido",#REF!,8,FALSE)-1</f>
        <v>#REF!</v>
      </c>
      <c r="Q195" s="152" t="e">
        <f>VLOOKUP("reino unido",#REF!,8,FALSE)</f>
        <v>#REF!</v>
      </c>
    </row>
    <row r="196" spans="3:17" ht="24" hidden="1" customHeight="1" x14ac:dyDescent="0.2">
      <c r="C196" s="150" t="s">
        <v>46</v>
      </c>
      <c r="D196" s="151" t="e">
        <f>VLOOKUP("irlanda",#REF!,6,FALSE)/VLOOKUP("irlanda",#REF!,6,FALSE)-1</f>
        <v>#REF!</v>
      </c>
      <c r="E196" s="152" t="e">
        <f>VLOOKUP("irlanda",#REF!,6,FALSE)</f>
        <v>#REF!</v>
      </c>
      <c r="F196" s="151" t="e">
        <f>VLOOKUP("irlanda",#REF!,5,FALSE)/VLOOKUP("irlanda",#REF!,5,FALSE)-1</f>
        <v>#REF!</v>
      </c>
      <c r="G196" s="152" t="e">
        <f>VLOOKUP("irlanda",#REF!,5,FALSE)</f>
        <v>#REF!</v>
      </c>
      <c r="H196" s="151" t="e">
        <f>VLOOKUP("irlanda",#REF!,4,FALSE)/VLOOKUP("irlanda",#REF!,4,FALSE)-1</f>
        <v>#REF!</v>
      </c>
      <c r="I196" s="152" t="e">
        <f>VLOOKUP("irlanda",#REF!,4,FALSE)</f>
        <v>#REF!</v>
      </c>
      <c r="J196" s="151" t="e">
        <f>VLOOKUP("irlanda",#REF!,3,FALSE)/VLOOKUP("irlanda",#REF!,3,FALSE)-1</f>
        <v>#REF!</v>
      </c>
      <c r="K196" s="152" t="e">
        <f>VLOOKUP("irlanda",#REF!,3,FALSE)</f>
        <v>#REF!</v>
      </c>
      <c r="L196" s="151" t="e">
        <f>VLOOKUP("irlanda",#REF!,2,FALSE)/VLOOKUP("irlanda",#REF!,2,FALSE)-1</f>
        <v>#REF!</v>
      </c>
      <c r="M196" s="152" t="e">
        <f>VLOOKUP("irlanda",#REF!,2,FALSE)</f>
        <v>#REF!</v>
      </c>
      <c r="N196" s="151" t="e">
        <f>VLOOKUP("irlanda",#REF!,7,FALSE)/VLOOKUP("irlanda",#REF!,7,FALSE)-1</f>
        <v>#REF!</v>
      </c>
      <c r="O196" s="152" t="e">
        <f>VLOOKUP("irlanda",#REF!,7,FALSE)</f>
        <v>#REF!</v>
      </c>
      <c r="P196" s="151" t="e">
        <f>VLOOKUP("irlanda",#REF!,8,FALSE)/VLOOKUP("irlanda",#REF!,8,FALSE)-1</f>
        <v>#REF!</v>
      </c>
      <c r="Q196" s="152" t="e">
        <f>VLOOKUP("irlanda",#REF!,8,FALSE)</f>
        <v>#REF!</v>
      </c>
    </row>
    <row r="197" spans="3:17" ht="24" hidden="1" customHeight="1" x14ac:dyDescent="0.2">
      <c r="C197" s="150" t="s">
        <v>47</v>
      </c>
      <c r="D197" s="151" t="e">
        <f>VLOOKUP("italia",#REF!,6,FALSE)/VLOOKUP("italia",#REF!,6,FALSE)-1</f>
        <v>#REF!</v>
      </c>
      <c r="E197" s="152" t="e">
        <f>VLOOKUP("italia",#REF!,6,FALSE)</f>
        <v>#REF!</v>
      </c>
      <c r="F197" s="151" t="e">
        <f>VLOOKUP("italia",#REF!,5,FALSE)/VLOOKUP("italia",#REF!,5,FALSE)-1</f>
        <v>#REF!</v>
      </c>
      <c r="G197" s="152" t="e">
        <f>VLOOKUP("italia",#REF!,5,FALSE)</f>
        <v>#REF!</v>
      </c>
      <c r="H197" s="151" t="e">
        <f>VLOOKUP("italia",#REF!,4,FALSE)/VLOOKUP("italia",#REF!,4,FALSE)-1</f>
        <v>#REF!</v>
      </c>
      <c r="I197" s="152" t="e">
        <f>VLOOKUP("italia",#REF!,4,FALSE)</f>
        <v>#REF!</v>
      </c>
      <c r="J197" s="151" t="e">
        <f>VLOOKUP("italia",#REF!,3,FALSE)/VLOOKUP("italia",#REF!,3,FALSE)-1</f>
        <v>#REF!</v>
      </c>
      <c r="K197" s="152" t="e">
        <f>VLOOKUP("italia",#REF!,3,FALSE)</f>
        <v>#REF!</v>
      </c>
      <c r="L197" s="151" t="e">
        <f>VLOOKUP("italia",#REF!,2,FALSE)/VLOOKUP("italia",#REF!,2,FALSE)-1</f>
        <v>#REF!</v>
      </c>
      <c r="M197" s="152" t="e">
        <f>VLOOKUP("italia",#REF!,2,FALSE)</f>
        <v>#REF!</v>
      </c>
      <c r="N197" s="151" t="e">
        <f>VLOOKUP("italia",#REF!,7,FALSE)/VLOOKUP("italia",#REF!,7,FALSE)-1</f>
        <v>#REF!</v>
      </c>
      <c r="O197" s="152" t="e">
        <f>VLOOKUP("italia",#REF!,7,FALSE)</f>
        <v>#REF!</v>
      </c>
      <c r="P197" s="151" t="e">
        <f>VLOOKUP("italia",#REF!,8,FALSE)/VLOOKUP("italia",#REF!,8,FALSE)-1</f>
        <v>#REF!</v>
      </c>
      <c r="Q197" s="152" t="e">
        <f>VLOOKUP("italia",#REF!,8,FALSE)</f>
        <v>#REF!</v>
      </c>
    </row>
    <row r="198" spans="3:17" ht="24" hidden="1" customHeight="1" x14ac:dyDescent="0.2">
      <c r="C198" s="150" t="s">
        <v>48</v>
      </c>
      <c r="D198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152" t="e">
        <f>(VLOOKUP("suecia",#REF!,6,FALSE)+VLOOKUP("noruega",#REF!,6,FALSE)+VLOOKUP("dinamarca",#REF!,6,FALSE)+VLOOKUP("finlandia",#REF!,6,FALSE))</f>
        <v>#REF!</v>
      </c>
      <c r="F198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152" t="e">
        <f>(VLOOKUP("suecia",#REF!,5,FALSE)+VLOOKUP("noruega",#REF!,5,FALSE)+VLOOKUP("dinamarca",#REF!,5,FALSE)+VLOOKUP("finlandia",#REF!,5,FALSE))</f>
        <v>#REF!</v>
      </c>
      <c r="H198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152" t="e">
        <f>(VLOOKUP("suecia",#REF!,4,FALSE)+VLOOKUP("noruega",#REF!,4,FALSE)+VLOOKUP("dinamarca",#REF!,4,FALSE)+VLOOKUP("finlandia",#REF!,4,FALSE))</f>
        <v>#REF!</v>
      </c>
      <c r="J198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152" t="e">
        <f>(VLOOKUP("suecia",#REF!,3,FALSE)+VLOOKUP("noruega",#REF!,3,FALSE)+VLOOKUP("dinamarca",#REF!,3,FALSE)+VLOOKUP("finlandia",#REF!,3,FALSE))</f>
        <v>#REF!</v>
      </c>
      <c r="L198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152" t="e">
        <f>(VLOOKUP("suecia",#REF!,2,FALSE)+VLOOKUP("noruega",#REF!,2,FALSE)+VLOOKUP("dinamarca",#REF!,2,FALSE)+VLOOKUP("finlandia",#REF!,2,FALSE))</f>
        <v>#REF!</v>
      </c>
      <c r="N198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152" t="e">
        <f>(VLOOKUP("suecia",#REF!,7,FALSE)+VLOOKUP("noruega",#REF!,7,FALSE)+VLOOKUP("dinamarca",#REF!,7,FALSE)+VLOOKUP("finlandia",#REF!,7,FALSE))</f>
        <v>#REF!</v>
      </c>
      <c r="P198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152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153" t="s">
        <v>49</v>
      </c>
      <c r="D199" s="151" t="e">
        <f>VLOOKUP("suecia",#REF!,6,FALSE)/VLOOKUP("suecia",#REF!,6,FALSE)-1</f>
        <v>#REF!</v>
      </c>
      <c r="E199" s="152" t="e">
        <f>VLOOKUP("suecia",#REF!,6,FALSE)</f>
        <v>#REF!</v>
      </c>
      <c r="F199" s="151" t="e">
        <f>VLOOKUP("suecia",#REF!,5,FALSE)/VLOOKUP("suecia",#REF!,5,FALSE)-1</f>
        <v>#REF!</v>
      </c>
      <c r="G199" s="152" t="e">
        <f>VLOOKUP("suecia",#REF!,5,FALSE)</f>
        <v>#REF!</v>
      </c>
      <c r="H199" s="151" t="e">
        <f>VLOOKUP("suecia",#REF!,4,FALSE)/VLOOKUP("suecia",#REF!,4,FALSE)-1</f>
        <v>#REF!</v>
      </c>
      <c r="I199" s="152" t="e">
        <f>VLOOKUP("suecia",#REF!,4,FALSE)</f>
        <v>#REF!</v>
      </c>
      <c r="J199" s="151" t="e">
        <f>VLOOKUP("suecia",#REF!,3,FALSE)/VLOOKUP("suecia",#REF!,3,FALSE)-1</f>
        <v>#REF!</v>
      </c>
      <c r="K199" s="152" t="e">
        <f>VLOOKUP("suecia",#REF!,3,FALSE)</f>
        <v>#REF!</v>
      </c>
      <c r="L199" s="151" t="e">
        <f>VLOOKUP("suecia",#REF!,2,FALSE)/VLOOKUP("suecia",#REF!,2,FALSE)-1</f>
        <v>#REF!</v>
      </c>
      <c r="M199" s="152" t="e">
        <f>VLOOKUP("suecia",#REF!,2,FALSE)</f>
        <v>#REF!</v>
      </c>
      <c r="N199" s="151" t="e">
        <f>VLOOKUP("suecia",#REF!,7,FALSE)/VLOOKUP("suecia",#REF!,7,FALSE)-1</f>
        <v>#REF!</v>
      </c>
      <c r="O199" s="152" t="e">
        <f>VLOOKUP("suecia",#REF!,7,FALSE)</f>
        <v>#REF!</v>
      </c>
      <c r="P199" s="151" t="e">
        <f>VLOOKUP("suecia",#REF!,8,FALSE)/VLOOKUP("suecia",#REF!,8,FALSE)-1</f>
        <v>#REF!</v>
      </c>
      <c r="Q199" s="152" t="e">
        <f>VLOOKUP("suecia",#REF!,8,FALSE)</f>
        <v>#REF!</v>
      </c>
    </row>
    <row r="200" spans="3:17" ht="24" hidden="1" customHeight="1" x14ac:dyDescent="0.2">
      <c r="C200" s="153" t="s">
        <v>50</v>
      </c>
      <c r="D200" s="151" t="e">
        <f>VLOOKUP("noruega",#REF!,6,FALSE)/VLOOKUP("noruega",#REF!,6,FALSE)-1</f>
        <v>#REF!</v>
      </c>
      <c r="E200" s="152" t="e">
        <f>VLOOKUP("noruega",#REF!,6,FALSE)</f>
        <v>#REF!</v>
      </c>
      <c r="F200" s="151" t="e">
        <f>VLOOKUP("noruega",#REF!,5,FALSE)/VLOOKUP("noruega",#REF!,5,FALSE)-1</f>
        <v>#REF!</v>
      </c>
      <c r="G200" s="152" t="e">
        <f>VLOOKUP("noruega",#REF!,5,FALSE)</f>
        <v>#REF!</v>
      </c>
      <c r="H200" s="151" t="e">
        <f>VLOOKUP("noruega",#REF!,4,FALSE)/VLOOKUP("noruega",#REF!,4,FALSE)-1</f>
        <v>#REF!</v>
      </c>
      <c r="I200" s="152" t="e">
        <f>VLOOKUP("noruega",#REF!,4,FALSE)</f>
        <v>#REF!</v>
      </c>
      <c r="J200" s="151" t="e">
        <f>VLOOKUP("noruega",#REF!,3,FALSE)/VLOOKUP("noruega",#REF!,3,FALSE)-1</f>
        <v>#REF!</v>
      </c>
      <c r="K200" s="152" t="e">
        <f>VLOOKUP("noruega",#REF!,3,FALSE)</f>
        <v>#REF!</v>
      </c>
      <c r="L200" s="151" t="e">
        <f>VLOOKUP("noruega",#REF!,2,FALSE)/VLOOKUP("noruega",#REF!,2,FALSE)-1</f>
        <v>#REF!</v>
      </c>
      <c r="M200" s="152" t="e">
        <f>VLOOKUP("noruega",#REF!,2,FALSE)</f>
        <v>#REF!</v>
      </c>
      <c r="N200" s="151" t="e">
        <f>VLOOKUP("noruega",#REF!,7,FALSE)/VLOOKUP("noruega",#REF!,7,FALSE)-1</f>
        <v>#REF!</v>
      </c>
      <c r="O200" s="152" t="e">
        <f>VLOOKUP("noruega",#REF!,7,FALSE)</f>
        <v>#REF!</v>
      </c>
      <c r="P200" s="151" t="e">
        <f>VLOOKUP("noruega",#REF!,8,FALSE)/VLOOKUP("noruega",#REF!,8,FALSE)-1</f>
        <v>#REF!</v>
      </c>
      <c r="Q200" s="152" t="e">
        <f>VLOOKUP("noruega",#REF!,8,FALSE)</f>
        <v>#REF!</v>
      </c>
    </row>
    <row r="201" spans="3:17" ht="24" hidden="1" customHeight="1" x14ac:dyDescent="0.2">
      <c r="C201" s="153" t="s">
        <v>51</v>
      </c>
      <c r="D201" s="151" t="e">
        <f>VLOOKUP("dinamarca",#REF!,6,FALSE)/VLOOKUP("dinamarca",#REF!,6,FALSE)-1</f>
        <v>#REF!</v>
      </c>
      <c r="E201" s="152" t="e">
        <f>VLOOKUP("dinamarca",#REF!,6,FALSE)</f>
        <v>#REF!</v>
      </c>
      <c r="F201" s="151" t="e">
        <f>VLOOKUP("dinamarca",#REF!,5,FALSE)/VLOOKUP("dinamarca",#REF!,5,FALSE)-1</f>
        <v>#REF!</v>
      </c>
      <c r="G201" s="152" t="e">
        <f>VLOOKUP("dinamarca",#REF!,5,FALSE)</f>
        <v>#REF!</v>
      </c>
      <c r="H201" s="151" t="e">
        <f>VLOOKUP("dinamarca",#REF!,4,FALSE)/VLOOKUP("dinamarca",#REF!,4,FALSE)-1</f>
        <v>#REF!</v>
      </c>
      <c r="I201" s="152" t="e">
        <f>VLOOKUP("dinamarca",#REF!,4,FALSE)</f>
        <v>#REF!</v>
      </c>
      <c r="J201" s="151" t="e">
        <f>VLOOKUP("dinamarca",#REF!,3,FALSE)/VLOOKUP("dinamarca",#REF!,3,FALSE)-1</f>
        <v>#REF!</v>
      </c>
      <c r="K201" s="152" t="e">
        <f>VLOOKUP("dinamarca",#REF!,3,FALSE)</f>
        <v>#REF!</v>
      </c>
      <c r="L201" s="151" t="e">
        <f>VLOOKUP("dinamarca",#REF!,2,FALSE)/VLOOKUP("dinamarca",#REF!,2,FALSE)-1</f>
        <v>#REF!</v>
      </c>
      <c r="M201" s="152" t="e">
        <f>VLOOKUP("dinamarca",#REF!,2,FALSE)</f>
        <v>#REF!</v>
      </c>
      <c r="N201" s="151" t="e">
        <f>VLOOKUP("dinamarca",#REF!,7,FALSE)/VLOOKUP("dinamarca",#REF!,7,FALSE)-1</f>
        <v>#REF!</v>
      </c>
      <c r="O201" s="152" t="e">
        <f>VLOOKUP("dinamarca",#REF!,7,FALSE)</f>
        <v>#REF!</v>
      </c>
      <c r="P201" s="151" t="e">
        <f>VLOOKUP("dinamarca",#REF!,8,FALSE)/VLOOKUP("dinamarca",#REF!,8,FALSE)-1</f>
        <v>#REF!</v>
      </c>
      <c r="Q201" s="152" t="e">
        <f>VLOOKUP("dinamarca",#REF!,8,FALSE)</f>
        <v>#REF!</v>
      </c>
    </row>
    <row r="202" spans="3:17" ht="24" hidden="1" customHeight="1" x14ac:dyDescent="0.2">
      <c r="C202" s="153" t="s">
        <v>52</v>
      </c>
      <c r="D202" s="151" t="s">
        <v>38</v>
      </c>
      <c r="E202" s="152" t="e">
        <f>VLOOKUP("finlandia",#REF!,6,FALSE)</f>
        <v>#REF!</v>
      </c>
      <c r="F202" s="151" t="e">
        <f>VLOOKUP("finlandia",#REF!,5,FALSE)/VLOOKUP("finlandia",#REF!,5,FALSE)-1</f>
        <v>#REF!</v>
      </c>
      <c r="G202" s="152" t="e">
        <f>VLOOKUP("finlandia",#REF!,5,FALSE)</f>
        <v>#REF!</v>
      </c>
      <c r="H202" s="151" t="e">
        <f>VLOOKUP("finlandia",#REF!,4,FALSE)/VLOOKUP("finlandia",#REF!,4,FALSE)-1</f>
        <v>#REF!</v>
      </c>
      <c r="I202" s="152" t="e">
        <f>VLOOKUP("finlandia",#REF!,4,FALSE)</f>
        <v>#REF!</v>
      </c>
      <c r="J202" s="151" t="e">
        <f>VLOOKUP("finlandia",#REF!,3,FALSE)/VLOOKUP("finlandia",#REF!,3,FALSE)-1</f>
        <v>#REF!</v>
      </c>
      <c r="K202" s="152" t="e">
        <f>VLOOKUP("finlandia",#REF!,3,FALSE)</f>
        <v>#REF!</v>
      </c>
      <c r="L202" s="151" t="s">
        <v>38</v>
      </c>
      <c r="M202" s="152" t="e">
        <f>VLOOKUP("finlandia",#REF!,2,FALSE)</f>
        <v>#REF!</v>
      </c>
      <c r="N202" s="151" t="e">
        <f>VLOOKUP("finlandia",#REF!,7,FALSE)/VLOOKUP("finlandia",#REF!,7,FALSE)-1</f>
        <v>#REF!</v>
      </c>
      <c r="O202" s="152" t="e">
        <f>VLOOKUP("finlandia",#REF!,7,FALSE)</f>
        <v>#REF!</v>
      </c>
      <c r="P202" s="151" t="e">
        <f>VLOOKUP("finlandia",#REF!,8,FALSE)/VLOOKUP("finlandia",#REF!,8,FALSE)-1</f>
        <v>#REF!</v>
      </c>
      <c r="Q202" s="152" t="e">
        <f>VLOOKUP("finlandia",#REF!,8,FALSE)</f>
        <v>#REF!</v>
      </c>
    </row>
    <row r="203" spans="3:17" ht="24" hidden="1" customHeight="1" x14ac:dyDescent="0.2">
      <c r="C203" s="150" t="s">
        <v>53</v>
      </c>
      <c r="D203" s="151" t="e">
        <f>VLOOKUP("suiza",#REF!,6,FALSE)/VLOOKUP("suiza",#REF!,6,FALSE)-1</f>
        <v>#REF!</v>
      </c>
      <c r="E203" s="152" t="e">
        <f>VLOOKUP("suiza",#REF!,6,FALSE)</f>
        <v>#REF!</v>
      </c>
      <c r="F203" s="151" t="e">
        <f>VLOOKUP("suiza",#REF!,5,FALSE)/VLOOKUP("suiza",#REF!,5,FALSE)-1</f>
        <v>#REF!</v>
      </c>
      <c r="G203" s="152" t="e">
        <f>VLOOKUP("suiza",#REF!,5,FALSE)</f>
        <v>#REF!</v>
      </c>
      <c r="H203" s="151" t="e">
        <f>VLOOKUP("suiza",#REF!,4,FALSE)/VLOOKUP("suiza",#REF!,4,FALSE)-1</f>
        <v>#REF!</v>
      </c>
      <c r="I203" s="152" t="e">
        <f>VLOOKUP("suiza",#REF!,4,FALSE)</f>
        <v>#REF!</v>
      </c>
      <c r="J203" s="151" t="e">
        <f>VLOOKUP("suiza",#REF!,3,FALSE)/VLOOKUP("suiza",#REF!,3,FALSE)-1</f>
        <v>#REF!</v>
      </c>
      <c r="K203" s="152" t="e">
        <f>VLOOKUP("suiza",#REF!,3,FALSE)</f>
        <v>#REF!</v>
      </c>
      <c r="L203" s="151" t="e">
        <f>VLOOKUP("suiza",#REF!,2,FALSE)/VLOOKUP("suiza",#REF!,2,FALSE)-1</f>
        <v>#REF!</v>
      </c>
      <c r="M203" s="152" t="e">
        <f>VLOOKUP("suiza",#REF!,2,FALSE)</f>
        <v>#REF!</v>
      </c>
      <c r="N203" s="151" t="e">
        <f>VLOOKUP("suiza",#REF!,7,FALSE)/VLOOKUP("suiza",#REF!,7,FALSE)-1</f>
        <v>#REF!</v>
      </c>
      <c r="O203" s="152" t="e">
        <f>VLOOKUP("suiza",#REF!,7,FALSE)</f>
        <v>#REF!</v>
      </c>
      <c r="P203" s="151" t="e">
        <f>VLOOKUP("suiza",#REF!,8,FALSE)/VLOOKUP("suiza",#REF!,8,FALSE)-1</f>
        <v>#REF!</v>
      </c>
      <c r="Q203" s="152" t="e">
        <f>VLOOKUP("suiza",#REF!,8,FALSE)</f>
        <v>#REF!</v>
      </c>
    </row>
    <row r="204" spans="3:17" ht="24" hidden="1" customHeight="1" x14ac:dyDescent="0.2">
      <c r="C204" s="150" t="s">
        <v>54</v>
      </c>
      <c r="D204" s="151" t="e">
        <f>VLOOKUP("austria",#REF!,6,FALSE)/VLOOKUP("austria",#REF!,6,FALSE)-1</f>
        <v>#REF!</v>
      </c>
      <c r="E204" s="152" t="e">
        <f>VLOOKUP("austria",#REF!,6,FALSE)</f>
        <v>#REF!</v>
      </c>
      <c r="F204" s="151" t="e">
        <f>VLOOKUP("austria",#REF!,5,FALSE)/VLOOKUP("austria",#REF!,5,FALSE)-1</f>
        <v>#REF!</v>
      </c>
      <c r="G204" s="152" t="e">
        <f>VLOOKUP("austria",#REF!,5,FALSE)</f>
        <v>#REF!</v>
      </c>
      <c r="H204" s="151" t="e">
        <f>VLOOKUP("austria",#REF!,4,FALSE)/VLOOKUP("austria",#REF!,4,FALSE)-1</f>
        <v>#REF!</v>
      </c>
      <c r="I204" s="152" t="e">
        <f>VLOOKUP("austria",#REF!,4,FALSE)</f>
        <v>#REF!</v>
      </c>
      <c r="J204" s="151" t="e">
        <f>VLOOKUP("austria",#REF!,3,FALSE)/VLOOKUP("austria",#REF!,3,FALSE)-1</f>
        <v>#REF!</v>
      </c>
      <c r="K204" s="152" t="e">
        <f>VLOOKUP("austria",#REF!,3,FALSE)</f>
        <v>#REF!</v>
      </c>
      <c r="L204" s="151" t="e">
        <f>VLOOKUP("austria",#REF!,2,FALSE)/VLOOKUP("austria",#REF!,2,FALSE)-1</f>
        <v>#REF!</v>
      </c>
      <c r="M204" s="152" t="e">
        <f>VLOOKUP("austria",#REF!,2,FALSE)</f>
        <v>#REF!</v>
      </c>
      <c r="N204" s="151" t="e">
        <f>VLOOKUP("austria",#REF!,7,FALSE)/VLOOKUP("austria",#REF!,7,FALSE)-1</f>
        <v>#REF!</v>
      </c>
      <c r="O204" s="152" t="e">
        <f>VLOOKUP("austria",#REF!,7,FALSE)</f>
        <v>#REF!</v>
      </c>
      <c r="P204" s="151" t="e">
        <f>VLOOKUP("austria",#REF!,8,FALSE)/VLOOKUP("austria",#REF!,8,FALSE)-1</f>
        <v>#REF!</v>
      </c>
      <c r="Q204" s="152" t="e">
        <f>VLOOKUP("austria",#REF!,8,FALSE)</f>
        <v>#REF!</v>
      </c>
    </row>
    <row r="205" spans="3:17" ht="24" hidden="1" customHeight="1" x14ac:dyDescent="0.2">
      <c r="C205" s="150" t="s">
        <v>55</v>
      </c>
      <c r="D205" s="151" t="e">
        <f>VLOOKUP("rusia",#REF!,6,FALSE)/VLOOKUP("rusia",#REF!,6,FALSE)-1</f>
        <v>#REF!</v>
      </c>
      <c r="E205" s="152" t="e">
        <f>VLOOKUP("rusia",#REF!,6,FALSE)</f>
        <v>#REF!</v>
      </c>
      <c r="F205" s="151" t="e">
        <f>VLOOKUP("rusia",#REF!,5,FALSE)/VLOOKUP("rusia",#REF!,5,FALSE)-1</f>
        <v>#REF!</v>
      </c>
      <c r="G205" s="152" t="e">
        <f>VLOOKUP("rusia",#REF!,5,FALSE)</f>
        <v>#REF!</v>
      </c>
      <c r="H205" s="151" t="e">
        <f>VLOOKUP("rusia",#REF!,4,FALSE)/VLOOKUP("rusia",#REF!,4,FALSE)-1</f>
        <v>#REF!</v>
      </c>
      <c r="I205" s="152" t="e">
        <f>VLOOKUP("rusia",#REF!,4,FALSE)</f>
        <v>#REF!</v>
      </c>
      <c r="J205" s="151" t="e">
        <f>VLOOKUP("rusia",#REF!,3,FALSE)/VLOOKUP("rusia",#REF!,3,FALSE)-1</f>
        <v>#REF!</v>
      </c>
      <c r="K205" s="152" t="e">
        <f>VLOOKUP("rusia",#REF!,3,FALSE)</f>
        <v>#REF!</v>
      </c>
      <c r="L205" s="151" t="e">
        <f>VLOOKUP("rusia",#REF!,2,FALSE)/VLOOKUP("rusia",#REF!,2,FALSE)-1</f>
        <v>#REF!</v>
      </c>
      <c r="M205" s="152" t="e">
        <f>VLOOKUP("rusia",#REF!,2,FALSE)</f>
        <v>#REF!</v>
      </c>
      <c r="N205" s="151" t="e">
        <f>VLOOKUP("rusia",#REF!,7,FALSE)/VLOOKUP("rusia",#REF!,7,FALSE)-1</f>
        <v>#REF!</v>
      </c>
      <c r="O205" s="152" t="e">
        <f>VLOOKUP("rusia",#REF!,7,FALSE)</f>
        <v>#REF!</v>
      </c>
      <c r="P205" s="151" t="e">
        <f>VLOOKUP("rusia",#REF!,8,FALSE)/VLOOKUP("rusia",#REF!,8,FALSE)-1</f>
        <v>#REF!</v>
      </c>
      <c r="Q205" s="152" t="e">
        <f>VLOOKUP("rusia",#REF!,8,FALSE)</f>
        <v>#REF!</v>
      </c>
    </row>
    <row r="206" spans="3:17" ht="24" hidden="1" customHeight="1" x14ac:dyDescent="0.2">
      <c r="C206" s="150" t="s">
        <v>56</v>
      </c>
      <c r="D206" s="151" t="e">
        <f>VLOOKUP("paises del este",#REF!,6,FALSE)/VLOOKUP("paises del este",#REF!,6,FALSE)-1</f>
        <v>#REF!</v>
      </c>
      <c r="E206" s="152" t="e">
        <f>VLOOKUP("paises del este",#REF!,6,FALSE)</f>
        <v>#REF!</v>
      </c>
      <c r="F206" s="151" t="e">
        <f>VLOOKUP("paises del este",#REF!,5,FALSE)/VLOOKUP("paises del este",#REF!,5,FALSE)-1</f>
        <v>#REF!</v>
      </c>
      <c r="G206" s="152" t="e">
        <f>VLOOKUP("paises del este",#REF!,5,FALSE)</f>
        <v>#REF!</v>
      </c>
      <c r="H206" s="151" t="e">
        <f>VLOOKUP("paises del este",#REF!,4,FALSE)/VLOOKUP("paises del este",#REF!,4,FALSE)-1</f>
        <v>#REF!</v>
      </c>
      <c r="I206" s="152" t="e">
        <f>VLOOKUP("paises del este",#REF!,4,FALSE)</f>
        <v>#REF!</v>
      </c>
      <c r="J206" s="151" t="e">
        <f>VLOOKUP("paises del este",#REF!,3,FALSE)/VLOOKUP("paises del este",#REF!,3,FALSE)-1</f>
        <v>#REF!</v>
      </c>
      <c r="K206" s="152" t="e">
        <f>VLOOKUP("paises del este",#REF!,3,FALSE)</f>
        <v>#REF!</v>
      </c>
      <c r="L206" s="151" t="e">
        <f>VLOOKUP("paises del este",#REF!,2,FALSE)/VLOOKUP("paises del este",#REF!,2,FALSE)-1</f>
        <v>#REF!</v>
      </c>
      <c r="M206" s="152" t="e">
        <f>VLOOKUP("paises del este",#REF!,2,FALSE)</f>
        <v>#REF!</v>
      </c>
      <c r="N206" s="151" t="e">
        <f>VLOOKUP("paises del este",#REF!,7,FALSE)/VLOOKUP("paises del este",#REF!,7,FALSE)-1</f>
        <v>#REF!</v>
      </c>
      <c r="O206" s="152" t="e">
        <f>VLOOKUP("paises del este",#REF!,7,FALSE)</f>
        <v>#REF!</v>
      </c>
      <c r="P206" s="151" t="e">
        <f>VLOOKUP("paises del este",#REF!,8,FALSE)/VLOOKUP("paises del este",#REF!,8,FALSE)-1</f>
        <v>#REF!</v>
      </c>
      <c r="Q206" s="152" t="e">
        <f>VLOOKUP("paises del este",#REF!,8,FALSE)</f>
        <v>#REF!</v>
      </c>
    </row>
    <row r="207" spans="3:17" ht="24" hidden="1" customHeight="1" x14ac:dyDescent="0.2">
      <c r="C207" s="150" t="s">
        <v>57</v>
      </c>
      <c r="D207" s="151" t="e">
        <f>VLOOKUP("resto de europa",#REF!,6,FALSE)/VLOOKUP("resto de europa",#REF!,6,FALSE)-1</f>
        <v>#REF!</v>
      </c>
      <c r="E207" s="152" t="e">
        <f>VLOOKUP("resto de europa",#REF!,6,FALSE)</f>
        <v>#REF!</v>
      </c>
      <c r="F207" s="151" t="e">
        <f>VLOOKUP("resto de europa",#REF!,5,FALSE)/VLOOKUP("resto de europa",#REF!,5,FALSE)-1</f>
        <v>#REF!</v>
      </c>
      <c r="G207" s="152" t="e">
        <f>VLOOKUP("resto de europa",#REF!,5,FALSE)</f>
        <v>#REF!</v>
      </c>
      <c r="H207" s="151" t="e">
        <f>VLOOKUP("resto de europa",#REF!,4,FALSE)/VLOOKUP("resto de europa",#REF!,4,FALSE)-1</f>
        <v>#REF!</v>
      </c>
      <c r="I207" s="152" t="e">
        <f>VLOOKUP("resto de europa",#REF!,4,FALSE)</f>
        <v>#REF!</v>
      </c>
      <c r="J207" s="151" t="e">
        <f>VLOOKUP("resto de europa",#REF!,3,FALSE)/VLOOKUP("resto de europa",#REF!,3,FALSE)-1</f>
        <v>#REF!</v>
      </c>
      <c r="K207" s="152" t="e">
        <f>VLOOKUP("resto de europa",#REF!,3,FALSE)</f>
        <v>#REF!</v>
      </c>
      <c r="L207" s="151" t="e">
        <f>VLOOKUP("resto de europa",#REF!,2,FALSE)/VLOOKUP("resto de europa",#REF!,2,FALSE)-1</f>
        <v>#REF!</v>
      </c>
      <c r="M207" s="152" t="e">
        <f>VLOOKUP("resto de europa",#REF!,2,FALSE)</f>
        <v>#REF!</v>
      </c>
      <c r="N207" s="151" t="e">
        <f>VLOOKUP("resto de europa",#REF!,7,FALSE)/VLOOKUP("resto de europa",#REF!,7,FALSE)-1</f>
        <v>#REF!</v>
      </c>
      <c r="O207" s="152" t="e">
        <f>VLOOKUP("resto de europa",#REF!,7,FALSE)</f>
        <v>#REF!</v>
      </c>
      <c r="P207" s="151" t="e">
        <f>VLOOKUP("resto de europa",#REF!,8,FALSE)/VLOOKUP("resto de europa",#REF!,8,FALSE)-1</f>
        <v>#REF!</v>
      </c>
      <c r="Q207" s="152" t="e">
        <f>VLOOKUP("resto de europa",#REF!,8,FALSE)</f>
        <v>#REF!</v>
      </c>
    </row>
    <row r="208" spans="3:17" ht="24" hidden="1" customHeight="1" x14ac:dyDescent="0.2">
      <c r="C208" s="150" t="s">
        <v>58</v>
      </c>
      <c r="D208" s="151" t="e">
        <f>VLOOKUP("usa",#REF!,6,FALSE)/VLOOKUP("usa",#REF!,6,FALSE)-1</f>
        <v>#REF!</v>
      </c>
      <c r="E208" s="152" t="e">
        <f>VLOOKUP("usa",#REF!,6,FALSE)</f>
        <v>#REF!</v>
      </c>
      <c r="F208" s="151" t="e">
        <f>VLOOKUP("usa",#REF!,5,FALSE)/VLOOKUP("usa",#REF!,5,FALSE)-1</f>
        <v>#REF!</v>
      </c>
      <c r="G208" s="152" t="e">
        <f>VLOOKUP("usa",#REF!,5,FALSE)</f>
        <v>#REF!</v>
      </c>
      <c r="H208" s="151" t="e">
        <f>VLOOKUP("usa",#REF!,4,FALSE)/VLOOKUP("usa",#REF!,4,FALSE)-1</f>
        <v>#REF!</v>
      </c>
      <c r="I208" s="152" t="e">
        <f>VLOOKUP("usa",#REF!,4,FALSE)</f>
        <v>#REF!</v>
      </c>
      <c r="J208" s="151" t="e">
        <f>VLOOKUP("usa",#REF!,3,FALSE)/VLOOKUP("usa",#REF!,3,FALSE)-1</f>
        <v>#REF!</v>
      </c>
      <c r="K208" s="152" t="e">
        <f>VLOOKUP("usa",#REF!,3,FALSE)</f>
        <v>#REF!</v>
      </c>
      <c r="L208" s="151" t="e">
        <f>VLOOKUP("usa",#REF!,2,FALSE)/VLOOKUP("usa",#REF!,2,FALSE)-1</f>
        <v>#REF!</v>
      </c>
      <c r="M208" s="152" t="e">
        <f>VLOOKUP("usa",#REF!,2,FALSE)</f>
        <v>#REF!</v>
      </c>
      <c r="N208" s="151" t="e">
        <f>VLOOKUP("usa",#REF!,7,FALSE)/VLOOKUP("usa",#REF!,7,FALSE)-1</f>
        <v>#REF!</v>
      </c>
      <c r="O208" s="152" t="e">
        <f>VLOOKUP("usa",#REF!,7,FALSE)</f>
        <v>#REF!</v>
      </c>
      <c r="P208" s="151" t="e">
        <f>VLOOKUP("usa",#REF!,8,FALSE)/VLOOKUP("usa",#REF!,8,FALSE)-1</f>
        <v>#REF!</v>
      </c>
      <c r="Q208" s="152" t="e">
        <f>VLOOKUP("usa",#REF!,8,FALSE)</f>
        <v>#REF!</v>
      </c>
    </row>
    <row r="209" spans="3:18" ht="24" hidden="1" customHeight="1" x14ac:dyDescent="0.2">
      <c r="C209" s="150" t="s">
        <v>59</v>
      </c>
      <c r="D209" s="151" t="e">
        <f>VLOOKUP("resto de america",#REF!,6,FALSE)/VLOOKUP("resto de america",#REF!,6,FALSE)-1</f>
        <v>#REF!</v>
      </c>
      <c r="E209" s="152" t="e">
        <f>VLOOKUP("resto de america",#REF!,6,FALSE)</f>
        <v>#REF!</v>
      </c>
      <c r="F209" s="151" t="e">
        <f>VLOOKUP("resto de america",#REF!,5,FALSE)/VLOOKUP("resto de america",#REF!,5,FALSE)-1</f>
        <v>#REF!</v>
      </c>
      <c r="G209" s="152" t="e">
        <f>VLOOKUP("resto de america",#REF!,5,FALSE)</f>
        <v>#REF!</v>
      </c>
      <c r="H209" s="151" t="e">
        <f>VLOOKUP("resto de america",#REF!,4,FALSE)/VLOOKUP("resto de america",#REF!,4,FALSE)-1</f>
        <v>#REF!</v>
      </c>
      <c r="I209" s="152" t="e">
        <f>VLOOKUP("resto de america",#REF!,4,FALSE)</f>
        <v>#REF!</v>
      </c>
      <c r="J209" s="151" t="e">
        <f>VLOOKUP("resto de america",#REF!,3,FALSE)/VLOOKUP("resto de america",#REF!,3,FALSE)-1</f>
        <v>#REF!</v>
      </c>
      <c r="K209" s="152" t="e">
        <f>VLOOKUP("resto de america",#REF!,3,FALSE)</f>
        <v>#REF!</v>
      </c>
      <c r="L209" s="151" t="e">
        <f>VLOOKUP("resto de america",#REF!,2,FALSE)/VLOOKUP("resto de america",#REF!,2,FALSE)-1</f>
        <v>#REF!</v>
      </c>
      <c r="M209" s="152" t="e">
        <f>VLOOKUP("resto de america",#REF!,2,FALSE)</f>
        <v>#REF!</v>
      </c>
      <c r="N209" s="151" t="e">
        <f>VLOOKUP("resto de america",#REF!,7,FALSE)/VLOOKUP("resto de america",#REF!,7,FALSE)-1</f>
        <v>#REF!</v>
      </c>
      <c r="O209" s="152" t="e">
        <f>VLOOKUP("resto de america",#REF!,7,FALSE)</f>
        <v>#REF!</v>
      </c>
      <c r="P209" s="151" t="e">
        <f>VLOOKUP("resto de america",#REF!,8,FALSE)/VLOOKUP("resto de america",#REF!,8,FALSE)-1</f>
        <v>#REF!</v>
      </c>
      <c r="Q209" s="152" t="e">
        <f>VLOOKUP("resto de america",#REF!,8,FALSE)</f>
        <v>#REF!</v>
      </c>
    </row>
    <row r="210" spans="3:18" ht="24" hidden="1" customHeight="1" x14ac:dyDescent="0.2">
      <c r="C210" s="150" t="s">
        <v>60</v>
      </c>
      <c r="D210" s="151" t="e">
        <f>VLOOKUP("resto del mundo",#REF!,6,FALSE)/VLOOKUP("resto del mundo",#REF!,6,FALSE)-1</f>
        <v>#REF!</v>
      </c>
      <c r="E210" s="152" t="e">
        <f>VLOOKUP("resto del mundo",#REF!,6,FALSE)</f>
        <v>#REF!</v>
      </c>
      <c r="F210" s="151" t="e">
        <f>VLOOKUP("resto del mundo",#REF!,5,FALSE)/VLOOKUP("resto del mundo",#REF!,5,FALSE)-1</f>
        <v>#REF!</v>
      </c>
      <c r="G210" s="152" t="e">
        <f>VLOOKUP("resto del mundo",#REF!,5,FALSE)</f>
        <v>#REF!</v>
      </c>
      <c r="H210" s="151" t="e">
        <f>VLOOKUP("resto del mundo",#REF!,4,FALSE)/VLOOKUP("resto del mundo",#REF!,4,FALSE)-1</f>
        <v>#REF!</v>
      </c>
      <c r="I210" s="152" t="e">
        <f>VLOOKUP("resto del mundo",#REF!,4,FALSE)</f>
        <v>#REF!</v>
      </c>
      <c r="J210" s="151" t="e">
        <f>VLOOKUP("resto del mundo",#REF!,3,FALSE)/VLOOKUP("resto del mundo",#REF!,3,FALSE)-1</f>
        <v>#REF!</v>
      </c>
      <c r="K210" s="152" t="e">
        <f>VLOOKUP("resto del mundo",#REF!,3,FALSE)</f>
        <v>#REF!</v>
      </c>
      <c r="L210" s="151" t="e">
        <f>VLOOKUP("resto del mundo",#REF!,2,FALSE)/VLOOKUP("resto del mundo",#REF!,2,FALSE)-1</f>
        <v>#REF!</v>
      </c>
      <c r="M210" s="152" t="e">
        <f>VLOOKUP("resto del mundo",#REF!,2,FALSE)</f>
        <v>#REF!</v>
      </c>
      <c r="N210" s="151" t="e">
        <f>VLOOKUP("resto del mundo",#REF!,7,FALSE)/VLOOKUP("resto del mundo",#REF!,7,FALSE)-1</f>
        <v>#REF!</v>
      </c>
      <c r="O210" s="152" t="e">
        <f>VLOOKUP("resto del mundo",#REF!,7,FALSE)</f>
        <v>#REF!</v>
      </c>
      <c r="P210" s="151" t="e">
        <f>VLOOKUP("resto del mundo",#REF!,8,FALSE)/VLOOKUP("resto del mundo",#REF!,8,FALSE)-1</f>
        <v>#REF!</v>
      </c>
      <c r="Q210" s="152" t="e">
        <f>VLOOKUP("resto del mundo",#REF!,8,FALSE)</f>
        <v>#REF!</v>
      </c>
    </row>
    <row r="211" spans="3:18" ht="24" hidden="1" customHeight="1" x14ac:dyDescent="0.2">
      <c r="C211" s="150" t="s">
        <v>61</v>
      </c>
      <c r="D211" s="151" t="e">
        <f>(VLOOKUP("total",#REF!,6,FALSE)-VLOOKUP("españa",#REF!,6,FALSE))/(VLOOKUP("total",#REF!,6,FALSE)-VLOOKUP("españa",#REF!,6,FALSE))-1</f>
        <v>#REF!</v>
      </c>
      <c r="E211" s="152" t="e">
        <f>VLOOKUP("total",#REF!,6,FALSE)-VLOOKUP("españa",#REF!,6,FALSE)</f>
        <v>#REF!</v>
      </c>
      <c r="F211" s="151" t="e">
        <f>(VLOOKUP("total",#REF!,5,FALSE)-VLOOKUP("españa",#REF!,5,FALSE))/(VLOOKUP("total",#REF!,5,FALSE)-VLOOKUP("españa",#REF!,5,FALSE))-1</f>
        <v>#REF!</v>
      </c>
      <c r="G211" s="152" t="e">
        <f>VLOOKUP("total",#REF!,5,FALSE)-VLOOKUP("españa",#REF!,5,FALSE)</f>
        <v>#REF!</v>
      </c>
      <c r="H211" s="151" t="e">
        <f>(VLOOKUP("total",#REF!,4,FALSE)-VLOOKUP("españa",#REF!,4,FALSE))/(VLOOKUP("total",#REF!,4,FALSE)-VLOOKUP("españa",#REF!,4,FALSE))-1</f>
        <v>#REF!</v>
      </c>
      <c r="I211" s="152" t="e">
        <f>VLOOKUP("total",#REF!,4,FALSE)-VLOOKUP("españa",#REF!,4,FALSE)</f>
        <v>#REF!</v>
      </c>
      <c r="J211" s="151" t="e">
        <f>(VLOOKUP("total",#REF!,3,FALSE)-VLOOKUP("españa",#REF!,3,FALSE))/(VLOOKUP("total",#REF!,3,FALSE)-VLOOKUP("españa",#REF!,3,FALSE))-1</f>
        <v>#REF!</v>
      </c>
      <c r="K211" s="152" t="e">
        <f>VLOOKUP("total",#REF!,3,FALSE)-VLOOKUP("españa",#REF!,3,FALSE)</f>
        <v>#REF!</v>
      </c>
      <c r="L211" s="151" t="e">
        <f>(VLOOKUP("total",#REF!,2,FALSE)-VLOOKUP("españa",#REF!,2,FALSE))/(VLOOKUP("total",#REF!,2,FALSE)-VLOOKUP("españa",#REF!,2,FALSE))-1</f>
        <v>#REF!</v>
      </c>
      <c r="M211" s="152" t="e">
        <f>VLOOKUP("total",#REF!,2,FALSE)-VLOOKUP("españa",#REF!,2,FALSE)</f>
        <v>#REF!</v>
      </c>
      <c r="N211" s="151" t="e">
        <f>(VLOOKUP("total",#REF!,7,FALSE)-VLOOKUP("españa",#REF!,7,FALSE))/(VLOOKUP("total",#REF!,7,FALSE)-VLOOKUP("españa",#REF!,7,FALSE))-1</f>
        <v>#REF!</v>
      </c>
      <c r="O211" s="152" t="e">
        <f>VLOOKUP("total",#REF!,7,FALSE)-VLOOKUP("españa",#REF!,7,FALSE)</f>
        <v>#REF!</v>
      </c>
      <c r="P211" s="151" t="e">
        <f>(VLOOKUP("total",#REF!,8,FALSE)-VLOOKUP("españa",#REF!,8,FALSE))/(VLOOKUP("total",#REF!,8,FALSE)-VLOOKUP("españa",#REF!,8,FALSE))-1</f>
        <v>#REF!</v>
      </c>
      <c r="Q211" s="152" t="e">
        <f>VLOOKUP("total",#REF!,8,FALSE)-VLOOKUP("españa",#REF!,8,FALSE)</f>
        <v>#REF!</v>
      </c>
    </row>
    <row r="212" spans="3:18" ht="24" hidden="1" customHeight="1" x14ac:dyDescent="0.2">
      <c r="C212" s="150" t="s">
        <v>8</v>
      </c>
      <c r="D212" s="151" t="e">
        <f>VLOOKUP("total",#REF!,6,FALSE)/VLOOKUP("total",#REF!,6,FALSE)-1</f>
        <v>#REF!</v>
      </c>
      <c r="E212" s="152" t="e">
        <f>VLOOKUP("total",#REF!,6,FALSE)</f>
        <v>#REF!</v>
      </c>
      <c r="F212" s="151" t="e">
        <f>VLOOKUP("total",#REF!,5,FALSE)/VLOOKUP("total",#REF!,5,FALSE)-1</f>
        <v>#REF!</v>
      </c>
      <c r="G212" s="152" t="e">
        <f>VLOOKUP("total",#REF!,5,FALSE)</f>
        <v>#REF!</v>
      </c>
      <c r="H212" s="151" t="e">
        <f>VLOOKUP("total",#REF!,4,FALSE)/VLOOKUP("total",#REF!,4,FALSE)-1</f>
        <v>#REF!</v>
      </c>
      <c r="I212" s="152" t="e">
        <f>VLOOKUP("total",#REF!,4,FALSE)</f>
        <v>#REF!</v>
      </c>
      <c r="J212" s="151" t="e">
        <f>VLOOKUP("total",#REF!,3,FALSE)/VLOOKUP("total",#REF!,3,FALSE)-1</f>
        <v>#REF!</v>
      </c>
      <c r="K212" s="152" t="e">
        <f>VLOOKUP("total",#REF!,3,FALSE)</f>
        <v>#REF!</v>
      </c>
      <c r="L212" s="151" t="e">
        <f>VLOOKUP("total",#REF!,2,FALSE)/VLOOKUP("total",#REF!,2,FALSE)-1</f>
        <v>#REF!</v>
      </c>
      <c r="M212" s="152" t="e">
        <f>VLOOKUP("total",#REF!,2,FALSE)</f>
        <v>#REF!</v>
      </c>
      <c r="N212" s="151" t="e">
        <f>VLOOKUP("total",#REF!,7,FALSE)/VLOOKUP("total",#REF!,7,FALSE)-1</f>
        <v>#REF!</v>
      </c>
      <c r="O212" s="152" t="e">
        <f>VLOOKUP("total",#REF!,7,FALSE)</f>
        <v>#REF!</v>
      </c>
      <c r="P212" s="151" t="e">
        <f>VLOOKUP("total",#REF!,8,FALSE)/VLOOKUP("total",#REF!,8,FALSE)-1</f>
        <v>#REF!</v>
      </c>
      <c r="Q212" s="152" t="e">
        <f>VLOOKUP("total",#REF!,8,FALSE)</f>
        <v>#REF!</v>
      </c>
    </row>
    <row r="213" spans="3:18" hidden="1" x14ac:dyDescent="0.2"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4"/>
    </row>
    <row r="214" spans="3:18" ht="35.25" hidden="1" customHeight="1" x14ac:dyDescent="0.2">
      <c r="C214" s="349" t="s">
        <v>29</v>
      </c>
      <c r="D214" s="350"/>
      <c r="E214" s="350"/>
      <c r="F214" s="350"/>
      <c r="G214" s="350"/>
      <c r="H214" s="350"/>
      <c r="I214" s="350"/>
      <c r="J214" s="350"/>
      <c r="K214" s="350"/>
      <c r="L214" s="350"/>
      <c r="M214" s="350"/>
      <c r="N214" s="350"/>
      <c r="O214" s="350"/>
      <c r="P214" s="350"/>
      <c r="Q214" s="350"/>
      <c r="R214" s="147"/>
    </row>
    <row r="215" spans="3:18" ht="20.100000000000001" hidden="1" customHeight="1" x14ac:dyDescent="0.2">
      <c r="C215" s="351" t="str">
        <f>I2</f>
        <v>I cuatrimestre 2017</v>
      </c>
      <c r="D215" s="352"/>
      <c r="E215" s="352"/>
      <c r="F215" s="352"/>
      <c r="G215" s="352"/>
      <c r="H215" s="352"/>
      <c r="I215" s="352"/>
      <c r="J215" s="352"/>
      <c r="K215" s="352"/>
      <c r="L215" s="352"/>
      <c r="M215" s="352"/>
      <c r="N215" s="352"/>
      <c r="O215" s="352"/>
      <c r="P215" s="352"/>
      <c r="Q215" s="352"/>
      <c r="R215" s="154"/>
    </row>
    <row r="216" spans="3:18" ht="13.5" hidden="1" thickBot="1" x14ac:dyDescent="0.25">
      <c r="C216" s="148"/>
      <c r="D216" s="347" t="s">
        <v>24</v>
      </c>
      <c r="E216" s="348"/>
      <c r="F216" s="347" t="s">
        <v>23</v>
      </c>
      <c r="G216" s="348"/>
      <c r="H216" s="347" t="s">
        <v>22</v>
      </c>
      <c r="I216" s="348"/>
      <c r="J216" s="347" t="s">
        <v>21</v>
      </c>
      <c r="K216" s="348"/>
      <c r="L216" s="347" t="s">
        <v>20</v>
      </c>
      <c r="M216" s="348"/>
      <c r="N216" s="347" t="s">
        <v>63</v>
      </c>
      <c r="O216" s="348"/>
      <c r="P216" s="347" t="s">
        <v>64</v>
      </c>
      <c r="Q216" s="348"/>
    </row>
    <row r="217" spans="3:18" ht="28.5" hidden="1" customHeight="1" x14ac:dyDescent="0.2">
      <c r="C217" s="148"/>
      <c r="D217" s="149" t="s">
        <v>65</v>
      </c>
      <c r="E217" s="149" t="s">
        <v>66</v>
      </c>
      <c r="F217" s="149" t="s">
        <v>65</v>
      </c>
      <c r="G217" s="149" t="s">
        <v>66</v>
      </c>
      <c r="H217" s="149" t="s">
        <v>65</v>
      </c>
      <c r="I217" s="149" t="s">
        <v>66</v>
      </c>
      <c r="J217" s="149" t="s">
        <v>65</v>
      </c>
      <c r="K217" s="149" t="s">
        <v>66</v>
      </c>
      <c r="L217" s="149" t="s">
        <v>65</v>
      </c>
      <c r="M217" s="149" t="s">
        <v>66</v>
      </c>
      <c r="N217" s="149" t="s">
        <v>65</v>
      </c>
      <c r="O217" s="149" t="s">
        <v>66</v>
      </c>
      <c r="P217" s="149" t="s">
        <v>65</v>
      </c>
      <c r="Q217" s="149" t="s">
        <v>66</v>
      </c>
    </row>
    <row r="218" spans="3:18" ht="24" hidden="1" customHeight="1" x14ac:dyDescent="0.2">
      <c r="C218" s="150" t="s">
        <v>36</v>
      </c>
      <c r="D218" s="151" t="e">
        <f>VLOOKUP("españa",#REF!,6,FALSE)/VLOOKUP("españa",#REF!,6,FALSE)-1</f>
        <v>#REF!</v>
      </c>
      <c r="E218" s="152" t="e">
        <f>VLOOKUP("españa",#REF!,6,FALSE)</f>
        <v>#REF!</v>
      </c>
      <c r="F218" s="151" t="e">
        <f>VLOOKUP("españa",#REF!,5,FALSE)/VLOOKUP("españa",#REF!,5,FALSE)-1</f>
        <v>#REF!</v>
      </c>
      <c r="G218" s="152" t="e">
        <f>VLOOKUP("españa",#REF!,5,FALSE)</f>
        <v>#REF!</v>
      </c>
      <c r="H218" s="151" t="e">
        <f>VLOOKUP("españa",#REF!,4,FALSE)/VLOOKUP("españa",#REF!,4,FALSE)-1</f>
        <v>#REF!</v>
      </c>
      <c r="I218" s="152" t="e">
        <f>VLOOKUP("españa",#REF!,4,FALSE)</f>
        <v>#REF!</v>
      </c>
      <c r="J218" s="151" t="e">
        <f>VLOOKUP("españa",#REF!,3,FALSE)/VLOOKUP("españa",#REF!,3,FALSE)-1</f>
        <v>#REF!</v>
      </c>
      <c r="K218" s="152" t="e">
        <f>VLOOKUP("españa",#REF!,3,FALSE)</f>
        <v>#REF!</v>
      </c>
      <c r="L218" s="151" t="e">
        <f>VLOOKUP("españa",#REF!,2,FALSE)/VLOOKUP("españa",#REF!,2,FALSE)-1</f>
        <v>#REF!</v>
      </c>
      <c r="M218" s="152" t="e">
        <f>VLOOKUP("españa",#REF!,2,FALSE)</f>
        <v>#REF!</v>
      </c>
      <c r="N218" s="151" t="e">
        <f>VLOOKUP("españa",#REF!,7,FALSE)/VLOOKUP("españa",#REF!,7,FALSE)-1</f>
        <v>#REF!</v>
      </c>
      <c r="O218" s="152" t="e">
        <f>VLOOKUP("españa",#REF!,7,FALSE)</f>
        <v>#REF!</v>
      </c>
      <c r="P218" s="151" t="e">
        <f>VLOOKUP("españa",#REF!,8,FALSE)/VLOOKUP("españa",#REF!,8,FALSE)-1</f>
        <v>#REF!</v>
      </c>
      <c r="Q218" s="152" t="e">
        <f>VLOOKUP("españa",#REF!,8,FALSE)</f>
        <v>#REF!</v>
      </c>
    </row>
    <row r="219" spans="3:18" ht="24" hidden="1" customHeight="1" x14ac:dyDescent="0.2">
      <c r="C219" s="150" t="s">
        <v>41</v>
      </c>
      <c r="D219" s="151" t="e">
        <f>VLOOKUP("holanda",#REF!,6,FALSE)/VLOOKUP("holanda",#REF!,6,FALSE)-1</f>
        <v>#REF!</v>
      </c>
      <c r="E219" s="152" t="e">
        <f>VLOOKUP("holanda",#REF!,6,FALSE)</f>
        <v>#REF!</v>
      </c>
      <c r="F219" s="151" t="e">
        <f>VLOOKUP("holanda",#REF!,5,FALSE)/VLOOKUP("holanda",#REF!,5,FALSE)-1</f>
        <v>#REF!</v>
      </c>
      <c r="G219" s="152" t="e">
        <f>VLOOKUP("holanda",#REF!,5,FALSE)</f>
        <v>#REF!</v>
      </c>
      <c r="H219" s="151" t="e">
        <f>VLOOKUP("holanda",#REF!,4,FALSE)/VLOOKUP("holanda",#REF!,4,FALSE)-1</f>
        <v>#REF!</v>
      </c>
      <c r="I219" s="152" t="e">
        <f>VLOOKUP("holanda",#REF!,4,FALSE)</f>
        <v>#REF!</v>
      </c>
      <c r="J219" s="151" t="e">
        <f>VLOOKUP("holanda",#REF!,3,FALSE)/VLOOKUP("holanda",#REF!,3,FALSE)-1</f>
        <v>#REF!</v>
      </c>
      <c r="K219" s="152" t="e">
        <f>VLOOKUP("holanda",#REF!,3,FALSE)</f>
        <v>#REF!</v>
      </c>
      <c r="L219" s="151" t="e">
        <f>VLOOKUP("holanda",#REF!,2,FALSE)/VLOOKUP("holanda",#REF!,2,FALSE)-1</f>
        <v>#REF!</v>
      </c>
      <c r="M219" s="152" t="e">
        <f>VLOOKUP("holanda",#REF!,2,FALSE)</f>
        <v>#REF!</v>
      </c>
      <c r="N219" s="151" t="e">
        <f>VLOOKUP("holanda",#REF!,7,FALSE)/VLOOKUP("holanda",#REF!,7,FALSE)-1</f>
        <v>#REF!</v>
      </c>
      <c r="O219" s="152" t="e">
        <f>VLOOKUP("holanda",#REF!,7,FALSE)</f>
        <v>#REF!</v>
      </c>
      <c r="P219" s="151" t="e">
        <f>VLOOKUP("holanda",#REF!,8,FALSE)/VLOOKUP("holanda",#REF!,8,FALSE)-1</f>
        <v>#REF!</v>
      </c>
      <c r="Q219" s="152" t="e">
        <f>VLOOKUP("holanda",#REF!,8,FALSE)</f>
        <v>#REF!</v>
      </c>
    </row>
    <row r="220" spans="3:18" ht="24" hidden="1" customHeight="1" x14ac:dyDescent="0.2">
      <c r="C220" s="150" t="s">
        <v>42</v>
      </c>
      <c r="D220" s="151" t="e">
        <f>VLOOKUP("belgica",#REF!,6,FALSE)/VLOOKUP("belgica",#REF!,6,FALSE)-1</f>
        <v>#REF!</v>
      </c>
      <c r="E220" s="152" t="e">
        <f>VLOOKUP("belgica",#REF!,6,FALSE)</f>
        <v>#REF!</v>
      </c>
      <c r="F220" s="151" t="e">
        <f>VLOOKUP("belgica",#REF!,5,FALSE)/VLOOKUP("belgica",#REF!,5,FALSE)-1</f>
        <v>#REF!</v>
      </c>
      <c r="G220" s="152" t="e">
        <f>VLOOKUP("belgica",#REF!,5,FALSE)</f>
        <v>#REF!</v>
      </c>
      <c r="H220" s="151" t="e">
        <f>VLOOKUP("belgica",#REF!,4,FALSE)/VLOOKUP("belgica",#REF!,4,FALSE)-1</f>
        <v>#REF!</v>
      </c>
      <c r="I220" s="152" t="e">
        <f>VLOOKUP("belgica",#REF!,4,FALSE)</f>
        <v>#REF!</v>
      </c>
      <c r="J220" s="151" t="e">
        <f>VLOOKUP("belgica",#REF!,3,FALSE)/VLOOKUP("belgica",#REF!,3,FALSE)-1</f>
        <v>#REF!</v>
      </c>
      <c r="K220" s="152" t="e">
        <f>VLOOKUP("belgica",#REF!,3,FALSE)</f>
        <v>#REF!</v>
      </c>
      <c r="L220" s="151" t="e">
        <f>VLOOKUP("belgica",#REF!,2,FALSE)/VLOOKUP("belgica",#REF!,2,FALSE)-1</f>
        <v>#REF!</v>
      </c>
      <c r="M220" s="152" t="e">
        <f>VLOOKUP("belgica",#REF!,2,FALSE)</f>
        <v>#REF!</v>
      </c>
      <c r="N220" s="151" t="e">
        <f>VLOOKUP("belgica",#REF!,7,FALSE)/VLOOKUP("belgica",#REF!,7,FALSE)-1</f>
        <v>#REF!</v>
      </c>
      <c r="O220" s="152" t="e">
        <f>VLOOKUP("belgica",#REF!,7,FALSE)</f>
        <v>#REF!</v>
      </c>
      <c r="P220" s="151" t="e">
        <f>VLOOKUP("belgica",#REF!,8,FALSE)/VLOOKUP("belgica",#REF!,8,FALSE)-1</f>
        <v>#REF!</v>
      </c>
      <c r="Q220" s="152" t="e">
        <f>VLOOKUP("belgica",#REF!,8,FALSE)</f>
        <v>#REF!</v>
      </c>
    </row>
    <row r="221" spans="3:18" ht="24" hidden="1" customHeight="1" x14ac:dyDescent="0.2">
      <c r="C221" s="150" t="s">
        <v>43</v>
      </c>
      <c r="D221" s="151" t="e">
        <f>VLOOKUP("alemania",#REF!,6,FALSE)/VLOOKUP("alemania",#REF!,6,FALSE)-1</f>
        <v>#REF!</v>
      </c>
      <c r="E221" s="152" t="e">
        <f>VLOOKUP("alemania",#REF!,6,FALSE)</f>
        <v>#REF!</v>
      </c>
      <c r="F221" s="151" t="e">
        <f>VLOOKUP("alemania",#REF!,5,FALSE)/VLOOKUP("alemania",#REF!,5,FALSE)-1</f>
        <v>#REF!</v>
      </c>
      <c r="G221" s="152" t="e">
        <f>VLOOKUP("alemania",#REF!,5,FALSE)</f>
        <v>#REF!</v>
      </c>
      <c r="H221" s="151" t="e">
        <f>VLOOKUP("alemania",#REF!,4,FALSE)/VLOOKUP("alemania",#REF!,4,FALSE)-1</f>
        <v>#REF!</v>
      </c>
      <c r="I221" s="152" t="e">
        <f>VLOOKUP("alemania",#REF!,4,FALSE)</f>
        <v>#REF!</v>
      </c>
      <c r="J221" s="151" t="e">
        <f>VLOOKUP("alemania",#REF!,3,FALSE)/VLOOKUP("alemania",#REF!,3,FALSE)-1</f>
        <v>#REF!</v>
      </c>
      <c r="K221" s="152" t="e">
        <f>VLOOKUP("alemania",#REF!,3,FALSE)</f>
        <v>#REF!</v>
      </c>
      <c r="L221" s="151" t="e">
        <f>VLOOKUP("alemania",#REF!,2,FALSE)/VLOOKUP("alemania",#REF!,2,FALSE)-1</f>
        <v>#REF!</v>
      </c>
      <c r="M221" s="152" t="e">
        <f>VLOOKUP("alemania",#REF!,2,FALSE)</f>
        <v>#REF!</v>
      </c>
      <c r="N221" s="151" t="e">
        <f>VLOOKUP("alemania",#REF!,7,FALSE)/VLOOKUP("alemania",#REF!,7,FALSE)-1</f>
        <v>#REF!</v>
      </c>
      <c r="O221" s="152" t="e">
        <f>VLOOKUP("alemania",#REF!,7,FALSE)</f>
        <v>#REF!</v>
      </c>
      <c r="P221" s="151" t="e">
        <f>VLOOKUP("alemania",#REF!,8,FALSE)/VLOOKUP("alemania",#REF!,8,FALSE)-1</f>
        <v>#REF!</v>
      </c>
      <c r="Q221" s="152" t="e">
        <f>VLOOKUP("alemania",#REF!,8,FALSE)</f>
        <v>#REF!</v>
      </c>
    </row>
    <row r="222" spans="3:18" ht="24" hidden="1" customHeight="1" x14ac:dyDescent="0.2">
      <c r="C222" s="150" t="s">
        <v>44</v>
      </c>
      <c r="D222" s="151" t="e">
        <f>VLOOKUP("francia",#REF!,6,FALSE)/VLOOKUP("francia",#REF!,6,FALSE)-1</f>
        <v>#REF!</v>
      </c>
      <c r="E222" s="152" t="e">
        <f>VLOOKUP("francia",#REF!,6,FALSE)</f>
        <v>#REF!</v>
      </c>
      <c r="F222" s="151" t="e">
        <f>VLOOKUP("francia",#REF!,5,FALSE)/VLOOKUP("francia",#REF!,5,FALSE)-1</f>
        <v>#REF!</v>
      </c>
      <c r="G222" s="152" t="e">
        <f>VLOOKUP("francia",#REF!,5,FALSE)</f>
        <v>#REF!</v>
      </c>
      <c r="H222" s="151" t="e">
        <f>VLOOKUP("francia",#REF!,4,FALSE)/VLOOKUP("francia",#REF!,4,FALSE)-1</f>
        <v>#REF!</v>
      </c>
      <c r="I222" s="152" t="e">
        <f>VLOOKUP("francia",#REF!,4,FALSE)</f>
        <v>#REF!</v>
      </c>
      <c r="J222" s="151" t="e">
        <f>VLOOKUP("francia",#REF!,3,FALSE)/VLOOKUP("francia",#REF!,3,FALSE)-1</f>
        <v>#REF!</v>
      </c>
      <c r="K222" s="152" t="e">
        <f>VLOOKUP("francia",#REF!,3,FALSE)</f>
        <v>#REF!</v>
      </c>
      <c r="L222" s="151" t="e">
        <f>VLOOKUP("francia",#REF!,2,FALSE)/VLOOKUP("francia",#REF!,2,FALSE)-1</f>
        <v>#REF!</v>
      </c>
      <c r="M222" s="152" t="e">
        <f>VLOOKUP("francia",#REF!,2,FALSE)</f>
        <v>#REF!</v>
      </c>
      <c r="N222" s="151" t="e">
        <f>VLOOKUP("francia",#REF!,7,FALSE)/VLOOKUP("francia",#REF!,7,FALSE)-1</f>
        <v>#REF!</v>
      </c>
      <c r="O222" s="152" t="e">
        <f>VLOOKUP("francia",#REF!,7,FALSE)</f>
        <v>#REF!</v>
      </c>
      <c r="P222" s="151" t="e">
        <f>VLOOKUP("francia",#REF!,8,FALSE)/VLOOKUP("francia",#REF!,8,FALSE)-1</f>
        <v>#REF!</v>
      </c>
      <c r="Q222" s="152" t="e">
        <f>VLOOKUP("francia",#REF!,8,FALSE)</f>
        <v>#REF!</v>
      </c>
    </row>
    <row r="223" spans="3:18" ht="24" hidden="1" customHeight="1" x14ac:dyDescent="0.2">
      <c r="C223" s="150" t="s">
        <v>45</v>
      </c>
      <c r="D223" s="151" t="e">
        <f>VLOOKUP("reino unido",#REF!,6,FALSE)/VLOOKUP("reino unido",#REF!,6,FALSE)-1</f>
        <v>#REF!</v>
      </c>
      <c r="E223" s="152" t="e">
        <f>VLOOKUP("reino unido",#REF!,6,FALSE)</f>
        <v>#REF!</v>
      </c>
      <c r="F223" s="151" t="e">
        <f>VLOOKUP("reino unido",#REF!,5,FALSE)/VLOOKUP("reino unido",#REF!,5,FALSE)-1</f>
        <v>#REF!</v>
      </c>
      <c r="G223" s="152" t="e">
        <f>VLOOKUP("reino unido",#REF!,5,FALSE)</f>
        <v>#REF!</v>
      </c>
      <c r="H223" s="151" t="e">
        <f>VLOOKUP("reino unido",#REF!,4,FALSE)/VLOOKUP("reino unido",#REF!,4,FALSE)-1</f>
        <v>#REF!</v>
      </c>
      <c r="I223" s="152" t="e">
        <f>VLOOKUP("reino unido",#REF!,4,FALSE)</f>
        <v>#REF!</v>
      </c>
      <c r="J223" s="151" t="e">
        <f>VLOOKUP("reino unido",#REF!,3,FALSE)/VLOOKUP("reino unido",#REF!,3,FALSE)-1</f>
        <v>#REF!</v>
      </c>
      <c r="K223" s="152" t="e">
        <f>VLOOKUP("reino unido",#REF!,3,FALSE)</f>
        <v>#REF!</v>
      </c>
      <c r="L223" s="151" t="e">
        <f>VLOOKUP("reino unido",#REF!,2,FALSE)/VLOOKUP("reino unido",#REF!,2,FALSE)-1</f>
        <v>#REF!</v>
      </c>
      <c r="M223" s="152" t="e">
        <f>VLOOKUP("reino unido",#REF!,2,FALSE)</f>
        <v>#REF!</v>
      </c>
      <c r="N223" s="151" t="e">
        <f>VLOOKUP("reino unido",#REF!,7,FALSE)/VLOOKUP("reino unido",#REF!,7,FALSE)-1</f>
        <v>#REF!</v>
      </c>
      <c r="O223" s="152" t="e">
        <f>VLOOKUP("reino unido",#REF!,7,FALSE)</f>
        <v>#REF!</v>
      </c>
      <c r="P223" s="151" t="e">
        <f>VLOOKUP("reino unido",#REF!,8,FALSE)/VLOOKUP("reino unido",#REF!,8,FALSE)-1</f>
        <v>#REF!</v>
      </c>
      <c r="Q223" s="152" t="e">
        <f>VLOOKUP("reino unido",#REF!,8,FALSE)</f>
        <v>#REF!</v>
      </c>
    </row>
    <row r="224" spans="3:18" ht="24" hidden="1" customHeight="1" x14ac:dyDescent="0.2">
      <c r="C224" s="150" t="s">
        <v>46</v>
      </c>
      <c r="D224" s="151" t="e">
        <f>VLOOKUP("irlanda",#REF!,6,FALSE)/VLOOKUP("irlanda",#REF!,6,FALSE)-1</f>
        <v>#REF!</v>
      </c>
      <c r="E224" s="152" t="e">
        <f>VLOOKUP("irlanda",#REF!,6,FALSE)</f>
        <v>#REF!</v>
      </c>
      <c r="F224" s="151" t="e">
        <f>VLOOKUP("irlanda",#REF!,5,FALSE)/VLOOKUP("irlanda",#REF!,5,FALSE)-1</f>
        <v>#REF!</v>
      </c>
      <c r="G224" s="152" t="e">
        <f>VLOOKUP("irlanda",#REF!,5,FALSE)</f>
        <v>#REF!</v>
      </c>
      <c r="H224" s="151" t="e">
        <f>VLOOKUP("irlanda",#REF!,4,FALSE)/VLOOKUP("irlanda",#REF!,4,FALSE)-1</f>
        <v>#REF!</v>
      </c>
      <c r="I224" s="152" t="e">
        <f>VLOOKUP("irlanda",#REF!,4,FALSE)</f>
        <v>#REF!</v>
      </c>
      <c r="J224" s="151" t="e">
        <f>VLOOKUP("irlanda",#REF!,3,FALSE)/VLOOKUP("irlanda",#REF!,3,FALSE)-1</f>
        <v>#REF!</v>
      </c>
      <c r="K224" s="152" t="e">
        <f>VLOOKUP("irlanda",#REF!,3,FALSE)</f>
        <v>#REF!</v>
      </c>
      <c r="L224" s="151" t="e">
        <f>VLOOKUP("irlanda",#REF!,2,FALSE)/VLOOKUP("irlanda",#REF!,2,FALSE)-1</f>
        <v>#REF!</v>
      </c>
      <c r="M224" s="152" t="e">
        <f>VLOOKUP("irlanda",#REF!,2,FALSE)</f>
        <v>#REF!</v>
      </c>
      <c r="N224" s="151" t="e">
        <f>VLOOKUP("irlanda",#REF!,7,FALSE)/VLOOKUP("irlanda",#REF!,7,FALSE)-1</f>
        <v>#REF!</v>
      </c>
      <c r="O224" s="152" t="e">
        <f>VLOOKUP("irlanda",#REF!,7,FALSE)</f>
        <v>#REF!</v>
      </c>
      <c r="P224" s="151" t="e">
        <f>VLOOKUP("irlanda",#REF!,8,FALSE)/VLOOKUP("irlanda",#REF!,8,FALSE)-1</f>
        <v>#REF!</v>
      </c>
      <c r="Q224" s="152" t="e">
        <f>VLOOKUP("irlanda",#REF!,8,FALSE)</f>
        <v>#REF!</v>
      </c>
    </row>
    <row r="225" spans="3:17" ht="24" hidden="1" customHeight="1" x14ac:dyDescent="0.2">
      <c r="C225" s="150" t="s">
        <v>47</v>
      </c>
      <c r="D225" s="151" t="e">
        <f>VLOOKUP("italia",#REF!,6,FALSE)/VLOOKUP("italia",#REF!,6,FALSE)-1</f>
        <v>#REF!</v>
      </c>
      <c r="E225" s="152" t="e">
        <f>VLOOKUP("italia",#REF!,6,FALSE)</f>
        <v>#REF!</v>
      </c>
      <c r="F225" s="151" t="e">
        <f>VLOOKUP("italia",#REF!,5,FALSE)/VLOOKUP("italia",#REF!,5,FALSE)-1</f>
        <v>#REF!</v>
      </c>
      <c r="G225" s="152" t="e">
        <f>VLOOKUP("italia",#REF!,5,FALSE)</f>
        <v>#REF!</v>
      </c>
      <c r="H225" s="151" t="e">
        <f>VLOOKUP("italia",#REF!,4,FALSE)/VLOOKUP("italia",#REF!,4,FALSE)-1</f>
        <v>#REF!</v>
      </c>
      <c r="I225" s="152" t="e">
        <f>VLOOKUP("italia",#REF!,4,FALSE)</f>
        <v>#REF!</v>
      </c>
      <c r="J225" s="151" t="e">
        <f>VLOOKUP("italia",#REF!,3,FALSE)/VLOOKUP("italia",#REF!,3,FALSE)-1</f>
        <v>#REF!</v>
      </c>
      <c r="K225" s="152" t="e">
        <f>VLOOKUP("italia",#REF!,3,FALSE)</f>
        <v>#REF!</v>
      </c>
      <c r="L225" s="151" t="e">
        <f>VLOOKUP("italia",#REF!,2,FALSE)/VLOOKUP("italia",#REF!,2,FALSE)-1</f>
        <v>#REF!</v>
      </c>
      <c r="M225" s="152" t="e">
        <f>VLOOKUP("italia",#REF!,2,FALSE)</f>
        <v>#REF!</v>
      </c>
      <c r="N225" s="151" t="e">
        <f>VLOOKUP("italia",#REF!,7,FALSE)/VLOOKUP("italia",#REF!,7,FALSE)-1</f>
        <v>#REF!</v>
      </c>
      <c r="O225" s="152" t="e">
        <f>VLOOKUP("italia",#REF!,7,FALSE)</f>
        <v>#REF!</v>
      </c>
      <c r="P225" s="151" t="e">
        <f>VLOOKUP("italia",#REF!,8,FALSE)/VLOOKUP("italia",#REF!,8,FALSE)-1</f>
        <v>#REF!</v>
      </c>
      <c r="Q225" s="152" t="e">
        <f>VLOOKUP("italia",#REF!,8,FALSE)</f>
        <v>#REF!</v>
      </c>
    </row>
    <row r="226" spans="3:17" ht="24" hidden="1" customHeight="1" x14ac:dyDescent="0.2">
      <c r="C226" s="150" t="s">
        <v>48</v>
      </c>
      <c r="D226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152" t="e">
        <f>(VLOOKUP("suecia",#REF!,6,FALSE)+VLOOKUP("noruega",#REF!,6,FALSE)+VLOOKUP("dinamarca",#REF!,6,FALSE)+VLOOKUP("finlandia",#REF!,6,FALSE))</f>
        <v>#REF!</v>
      </c>
      <c r="F226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152" t="e">
        <f>(VLOOKUP("suecia",#REF!,5,FALSE)+VLOOKUP("noruega",#REF!,5,FALSE)+VLOOKUP("dinamarca",#REF!,5,FALSE)+VLOOKUP("finlandia",#REF!,5,FALSE))</f>
        <v>#REF!</v>
      </c>
      <c r="H226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152" t="e">
        <f>(VLOOKUP("suecia",#REF!,4,FALSE)+VLOOKUP("noruega",#REF!,4,FALSE)+VLOOKUP("dinamarca",#REF!,4,FALSE)+VLOOKUP("finlandia",#REF!,4,FALSE))</f>
        <v>#REF!</v>
      </c>
      <c r="J226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152" t="e">
        <f>(VLOOKUP("suecia",#REF!,3,FALSE)+VLOOKUP("noruega",#REF!,3,FALSE)+VLOOKUP("dinamarca",#REF!,3,FALSE)+VLOOKUP("finlandia",#REF!,3,FALSE))</f>
        <v>#REF!</v>
      </c>
      <c r="L226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152" t="e">
        <f>(VLOOKUP("suecia",#REF!,2,FALSE)+VLOOKUP("noruega",#REF!,2,FALSE)+VLOOKUP("dinamarca",#REF!,2,FALSE)+VLOOKUP("finlandia",#REF!,2,FALSE))</f>
        <v>#REF!</v>
      </c>
      <c r="N226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152" t="e">
        <f>(VLOOKUP("suecia",#REF!,7,FALSE)+VLOOKUP("noruega",#REF!,7,FALSE)+VLOOKUP("dinamarca",#REF!,7,FALSE)+VLOOKUP("finlandia",#REF!,7,FALSE))</f>
        <v>#REF!</v>
      </c>
      <c r="P226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152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153" t="s">
        <v>49</v>
      </c>
      <c r="D227" s="151" t="e">
        <f>VLOOKUP("suecia",#REF!,6,FALSE)/VLOOKUP("suecia",#REF!,6,FALSE)-1</f>
        <v>#REF!</v>
      </c>
      <c r="E227" s="152" t="e">
        <f>VLOOKUP("suecia",#REF!,6,FALSE)</f>
        <v>#REF!</v>
      </c>
      <c r="F227" s="151" t="e">
        <f>VLOOKUP("suecia",#REF!,5,FALSE)/VLOOKUP("suecia",#REF!,5,FALSE)-1</f>
        <v>#REF!</v>
      </c>
      <c r="G227" s="152" t="e">
        <f>VLOOKUP("suecia",#REF!,5,FALSE)</f>
        <v>#REF!</v>
      </c>
      <c r="H227" s="151" t="e">
        <f>VLOOKUP("suecia",#REF!,4,FALSE)/VLOOKUP("suecia",#REF!,4,FALSE)-1</f>
        <v>#REF!</v>
      </c>
      <c r="I227" s="152" t="e">
        <f>VLOOKUP("suecia",#REF!,4,FALSE)</f>
        <v>#REF!</v>
      </c>
      <c r="J227" s="151" t="e">
        <f>VLOOKUP("suecia",#REF!,3,FALSE)/VLOOKUP("suecia",#REF!,3,FALSE)-1</f>
        <v>#REF!</v>
      </c>
      <c r="K227" s="152" t="e">
        <f>VLOOKUP("suecia",#REF!,3,FALSE)</f>
        <v>#REF!</v>
      </c>
      <c r="L227" s="151" t="e">
        <f>VLOOKUP("suecia",#REF!,2,FALSE)/VLOOKUP("suecia",#REF!,2,FALSE)-1</f>
        <v>#REF!</v>
      </c>
      <c r="M227" s="152" t="e">
        <f>VLOOKUP("suecia",#REF!,2,FALSE)</f>
        <v>#REF!</v>
      </c>
      <c r="N227" s="151" t="e">
        <f>VLOOKUP("suecia",#REF!,7,FALSE)/VLOOKUP("suecia",#REF!,7,FALSE)-1</f>
        <v>#REF!</v>
      </c>
      <c r="O227" s="152" t="e">
        <f>VLOOKUP("suecia",#REF!,7,FALSE)</f>
        <v>#REF!</v>
      </c>
      <c r="P227" s="151" t="e">
        <f>VLOOKUP("suecia",#REF!,8,FALSE)/VLOOKUP("suecia",#REF!,8,FALSE)-1</f>
        <v>#REF!</v>
      </c>
      <c r="Q227" s="152" t="e">
        <f>VLOOKUP("suecia",#REF!,8,FALSE)</f>
        <v>#REF!</v>
      </c>
    </row>
    <row r="228" spans="3:17" ht="24" hidden="1" customHeight="1" x14ac:dyDescent="0.2">
      <c r="C228" s="153" t="s">
        <v>50</v>
      </c>
      <c r="D228" s="151" t="e">
        <f>VLOOKUP("noruega",#REF!,6,FALSE)/VLOOKUP("noruega",#REF!,6,FALSE)-1</f>
        <v>#REF!</v>
      </c>
      <c r="E228" s="152" t="e">
        <f>VLOOKUP("noruega",#REF!,6,FALSE)</f>
        <v>#REF!</v>
      </c>
      <c r="F228" s="151" t="e">
        <f>VLOOKUP("noruega",#REF!,5,FALSE)/VLOOKUP("noruega",#REF!,5,FALSE)-1</f>
        <v>#REF!</v>
      </c>
      <c r="G228" s="152" t="e">
        <f>VLOOKUP("noruega",#REF!,5,FALSE)</f>
        <v>#REF!</v>
      </c>
      <c r="H228" s="151" t="e">
        <f>VLOOKUP("noruega",#REF!,4,FALSE)/VLOOKUP("noruega",#REF!,4,FALSE)-1</f>
        <v>#REF!</v>
      </c>
      <c r="I228" s="152" t="e">
        <f>VLOOKUP("noruega",#REF!,4,FALSE)</f>
        <v>#REF!</v>
      </c>
      <c r="J228" s="151" t="e">
        <f>VLOOKUP("noruega",#REF!,3,FALSE)/VLOOKUP("noruega",#REF!,3,FALSE)-1</f>
        <v>#REF!</v>
      </c>
      <c r="K228" s="152" t="e">
        <f>VLOOKUP("noruega",#REF!,3,FALSE)</f>
        <v>#REF!</v>
      </c>
      <c r="L228" s="151" t="e">
        <f>VLOOKUP("noruega",#REF!,2,FALSE)/VLOOKUP("noruega",#REF!,2,FALSE)-1</f>
        <v>#REF!</v>
      </c>
      <c r="M228" s="152" t="e">
        <f>VLOOKUP("noruega",#REF!,2,FALSE)</f>
        <v>#REF!</v>
      </c>
      <c r="N228" s="151" t="e">
        <f>VLOOKUP("noruega",#REF!,7,FALSE)/VLOOKUP("noruega",#REF!,7,FALSE)-1</f>
        <v>#REF!</v>
      </c>
      <c r="O228" s="152" t="e">
        <f>VLOOKUP("noruega",#REF!,7,FALSE)</f>
        <v>#REF!</v>
      </c>
      <c r="P228" s="151" t="e">
        <f>VLOOKUP("noruega",#REF!,8,FALSE)/VLOOKUP("noruega",#REF!,8,FALSE)-1</f>
        <v>#REF!</v>
      </c>
      <c r="Q228" s="152" t="e">
        <f>VLOOKUP("noruega",#REF!,8,FALSE)</f>
        <v>#REF!</v>
      </c>
    </row>
    <row r="229" spans="3:17" ht="24" hidden="1" customHeight="1" x14ac:dyDescent="0.2">
      <c r="C229" s="153" t="s">
        <v>51</v>
      </c>
      <c r="D229" s="151" t="e">
        <f>VLOOKUP("dinamarca",#REF!,6,FALSE)/VLOOKUP("dinamarca",#REF!,6,FALSE)-1</f>
        <v>#REF!</v>
      </c>
      <c r="E229" s="152" t="e">
        <f>VLOOKUP("dinamarca",#REF!,6,FALSE)</f>
        <v>#REF!</v>
      </c>
      <c r="F229" s="151" t="e">
        <f>VLOOKUP("dinamarca",#REF!,5,FALSE)/VLOOKUP("dinamarca",#REF!,5,FALSE)-1</f>
        <v>#REF!</v>
      </c>
      <c r="G229" s="152" t="e">
        <f>VLOOKUP("dinamarca",#REF!,5,FALSE)</f>
        <v>#REF!</v>
      </c>
      <c r="H229" s="151" t="e">
        <f>VLOOKUP("dinamarca",#REF!,4,FALSE)/VLOOKUP("dinamarca",#REF!,4,FALSE)-1</f>
        <v>#REF!</v>
      </c>
      <c r="I229" s="152" t="e">
        <f>VLOOKUP("dinamarca",#REF!,4,FALSE)</f>
        <v>#REF!</v>
      </c>
      <c r="J229" s="151" t="e">
        <f>VLOOKUP("dinamarca",#REF!,3,FALSE)/VLOOKUP("dinamarca",#REF!,3,FALSE)-1</f>
        <v>#REF!</v>
      </c>
      <c r="K229" s="152" t="e">
        <f>VLOOKUP("dinamarca",#REF!,3,FALSE)</f>
        <v>#REF!</v>
      </c>
      <c r="L229" s="151" t="e">
        <f>VLOOKUP("dinamarca",#REF!,2,FALSE)/VLOOKUP("dinamarca",#REF!,2,FALSE)-1</f>
        <v>#REF!</v>
      </c>
      <c r="M229" s="152" t="e">
        <f>VLOOKUP("dinamarca",#REF!,2,FALSE)</f>
        <v>#REF!</v>
      </c>
      <c r="N229" s="151" t="e">
        <f>VLOOKUP("dinamarca",#REF!,7,FALSE)/VLOOKUP("dinamarca",#REF!,7,FALSE)-1</f>
        <v>#REF!</v>
      </c>
      <c r="O229" s="152" t="e">
        <f>VLOOKUP("dinamarca",#REF!,7,FALSE)</f>
        <v>#REF!</v>
      </c>
      <c r="P229" s="151" t="e">
        <f>VLOOKUP("dinamarca",#REF!,8,FALSE)/VLOOKUP("dinamarca",#REF!,8,FALSE)-1</f>
        <v>#REF!</v>
      </c>
      <c r="Q229" s="152" t="e">
        <f>VLOOKUP("dinamarca",#REF!,8,FALSE)</f>
        <v>#REF!</v>
      </c>
    </row>
    <row r="230" spans="3:17" ht="24" hidden="1" customHeight="1" x14ac:dyDescent="0.2">
      <c r="C230" s="153" t="s">
        <v>52</v>
      </c>
      <c r="D230" s="151" t="s">
        <v>38</v>
      </c>
      <c r="E230" s="152" t="e">
        <f>VLOOKUP("finlandia",#REF!,6,FALSE)</f>
        <v>#REF!</v>
      </c>
      <c r="F230" s="151" t="e">
        <f>VLOOKUP("finlandia",#REF!,5,FALSE)/VLOOKUP("finlandia",#REF!,5,FALSE)-1</f>
        <v>#REF!</v>
      </c>
      <c r="G230" s="152" t="e">
        <f>VLOOKUP("finlandia",#REF!,5,FALSE)</f>
        <v>#REF!</v>
      </c>
      <c r="H230" s="151" t="e">
        <f>VLOOKUP("finlandia",#REF!,4,FALSE)/VLOOKUP("finlandia",#REF!,4,FALSE)-1</f>
        <v>#REF!</v>
      </c>
      <c r="I230" s="152" t="e">
        <f>VLOOKUP("finlandia",#REF!,4,FALSE)</f>
        <v>#REF!</v>
      </c>
      <c r="J230" s="151" t="e">
        <f>VLOOKUP("finlandia",#REF!,3,FALSE)/VLOOKUP("finlandia",#REF!,3,FALSE)-1</f>
        <v>#REF!</v>
      </c>
      <c r="K230" s="152" t="e">
        <f>VLOOKUP("finlandia",#REF!,3,FALSE)</f>
        <v>#REF!</v>
      </c>
      <c r="L230" s="151" t="s">
        <v>38</v>
      </c>
      <c r="M230" s="152" t="e">
        <f>VLOOKUP("finlandia",#REF!,2,FALSE)</f>
        <v>#REF!</v>
      </c>
      <c r="N230" s="151" t="e">
        <f>VLOOKUP("finlandia",#REF!,7,FALSE)/VLOOKUP("finlandia",#REF!,7,FALSE)-1</f>
        <v>#REF!</v>
      </c>
      <c r="O230" s="152" t="e">
        <f>VLOOKUP("finlandia",#REF!,7,FALSE)</f>
        <v>#REF!</v>
      </c>
      <c r="P230" s="151" t="e">
        <f>VLOOKUP("finlandia",#REF!,8,FALSE)/VLOOKUP("finlandia",#REF!,8,FALSE)-1</f>
        <v>#REF!</v>
      </c>
      <c r="Q230" s="152" t="e">
        <f>VLOOKUP("finlandia",#REF!,8,FALSE)</f>
        <v>#REF!</v>
      </c>
    </row>
    <row r="231" spans="3:17" ht="24" hidden="1" customHeight="1" x14ac:dyDescent="0.2">
      <c r="C231" s="150" t="s">
        <v>53</v>
      </c>
      <c r="D231" s="151" t="e">
        <f>VLOOKUP("suiza",#REF!,6,FALSE)/VLOOKUP("suiza",#REF!,6,FALSE)-1</f>
        <v>#REF!</v>
      </c>
      <c r="E231" s="152" t="e">
        <f>VLOOKUP("suiza",#REF!,6,FALSE)</f>
        <v>#REF!</v>
      </c>
      <c r="F231" s="151" t="e">
        <f>VLOOKUP("suiza",#REF!,5,FALSE)/VLOOKUP("suiza",#REF!,5,FALSE)-1</f>
        <v>#REF!</v>
      </c>
      <c r="G231" s="152" t="e">
        <f>VLOOKUP("suiza",#REF!,5,FALSE)</f>
        <v>#REF!</v>
      </c>
      <c r="H231" s="151" t="e">
        <f>VLOOKUP("suiza",#REF!,4,FALSE)/VLOOKUP("suiza",#REF!,4,FALSE)-1</f>
        <v>#REF!</v>
      </c>
      <c r="I231" s="152" t="e">
        <f>VLOOKUP("suiza",#REF!,4,FALSE)</f>
        <v>#REF!</v>
      </c>
      <c r="J231" s="151" t="e">
        <f>VLOOKUP("suiza",#REF!,3,FALSE)/VLOOKUP("suiza",#REF!,3,FALSE)-1</f>
        <v>#REF!</v>
      </c>
      <c r="K231" s="152" t="e">
        <f>VLOOKUP("suiza",#REF!,3,FALSE)</f>
        <v>#REF!</v>
      </c>
      <c r="L231" s="151" t="e">
        <f>VLOOKUP("suiza",#REF!,2,FALSE)/VLOOKUP("suiza",#REF!,2,FALSE)-1</f>
        <v>#REF!</v>
      </c>
      <c r="M231" s="152" t="e">
        <f>VLOOKUP("suiza",#REF!,2,FALSE)</f>
        <v>#REF!</v>
      </c>
      <c r="N231" s="151" t="e">
        <f>VLOOKUP("suiza",#REF!,7,FALSE)/VLOOKUP("suiza",#REF!,7,FALSE)-1</f>
        <v>#REF!</v>
      </c>
      <c r="O231" s="152" t="e">
        <f>VLOOKUP("suiza",#REF!,7,FALSE)</f>
        <v>#REF!</v>
      </c>
      <c r="P231" s="151" t="e">
        <f>VLOOKUP("suiza",#REF!,8,FALSE)/VLOOKUP("suiza",#REF!,8,FALSE)-1</f>
        <v>#REF!</v>
      </c>
      <c r="Q231" s="152" t="e">
        <f>VLOOKUP("suiza",#REF!,8,FALSE)</f>
        <v>#REF!</v>
      </c>
    </row>
    <row r="232" spans="3:17" ht="24" hidden="1" customHeight="1" x14ac:dyDescent="0.2">
      <c r="C232" s="150" t="s">
        <v>54</v>
      </c>
      <c r="D232" s="151" t="e">
        <f>VLOOKUP("austria",#REF!,6,FALSE)/VLOOKUP("austria",#REF!,6,FALSE)-1</f>
        <v>#REF!</v>
      </c>
      <c r="E232" s="152" t="e">
        <f>VLOOKUP("austria",#REF!,6,FALSE)</f>
        <v>#REF!</v>
      </c>
      <c r="F232" s="151" t="e">
        <f>VLOOKUP("austria",#REF!,5,FALSE)/VLOOKUP("austria",#REF!,5,FALSE)-1</f>
        <v>#REF!</v>
      </c>
      <c r="G232" s="152" t="e">
        <f>VLOOKUP("austria",#REF!,5,FALSE)</f>
        <v>#REF!</v>
      </c>
      <c r="H232" s="151" t="e">
        <f>VLOOKUP("austria",#REF!,4,FALSE)/VLOOKUP("austria",#REF!,4,FALSE)-1</f>
        <v>#REF!</v>
      </c>
      <c r="I232" s="152" t="e">
        <f>VLOOKUP("austria",#REF!,4,FALSE)</f>
        <v>#REF!</v>
      </c>
      <c r="J232" s="151" t="e">
        <f>VLOOKUP("austria",#REF!,3,FALSE)/VLOOKUP("austria",#REF!,3,FALSE)-1</f>
        <v>#REF!</v>
      </c>
      <c r="K232" s="152" t="e">
        <f>VLOOKUP("austria",#REF!,3,FALSE)</f>
        <v>#REF!</v>
      </c>
      <c r="L232" s="151" t="e">
        <f>VLOOKUP("austria",#REF!,2,FALSE)/VLOOKUP("austria",#REF!,2,FALSE)-1</f>
        <v>#REF!</v>
      </c>
      <c r="M232" s="152" t="e">
        <f>VLOOKUP("austria",#REF!,2,FALSE)</f>
        <v>#REF!</v>
      </c>
      <c r="N232" s="151" t="e">
        <f>VLOOKUP("austria",#REF!,7,FALSE)/VLOOKUP("austria",#REF!,7,FALSE)-1</f>
        <v>#REF!</v>
      </c>
      <c r="O232" s="152" t="e">
        <f>VLOOKUP("austria",#REF!,7,FALSE)</f>
        <v>#REF!</v>
      </c>
      <c r="P232" s="151" t="e">
        <f>VLOOKUP("austria",#REF!,8,FALSE)/VLOOKUP("austria",#REF!,8,FALSE)-1</f>
        <v>#REF!</v>
      </c>
      <c r="Q232" s="152" t="e">
        <f>VLOOKUP("austria",#REF!,8,FALSE)</f>
        <v>#REF!</v>
      </c>
    </row>
    <row r="233" spans="3:17" ht="24" hidden="1" customHeight="1" x14ac:dyDescent="0.2">
      <c r="C233" s="150" t="s">
        <v>55</v>
      </c>
      <c r="D233" s="151" t="e">
        <f>VLOOKUP("rusia",#REF!,6,FALSE)/VLOOKUP("rusia",#REF!,6,FALSE)-1</f>
        <v>#REF!</v>
      </c>
      <c r="E233" s="152" t="e">
        <f>VLOOKUP("rusia",#REF!,6,FALSE)</f>
        <v>#REF!</v>
      </c>
      <c r="F233" s="151" t="e">
        <f>VLOOKUP("rusia",#REF!,5,FALSE)/VLOOKUP("rusia",#REF!,5,FALSE)-1</f>
        <v>#REF!</v>
      </c>
      <c r="G233" s="152" t="e">
        <f>VLOOKUP("rusia",#REF!,5,FALSE)</f>
        <v>#REF!</v>
      </c>
      <c r="H233" s="151" t="e">
        <f>VLOOKUP("rusia",#REF!,4,FALSE)/VLOOKUP("rusia",#REF!,4,FALSE)-1</f>
        <v>#REF!</v>
      </c>
      <c r="I233" s="152" t="e">
        <f>VLOOKUP("rusia",#REF!,4,FALSE)</f>
        <v>#REF!</v>
      </c>
      <c r="J233" s="151" t="e">
        <f>VLOOKUP("rusia",#REF!,3,FALSE)/VLOOKUP("rusia",#REF!,3,FALSE)-1</f>
        <v>#REF!</v>
      </c>
      <c r="K233" s="152" t="e">
        <f>VLOOKUP("rusia",#REF!,3,FALSE)</f>
        <v>#REF!</v>
      </c>
      <c r="L233" s="151" t="e">
        <f>VLOOKUP("rusia",#REF!,2,FALSE)/VLOOKUP("rusia",#REF!,2,FALSE)-1</f>
        <v>#REF!</v>
      </c>
      <c r="M233" s="152" t="e">
        <f>VLOOKUP("rusia",#REF!,2,FALSE)</f>
        <v>#REF!</v>
      </c>
      <c r="N233" s="151" t="e">
        <f>VLOOKUP("rusia",#REF!,7,FALSE)/VLOOKUP("rusia",#REF!,7,FALSE)-1</f>
        <v>#REF!</v>
      </c>
      <c r="O233" s="152" t="e">
        <f>VLOOKUP("rusia",#REF!,7,FALSE)</f>
        <v>#REF!</v>
      </c>
      <c r="P233" s="151" t="e">
        <f>VLOOKUP("rusia",#REF!,8,FALSE)/VLOOKUP("rusia",#REF!,8,FALSE)-1</f>
        <v>#REF!</v>
      </c>
      <c r="Q233" s="152" t="e">
        <f>VLOOKUP("rusia",#REF!,8,FALSE)</f>
        <v>#REF!</v>
      </c>
    </row>
    <row r="234" spans="3:17" ht="24" hidden="1" customHeight="1" x14ac:dyDescent="0.2">
      <c r="C234" s="150" t="s">
        <v>56</v>
      </c>
      <c r="D234" s="151" t="e">
        <f>VLOOKUP("paises del este",#REF!,6,FALSE)/VLOOKUP("paises del este",#REF!,6,FALSE)-1</f>
        <v>#REF!</v>
      </c>
      <c r="E234" s="152" t="e">
        <f>VLOOKUP("paises del este",#REF!,6,FALSE)</f>
        <v>#REF!</v>
      </c>
      <c r="F234" s="151" t="e">
        <f>VLOOKUP("paises del este",#REF!,5,FALSE)/VLOOKUP("paises del este",#REF!,5,FALSE)-1</f>
        <v>#REF!</v>
      </c>
      <c r="G234" s="152" t="e">
        <f>VLOOKUP("paises del este",#REF!,5,FALSE)</f>
        <v>#REF!</v>
      </c>
      <c r="H234" s="151" t="e">
        <f>VLOOKUP("paises del este",#REF!,4,FALSE)/VLOOKUP("paises del este",#REF!,4,FALSE)-1</f>
        <v>#REF!</v>
      </c>
      <c r="I234" s="152" t="e">
        <f>VLOOKUP("paises del este",#REF!,4,FALSE)</f>
        <v>#REF!</v>
      </c>
      <c r="J234" s="151" t="e">
        <f>VLOOKUP("paises del este",#REF!,3,FALSE)/VLOOKUP("paises del este",#REF!,3,FALSE)-1</f>
        <v>#REF!</v>
      </c>
      <c r="K234" s="152" t="e">
        <f>VLOOKUP("paises del este",#REF!,3,FALSE)</f>
        <v>#REF!</v>
      </c>
      <c r="L234" s="151" t="e">
        <f>VLOOKUP("paises del este",#REF!,2,FALSE)/VLOOKUP("paises del este",#REF!,2,FALSE)-1</f>
        <v>#REF!</v>
      </c>
      <c r="M234" s="152" t="e">
        <f>VLOOKUP("paises del este",#REF!,2,FALSE)</f>
        <v>#REF!</v>
      </c>
      <c r="N234" s="151" t="e">
        <f>VLOOKUP("paises del este",#REF!,7,FALSE)/VLOOKUP("paises del este",#REF!,7,FALSE)-1</f>
        <v>#REF!</v>
      </c>
      <c r="O234" s="152" t="e">
        <f>VLOOKUP("paises del este",#REF!,7,FALSE)</f>
        <v>#REF!</v>
      </c>
      <c r="P234" s="151" t="e">
        <f>VLOOKUP("paises del este",#REF!,8,FALSE)/VLOOKUP("paises del este",#REF!,8,FALSE)-1</f>
        <v>#REF!</v>
      </c>
      <c r="Q234" s="152" t="e">
        <f>VLOOKUP("paises del este",#REF!,8,FALSE)</f>
        <v>#REF!</v>
      </c>
    </row>
    <row r="235" spans="3:17" ht="24" hidden="1" customHeight="1" x14ac:dyDescent="0.2">
      <c r="C235" s="150" t="s">
        <v>57</v>
      </c>
      <c r="D235" s="151" t="e">
        <f>VLOOKUP("resto de europa",#REF!,6,FALSE)/VLOOKUP("resto de europa",#REF!,6,FALSE)-1</f>
        <v>#REF!</v>
      </c>
      <c r="E235" s="152" t="e">
        <f>VLOOKUP("resto de europa",#REF!,6,FALSE)</f>
        <v>#REF!</v>
      </c>
      <c r="F235" s="151" t="e">
        <f>VLOOKUP("resto de europa",#REF!,5,FALSE)/VLOOKUP("resto de europa",#REF!,5,FALSE)-1</f>
        <v>#REF!</v>
      </c>
      <c r="G235" s="152" t="e">
        <f>VLOOKUP("resto de europa",#REF!,5,FALSE)</f>
        <v>#REF!</v>
      </c>
      <c r="H235" s="151" t="e">
        <f>VLOOKUP("resto de europa",#REF!,4,FALSE)/VLOOKUP("resto de europa",#REF!,4,FALSE)-1</f>
        <v>#REF!</v>
      </c>
      <c r="I235" s="152" t="e">
        <f>VLOOKUP("resto de europa",#REF!,4,FALSE)</f>
        <v>#REF!</v>
      </c>
      <c r="J235" s="151" t="e">
        <f>VLOOKUP("resto de europa",#REF!,3,FALSE)/VLOOKUP("resto de europa",#REF!,3,FALSE)-1</f>
        <v>#REF!</v>
      </c>
      <c r="K235" s="152" t="e">
        <f>VLOOKUP("resto de europa",#REF!,3,FALSE)</f>
        <v>#REF!</v>
      </c>
      <c r="L235" s="151" t="e">
        <f>VLOOKUP("resto de europa",#REF!,2,FALSE)/VLOOKUP("resto de europa",#REF!,2,FALSE)-1</f>
        <v>#REF!</v>
      </c>
      <c r="M235" s="152" t="e">
        <f>VLOOKUP("resto de europa",#REF!,2,FALSE)</f>
        <v>#REF!</v>
      </c>
      <c r="N235" s="151" t="e">
        <f>VLOOKUP("resto de europa",#REF!,7,FALSE)/VLOOKUP("resto de europa",#REF!,7,FALSE)-1</f>
        <v>#REF!</v>
      </c>
      <c r="O235" s="152" t="e">
        <f>VLOOKUP("resto de europa",#REF!,7,FALSE)</f>
        <v>#REF!</v>
      </c>
      <c r="P235" s="151" t="e">
        <f>VLOOKUP("resto de europa",#REF!,8,FALSE)/VLOOKUP("resto de europa",#REF!,8,FALSE)-1</f>
        <v>#REF!</v>
      </c>
      <c r="Q235" s="152" t="e">
        <f>VLOOKUP("resto de europa",#REF!,8,FALSE)</f>
        <v>#REF!</v>
      </c>
    </row>
    <row r="236" spans="3:17" ht="24" hidden="1" customHeight="1" x14ac:dyDescent="0.2">
      <c r="C236" s="150" t="s">
        <v>58</v>
      </c>
      <c r="D236" s="151" t="e">
        <f>VLOOKUP("usa",#REF!,6,FALSE)/VLOOKUP("usa",#REF!,6,FALSE)-1</f>
        <v>#REF!</v>
      </c>
      <c r="E236" s="152" t="e">
        <f>VLOOKUP("usa",#REF!,6,FALSE)</f>
        <v>#REF!</v>
      </c>
      <c r="F236" s="151" t="e">
        <f>VLOOKUP("usa",#REF!,5,FALSE)/VLOOKUP("usa",#REF!,5,FALSE)-1</f>
        <v>#REF!</v>
      </c>
      <c r="G236" s="152" t="e">
        <f>VLOOKUP("usa",#REF!,5,FALSE)</f>
        <v>#REF!</v>
      </c>
      <c r="H236" s="151" t="e">
        <f>VLOOKUP("usa",#REF!,4,FALSE)/VLOOKUP("usa",#REF!,4,FALSE)-1</f>
        <v>#REF!</v>
      </c>
      <c r="I236" s="152" t="e">
        <f>VLOOKUP("usa",#REF!,4,FALSE)</f>
        <v>#REF!</v>
      </c>
      <c r="J236" s="151" t="e">
        <f>VLOOKUP("usa",#REF!,3,FALSE)/VLOOKUP("usa",#REF!,3,FALSE)-1</f>
        <v>#REF!</v>
      </c>
      <c r="K236" s="152" t="e">
        <f>VLOOKUP("usa",#REF!,3,FALSE)</f>
        <v>#REF!</v>
      </c>
      <c r="L236" s="151" t="e">
        <f>VLOOKUP("usa",#REF!,2,FALSE)/VLOOKUP("usa",#REF!,2,FALSE)-1</f>
        <v>#REF!</v>
      </c>
      <c r="M236" s="152" t="e">
        <f>VLOOKUP("usa",#REF!,2,FALSE)</f>
        <v>#REF!</v>
      </c>
      <c r="N236" s="151" t="e">
        <f>VLOOKUP("usa",#REF!,7,FALSE)/VLOOKUP("usa",#REF!,7,FALSE)-1</f>
        <v>#REF!</v>
      </c>
      <c r="O236" s="152" t="e">
        <f>VLOOKUP("usa",#REF!,7,FALSE)</f>
        <v>#REF!</v>
      </c>
      <c r="P236" s="151" t="e">
        <f>VLOOKUP("usa",#REF!,8,FALSE)/VLOOKUP("usa",#REF!,8,FALSE)-1</f>
        <v>#REF!</v>
      </c>
      <c r="Q236" s="152" t="e">
        <f>VLOOKUP("usa",#REF!,8,FALSE)</f>
        <v>#REF!</v>
      </c>
    </row>
    <row r="237" spans="3:17" ht="24" hidden="1" customHeight="1" x14ac:dyDescent="0.2">
      <c r="C237" s="150" t="s">
        <v>59</v>
      </c>
      <c r="D237" s="151" t="e">
        <f>VLOOKUP("resto de america",#REF!,6,FALSE)/VLOOKUP("resto de america",#REF!,6,FALSE)-1</f>
        <v>#REF!</v>
      </c>
      <c r="E237" s="152" t="e">
        <f>VLOOKUP("resto de america",#REF!,6,FALSE)</f>
        <v>#REF!</v>
      </c>
      <c r="F237" s="151" t="e">
        <f>VLOOKUP("resto de america",#REF!,5,FALSE)/VLOOKUP("resto de america",#REF!,5,FALSE)-1</f>
        <v>#REF!</v>
      </c>
      <c r="G237" s="152" t="e">
        <f>VLOOKUP("resto de america",#REF!,5,FALSE)</f>
        <v>#REF!</v>
      </c>
      <c r="H237" s="151" t="e">
        <f>VLOOKUP("resto de america",#REF!,4,FALSE)/VLOOKUP("resto de america",#REF!,4,FALSE)-1</f>
        <v>#REF!</v>
      </c>
      <c r="I237" s="152" t="e">
        <f>VLOOKUP("resto de america",#REF!,4,FALSE)</f>
        <v>#REF!</v>
      </c>
      <c r="J237" s="151" t="e">
        <f>VLOOKUP("resto de america",#REF!,3,FALSE)/VLOOKUP("resto de america",#REF!,3,FALSE)-1</f>
        <v>#REF!</v>
      </c>
      <c r="K237" s="152" t="e">
        <f>VLOOKUP("resto de america",#REF!,3,FALSE)</f>
        <v>#REF!</v>
      </c>
      <c r="L237" s="151" t="e">
        <f>VLOOKUP("resto de america",#REF!,2,FALSE)/VLOOKUP("resto de america",#REF!,2,FALSE)-1</f>
        <v>#REF!</v>
      </c>
      <c r="M237" s="152" t="e">
        <f>VLOOKUP("resto de america",#REF!,2,FALSE)</f>
        <v>#REF!</v>
      </c>
      <c r="N237" s="151" t="e">
        <f>VLOOKUP("resto de america",#REF!,7,FALSE)/VLOOKUP("resto de america",#REF!,7,FALSE)-1</f>
        <v>#REF!</v>
      </c>
      <c r="O237" s="152" t="e">
        <f>VLOOKUP("resto de america",#REF!,7,FALSE)</f>
        <v>#REF!</v>
      </c>
      <c r="P237" s="151" t="e">
        <f>VLOOKUP("resto de america",#REF!,8,FALSE)/VLOOKUP("resto de america",#REF!,8,FALSE)-1</f>
        <v>#REF!</v>
      </c>
      <c r="Q237" s="152" t="e">
        <f>VLOOKUP("resto de america",#REF!,8,FALSE)</f>
        <v>#REF!</v>
      </c>
    </row>
    <row r="238" spans="3:17" ht="24" hidden="1" customHeight="1" x14ac:dyDescent="0.2">
      <c r="C238" s="150" t="s">
        <v>60</v>
      </c>
      <c r="D238" s="151" t="e">
        <f>VLOOKUP("resto del mundo",#REF!,6,FALSE)/VLOOKUP("resto del mundo",#REF!,6,FALSE)-1</f>
        <v>#REF!</v>
      </c>
      <c r="E238" s="152" t="e">
        <f>VLOOKUP("resto del mundo",#REF!,6,FALSE)</f>
        <v>#REF!</v>
      </c>
      <c r="F238" s="151" t="e">
        <f>VLOOKUP("resto del mundo",#REF!,5,FALSE)/VLOOKUP("resto del mundo",#REF!,5,FALSE)-1</f>
        <v>#REF!</v>
      </c>
      <c r="G238" s="152" t="e">
        <f>VLOOKUP("resto del mundo",#REF!,5,FALSE)</f>
        <v>#REF!</v>
      </c>
      <c r="H238" s="151" t="e">
        <f>VLOOKUP("resto del mundo",#REF!,4,FALSE)/VLOOKUP("resto del mundo",#REF!,4,FALSE)-1</f>
        <v>#REF!</v>
      </c>
      <c r="I238" s="152" t="e">
        <f>VLOOKUP("resto del mundo",#REF!,4,FALSE)</f>
        <v>#REF!</v>
      </c>
      <c r="J238" s="151" t="e">
        <f>VLOOKUP("resto del mundo",#REF!,3,FALSE)/VLOOKUP("resto del mundo",#REF!,3,FALSE)-1</f>
        <v>#REF!</v>
      </c>
      <c r="K238" s="152" t="e">
        <f>VLOOKUP("resto del mundo",#REF!,3,FALSE)</f>
        <v>#REF!</v>
      </c>
      <c r="L238" s="151" t="e">
        <f>VLOOKUP("resto del mundo",#REF!,2,FALSE)/VLOOKUP("resto del mundo",#REF!,2,FALSE)-1</f>
        <v>#REF!</v>
      </c>
      <c r="M238" s="152" t="e">
        <f>VLOOKUP("resto del mundo",#REF!,2,FALSE)</f>
        <v>#REF!</v>
      </c>
      <c r="N238" s="151" t="e">
        <f>VLOOKUP("resto del mundo",#REF!,7,FALSE)/VLOOKUP("resto del mundo",#REF!,7,FALSE)-1</f>
        <v>#REF!</v>
      </c>
      <c r="O238" s="152" t="e">
        <f>VLOOKUP("resto del mundo",#REF!,7,FALSE)</f>
        <v>#REF!</v>
      </c>
      <c r="P238" s="151" t="e">
        <f>VLOOKUP("resto del mundo",#REF!,8,FALSE)/VLOOKUP("resto del mundo",#REF!,8,FALSE)-1</f>
        <v>#REF!</v>
      </c>
      <c r="Q238" s="152" t="e">
        <f>VLOOKUP("resto del mundo",#REF!,8,FALSE)</f>
        <v>#REF!</v>
      </c>
    </row>
    <row r="239" spans="3:17" ht="24" hidden="1" customHeight="1" x14ac:dyDescent="0.2">
      <c r="C239" s="150" t="s">
        <v>61</v>
      </c>
      <c r="D239" s="151" t="e">
        <f>(VLOOKUP("total",#REF!,6,FALSE)-VLOOKUP("españa",#REF!,6,FALSE))/(VLOOKUP("total",#REF!,6,FALSE)-VLOOKUP("españa",#REF!,6,FALSE))-1</f>
        <v>#REF!</v>
      </c>
      <c r="E239" s="152" t="e">
        <f>VLOOKUP("total",#REF!,6,FALSE)-VLOOKUP("españa",#REF!,6,FALSE)</f>
        <v>#REF!</v>
      </c>
      <c r="F239" s="151" t="e">
        <f>(VLOOKUP("total",#REF!,5,FALSE)-VLOOKUP("españa",#REF!,5,FALSE))/(VLOOKUP("total",#REF!,5,FALSE)-VLOOKUP("españa",#REF!,5,FALSE))-1</f>
        <v>#REF!</v>
      </c>
      <c r="G239" s="152" t="e">
        <f>VLOOKUP("total",#REF!,5,FALSE)-VLOOKUP("españa",#REF!,5,FALSE)</f>
        <v>#REF!</v>
      </c>
      <c r="H239" s="151" t="e">
        <f>(VLOOKUP("total",#REF!,4,FALSE)-VLOOKUP("españa",#REF!,4,FALSE))/(VLOOKUP("total",#REF!,4,FALSE)-VLOOKUP("españa",#REF!,4,FALSE))-1</f>
        <v>#REF!</v>
      </c>
      <c r="I239" s="152" t="e">
        <f>VLOOKUP("total",#REF!,4,FALSE)-VLOOKUP("españa",#REF!,4,FALSE)</f>
        <v>#REF!</v>
      </c>
      <c r="J239" s="151" t="e">
        <f>(VLOOKUP("total",#REF!,3,FALSE)-VLOOKUP("españa",#REF!,3,FALSE))/(VLOOKUP("total",#REF!,3,FALSE)-VLOOKUP("españa",#REF!,3,FALSE))-1</f>
        <v>#REF!</v>
      </c>
      <c r="K239" s="152" t="e">
        <f>VLOOKUP("total",#REF!,3,FALSE)-VLOOKUP("españa",#REF!,3,FALSE)</f>
        <v>#REF!</v>
      </c>
      <c r="L239" s="151" t="e">
        <f>(VLOOKUP("total",#REF!,2,FALSE)-VLOOKUP("españa",#REF!,2,FALSE))/(VLOOKUP("total",#REF!,2,FALSE)-VLOOKUP("españa",#REF!,2,FALSE))-1</f>
        <v>#REF!</v>
      </c>
      <c r="M239" s="152" t="e">
        <f>VLOOKUP("total",#REF!,2,FALSE)-VLOOKUP("españa",#REF!,2,FALSE)</f>
        <v>#REF!</v>
      </c>
      <c r="N239" s="151" t="e">
        <f>(VLOOKUP("total",#REF!,7,FALSE)-VLOOKUP("españa",#REF!,7,FALSE))/(VLOOKUP("total",#REF!,7,FALSE)-VLOOKUP("españa",#REF!,7,FALSE))-1</f>
        <v>#REF!</v>
      </c>
      <c r="O239" s="152" t="e">
        <f>VLOOKUP("total",#REF!,7,FALSE)-VLOOKUP("españa",#REF!,7,FALSE)</f>
        <v>#REF!</v>
      </c>
      <c r="P239" s="151" t="e">
        <f>(VLOOKUP("total",#REF!,8,FALSE)-VLOOKUP("españa",#REF!,8,FALSE))/(VLOOKUP("total",#REF!,8,FALSE)-VLOOKUP("españa",#REF!,8,FALSE))-1</f>
        <v>#REF!</v>
      </c>
      <c r="Q239" s="152" t="e">
        <f>VLOOKUP("total",#REF!,8,FALSE)-VLOOKUP("españa",#REF!,8,FALSE)</f>
        <v>#REF!</v>
      </c>
    </row>
    <row r="240" spans="3:17" ht="24" hidden="1" customHeight="1" x14ac:dyDescent="0.2">
      <c r="C240" s="150" t="s">
        <v>8</v>
      </c>
      <c r="D240" s="151" t="e">
        <f>VLOOKUP("total",#REF!,6,FALSE)/VLOOKUP("total",#REF!,6,FALSE)-1</f>
        <v>#REF!</v>
      </c>
      <c r="E240" s="152" t="e">
        <f>VLOOKUP("total",#REF!,6,FALSE)</f>
        <v>#REF!</v>
      </c>
      <c r="F240" s="151" t="e">
        <f>VLOOKUP("total",#REF!,5,FALSE)/VLOOKUP("total",#REF!,5,FALSE)-1</f>
        <v>#REF!</v>
      </c>
      <c r="G240" s="152" t="e">
        <f>VLOOKUP("total",#REF!,5,FALSE)</f>
        <v>#REF!</v>
      </c>
      <c r="H240" s="151" t="e">
        <f>VLOOKUP("total",#REF!,4,FALSE)/VLOOKUP("total",#REF!,4,FALSE)-1</f>
        <v>#REF!</v>
      </c>
      <c r="I240" s="152" t="e">
        <f>VLOOKUP("total",#REF!,4,FALSE)</f>
        <v>#REF!</v>
      </c>
      <c r="J240" s="151" t="e">
        <f>VLOOKUP("total",#REF!,3,FALSE)/VLOOKUP("total",#REF!,3,FALSE)-1</f>
        <v>#REF!</v>
      </c>
      <c r="K240" s="152" t="e">
        <f>VLOOKUP("total",#REF!,3,FALSE)</f>
        <v>#REF!</v>
      </c>
      <c r="L240" s="151" t="e">
        <f>VLOOKUP("total",#REF!,2,FALSE)/VLOOKUP("total",#REF!,2,FALSE)-1</f>
        <v>#REF!</v>
      </c>
      <c r="M240" s="152" t="e">
        <f>VLOOKUP("total",#REF!,2,FALSE)</f>
        <v>#REF!</v>
      </c>
      <c r="N240" s="151" t="e">
        <f>VLOOKUP("total",#REF!,7,FALSE)/VLOOKUP("total",#REF!,7,FALSE)-1</f>
        <v>#REF!</v>
      </c>
      <c r="O240" s="152" t="e">
        <f>VLOOKUP("total",#REF!,7,FALSE)</f>
        <v>#REF!</v>
      </c>
      <c r="P240" s="151" t="e">
        <f>VLOOKUP("total",#REF!,8,FALSE)/VLOOKUP("total",#REF!,8,FALSE)-1</f>
        <v>#REF!</v>
      </c>
      <c r="Q240" s="152" t="e">
        <f>VLOOKUP("total",#REF!,8,FALSE)</f>
        <v>#REF!</v>
      </c>
    </row>
    <row r="241" spans="3:13" ht="18" customHeight="1" thickBot="1" x14ac:dyDescent="0.25">
      <c r="C241" s="3"/>
    </row>
    <row r="242" spans="3:13" ht="50.25" customHeight="1" thickBot="1" x14ac:dyDescent="0.25">
      <c r="C242" s="2"/>
      <c r="D242" s="2"/>
      <c r="E242" s="286" t="str">
        <f>$E$1</f>
        <v>INDICADORES TURÍSTICOS DE TENERIFE definitivo</v>
      </c>
      <c r="F242" s="286"/>
      <c r="G242" s="286"/>
      <c r="H242" s="286"/>
      <c r="I242" s="286"/>
      <c r="J242" s="286"/>
      <c r="K242" s="286"/>
      <c r="L242" s="2"/>
      <c r="M242" s="2"/>
    </row>
    <row r="243" spans="3:13" ht="5.25" customHeight="1" thickBot="1" x14ac:dyDescent="0.25">
      <c r="C243" s="3"/>
    </row>
    <row r="244" spans="3:13" ht="28.5" customHeight="1" thickBot="1" x14ac:dyDescent="0.25">
      <c r="C244" s="287" t="s">
        <v>67</v>
      </c>
      <c r="D244" s="288"/>
      <c r="E244" s="288"/>
      <c r="F244" s="288"/>
      <c r="G244" s="288"/>
      <c r="H244" s="288"/>
      <c r="I244" s="288"/>
      <c r="J244" s="288"/>
      <c r="K244" s="288"/>
      <c r="L244" s="288"/>
      <c r="M244" s="289"/>
    </row>
    <row r="245" spans="3:13" ht="5.25" customHeight="1" thickBot="1" x14ac:dyDescent="0.25">
      <c r="C245" s="155"/>
      <c r="D245" s="156"/>
      <c r="E245" s="156"/>
      <c r="F245" s="156"/>
      <c r="G245" s="157"/>
      <c r="H245" s="157"/>
      <c r="I245" s="157"/>
      <c r="J245" s="156"/>
      <c r="K245" s="156"/>
      <c r="L245" s="156"/>
      <c r="M245" s="158"/>
    </row>
    <row r="246" spans="3:13" ht="32.25" customHeight="1" thickTop="1" thickBot="1" x14ac:dyDescent="0.25">
      <c r="C246" s="121"/>
      <c r="D246" s="344" t="s">
        <v>7</v>
      </c>
      <c r="E246" s="345"/>
      <c r="F246" s="344" t="s">
        <v>30</v>
      </c>
      <c r="G246" s="345"/>
      <c r="H246" s="344" t="s">
        <v>31</v>
      </c>
      <c r="I246" s="345"/>
      <c r="J246" s="344" t="s">
        <v>32</v>
      </c>
      <c r="K246" s="345"/>
      <c r="L246" s="344" t="s">
        <v>33</v>
      </c>
      <c r="M246" s="346"/>
    </row>
    <row r="247" spans="3:13" ht="31.5" customHeight="1" thickBot="1" x14ac:dyDescent="0.25">
      <c r="C247" s="122"/>
      <c r="D247" s="159" t="s">
        <v>68</v>
      </c>
      <c r="E247" s="160" t="s">
        <v>69</v>
      </c>
      <c r="F247" s="159" t="s">
        <v>68</v>
      </c>
      <c r="G247" s="160" t="s">
        <v>69</v>
      </c>
      <c r="H247" s="159" t="s">
        <v>68</v>
      </c>
      <c r="I247" s="160" t="s">
        <v>69</v>
      </c>
      <c r="J247" s="159" t="s">
        <v>68</v>
      </c>
      <c r="K247" s="160" t="s">
        <v>69</v>
      </c>
      <c r="L247" s="159" t="s">
        <v>68</v>
      </c>
      <c r="M247" s="161" t="s">
        <v>69</v>
      </c>
    </row>
    <row r="248" spans="3:13" ht="18.75" thickBot="1" x14ac:dyDescent="0.25">
      <c r="C248" s="125" t="s">
        <v>36</v>
      </c>
      <c r="D248" s="162">
        <v>0.22890920132179784</v>
      </c>
      <c r="E248" s="163">
        <v>0.1674259513334079</v>
      </c>
      <c r="F248" s="162">
        <v>0.66376270483302224</v>
      </c>
      <c r="G248" s="163">
        <v>0.65042902585893203</v>
      </c>
      <c r="H248" s="162">
        <v>0.45415508966910834</v>
      </c>
      <c r="I248" s="163">
        <v>0.40242195582060486</v>
      </c>
      <c r="J248" s="162">
        <v>0.49614960306301237</v>
      </c>
      <c r="K248" s="163">
        <v>0.36171091089884594</v>
      </c>
      <c r="L248" s="162">
        <v>0.14209667243101304</v>
      </c>
      <c r="M248" s="164">
        <v>8.9197614442525622E-2</v>
      </c>
    </row>
    <row r="249" spans="3:13" ht="26.25" thickBot="1" x14ac:dyDescent="0.25">
      <c r="C249" s="165" t="s">
        <v>70</v>
      </c>
      <c r="D249" s="166">
        <v>6.1051307559359835E-2</v>
      </c>
      <c r="E249" s="167">
        <v>4.1703135586311411E-2</v>
      </c>
      <c r="F249" s="166"/>
      <c r="G249" s="167"/>
      <c r="H249" s="166"/>
      <c r="I249" s="167"/>
      <c r="J249" s="166"/>
      <c r="K249" s="167"/>
      <c r="L249" s="166"/>
      <c r="M249" s="168"/>
    </row>
    <row r="250" spans="3:13" ht="26.25" thickBot="1" x14ac:dyDescent="0.25">
      <c r="C250" s="165" t="s">
        <v>39</v>
      </c>
      <c r="D250" s="166">
        <v>2.5743599691284889E-2</v>
      </c>
      <c r="E250" s="167">
        <v>1.995988831850478E-2</v>
      </c>
      <c r="F250" s="166"/>
      <c r="G250" s="167"/>
      <c r="H250" s="166"/>
      <c r="I250" s="167"/>
      <c r="J250" s="166"/>
      <c r="K250" s="167"/>
      <c r="L250" s="166"/>
      <c r="M250" s="168"/>
    </row>
    <row r="251" spans="3:13" ht="18.75" thickBot="1" x14ac:dyDescent="0.25">
      <c r="C251" s="165" t="s">
        <v>40</v>
      </c>
      <c r="D251" s="166">
        <v>0.14211429407115311</v>
      </c>
      <c r="E251" s="167">
        <v>0.10576292742863105</v>
      </c>
      <c r="F251" s="166"/>
      <c r="G251" s="167"/>
      <c r="H251" s="166"/>
      <c r="I251" s="167"/>
      <c r="J251" s="166"/>
      <c r="K251" s="167"/>
      <c r="L251" s="166"/>
      <c r="M251" s="168"/>
    </row>
    <row r="252" spans="3:13" ht="18.75" thickBot="1" x14ac:dyDescent="0.25">
      <c r="C252" s="169" t="s">
        <v>41</v>
      </c>
      <c r="D252" s="170">
        <v>3.4892387043857505E-2</v>
      </c>
      <c r="E252" s="171">
        <v>3.001824792631002E-2</v>
      </c>
      <c r="F252" s="170">
        <v>5.548641360713545E-3</v>
      </c>
      <c r="G252" s="171">
        <v>8.7683260361766813E-3</v>
      </c>
      <c r="H252" s="170">
        <v>2.5511492801212426E-2</v>
      </c>
      <c r="I252" s="171">
        <v>2.7809894724030913E-2</v>
      </c>
      <c r="J252" s="170">
        <v>1.2643578706007052E-2</v>
      </c>
      <c r="K252" s="171">
        <v>1.264651821496369E-2</v>
      </c>
      <c r="L252" s="170">
        <v>4.1687208004352633E-2</v>
      </c>
      <c r="M252" s="172">
        <v>3.5456837685920652E-2</v>
      </c>
    </row>
    <row r="253" spans="3:13" ht="24" customHeight="1" thickBot="1" x14ac:dyDescent="0.25">
      <c r="C253" s="173" t="s">
        <v>42</v>
      </c>
      <c r="D253" s="166">
        <v>2.7739220959486423E-2</v>
      </c>
      <c r="E253" s="167">
        <v>2.9689839805573662E-2</v>
      </c>
      <c r="F253" s="166">
        <v>7.8821821198921393E-3</v>
      </c>
      <c r="G253" s="167">
        <v>7.6297348373692677E-3</v>
      </c>
      <c r="H253" s="166">
        <v>9.8509724677948978E-3</v>
      </c>
      <c r="I253" s="167">
        <v>1.4665611878537091E-2</v>
      </c>
      <c r="J253" s="166">
        <v>1.021004131605702E-2</v>
      </c>
      <c r="K253" s="167">
        <v>9.6694488805857716E-3</v>
      </c>
      <c r="L253" s="166">
        <v>3.303813408874369E-2</v>
      </c>
      <c r="M253" s="168">
        <v>3.5956270019269945E-2</v>
      </c>
    </row>
    <row r="254" spans="3:13" ht="24" customHeight="1" thickBot="1" x14ac:dyDescent="0.25">
      <c r="C254" s="169" t="s">
        <v>43</v>
      </c>
      <c r="D254" s="170">
        <v>0.10327334242923729</v>
      </c>
      <c r="E254" s="171">
        <v>0.11675508773461132</v>
      </c>
      <c r="F254" s="170">
        <v>3.261771416718523E-2</v>
      </c>
      <c r="G254" s="171">
        <v>4.1634876104844294E-2</v>
      </c>
      <c r="H254" s="170">
        <v>0.27077544834554179</v>
      </c>
      <c r="I254" s="171">
        <v>0.24876772348323495</v>
      </c>
      <c r="J254" s="170">
        <v>0.19206558653658959</v>
      </c>
      <c r="K254" s="171">
        <v>0.24774158556061107</v>
      </c>
      <c r="L254" s="170">
        <v>8.4089637714662296E-2</v>
      </c>
      <c r="M254" s="172">
        <v>8.8718187982329097E-2</v>
      </c>
    </row>
    <row r="255" spans="3:13" ht="24" customHeight="1" thickBot="1" x14ac:dyDescent="0.25">
      <c r="C255" s="173" t="s">
        <v>44</v>
      </c>
      <c r="D255" s="166">
        <v>4.53165295708889E-2</v>
      </c>
      <c r="E255" s="167">
        <v>3.7742385104891481E-2</v>
      </c>
      <c r="F255" s="166">
        <v>3.4536403235843185E-2</v>
      </c>
      <c r="G255" s="167">
        <v>2.8253495005458196E-2</v>
      </c>
      <c r="H255" s="166">
        <v>7.729224551654458E-2</v>
      </c>
      <c r="I255" s="167">
        <v>8.841964340047466E-2</v>
      </c>
      <c r="J255" s="166">
        <v>4.8021804495013955E-2</v>
      </c>
      <c r="K255" s="167">
        <v>3.7382107451713019E-2</v>
      </c>
      <c r="L255" s="166">
        <v>4.4885270775274787E-2</v>
      </c>
      <c r="M255" s="168">
        <v>3.781038576324907E-2</v>
      </c>
    </row>
    <row r="256" spans="3:13" ht="24" customHeight="1" thickBot="1" x14ac:dyDescent="0.25">
      <c r="C256" s="169" t="s">
        <v>45</v>
      </c>
      <c r="D256" s="170">
        <v>0.3516309534137243</v>
      </c>
      <c r="E256" s="171">
        <v>0.34935313965255294</v>
      </c>
      <c r="F256" s="170">
        <v>4.433727442439328E-2</v>
      </c>
      <c r="G256" s="171">
        <v>5.5192328008169686E-2</v>
      </c>
      <c r="H256" s="170">
        <v>4.5213437736802226E-2</v>
      </c>
      <c r="I256" s="171">
        <v>6.5660561066147385E-2</v>
      </c>
      <c r="J256" s="170">
        <v>9.66168422418828E-2</v>
      </c>
      <c r="K256" s="171">
        <v>0.11416217193479375</v>
      </c>
      <c r="L256" s="170">
        <v>0.4300934641507892</v>
      </c>
      <c r="M256" s="172">
        <v>0.42635802367695086</v>
      </c>
    </row>
    <row r="257" spans="3:13" ht="24" customHeight="1" thickBot="1" x14ac:dyDescent="0.25">
      <c r="C257" s="173" t="s">
        <v>46</v>
      </c>
      <c r="D257" s="166">
        <v>1.6246441161857143E-2</v>
      </c>
      <c r="E257" s="167">
        <v>1.5796867030170449E-2</v>
      </c>
      <c r="F257" s="166">
        <v>5.548641360713545E-3</v>
      </c>
      <c r="G257" s="167">
        <v>5.8572887443804067E-3</v>
      </c>
      <c r="H257" s="166">
        <v>1.5155342258145997E-3</v>
      </c>
      <c r="I257" s="167">
        <v>5.5984908415992211E-3</v>
      </c>
      <c r="J257" s="166">
        <v>4.2722100845789439E-3</v>
      </c>
      <c r="K257" s="167">
        <v>5.2158977913038234E-3</v>
      </c>
      <c r="L257" s="166">
        <v>1.9750336537356285E-2</v>
      </c>
      <c r="M257" s="168">
        <v>1.9030586836564164E-2</v>
      </c>
    </row>
    <row r="258" spans="3:13" ht="24" customHeight="1" thickBot="1" x14ac:dyDescent="0.25">
      <c r="C258" s="169" t="s">
        <v>47</v>
      </c>
      <c r="D258" s="170">
        <v>2.5363376105112898E-2</v>
      </c>
      <c r="E258" s="171">
        <v>2.8793536579045709E-2</v>
      </c>
      <c r="F258" s="170">
        <v>3.3914125700062227E-2</v>
      </c>
      <c r="G258" s="171">
        <v>3.4157735964222412E-2</v>
      </c>
      <c r="H258" s="170">
        <v>3.056327355392776E-2</v>
      </c>
      <c r="I258" s="171">
        <v>3.012231485425668E-2</v>
      </c>
      <c r="J258" s="170">
        <v>1.2546237210409051E-2</v>
      </c>
      <c r="K258" s="171">
        <v>1.5472926145779975E-2</v>
      </c>
      <c r="L258" s="170">
        <v>2.7916635801444236E-2</v>
      </c>
      <c r="M258" s="172">
        <v>3.1609994076832557E-2</v>
      </c>
    </row>
    <row r="259" spans="3:13" ht="24" customHeight="1" thickBot="1" x14ac:dyDescent="0.25">
      <c r="C259" s="173" t="s">
        <v>48</v>
      </c>
      <c r="D259" s="166">
        <v>6.5186873506470969E-2</v>
      </c>
      <c r="E259" s="167">
        <v>0.12403189159258844</v>
      </c>
      <c r="F259" s="166">
        <v>5.164903546981954E-2</v>
      </c>
      <c r="G259" s="167">
        <v>5.6518728064512344E-2</v>
      </c>
      <c r="H259" s="166">
        <v>7.072493053801465E-3</v>
      </c>
      <c r="I259" s="167">
        <v>1.7647416783301891E-2</v>
      </c>
      <c r="J259" s="166">
        <v>4.307901966298211E-2</v>
      </c>
      <c r="K259" s="167">
        <v>0.10111188115828487</v>
      </c>
      <c r="L259" s="166">
        <v>7.1662660573658887E-2</v>
      </c>
      <c r="M259" s="168">
        <v>0.13482529514021618</v>
      </c>
    </row>
    <row r="260" spans="3:13" ht="24" customHeight="1" thickBot="1" x14ac:dyDescent="0.25">
      <c r="C260" s="174" t="s">
        <v>49</v>
      </c>
      <c r="D260" s="170">
        <v>2.5249020087226039E-2</v>
      </c>
      <c r="E260" s="171">
        <v>4.5665640163985846E-2</v>
      </c>
      <c r="F260" s="170">
        <v>1.6905206388716034E-2</v>
      </c>
      <c r="G260" s="171">
        <v>2.1046330097543225E-2</v>
      </c>
      <c r="H260" s="170">
        <v>1.0103561505430665E-3</v>
      </c>
      <c r="I260" s="171">
        <v>5.902756648207874E-3</v>
      </c>
      <c r="J260" s="170">
        <v>1.3195180514395726E-2</v>
      </c>
      <c r="K260" s="171">
        <v>2.8800433904842257E-2</v>
      </c>
      <c r="L260" s="170">
        <v>2.8751912579472627E-2</v>
      </c>
      <c r="M260" s="172">
        <v>5.1630157138988657E-2</v>
      </c>
    </row>
    <row r="261" spans="3:13" ht="24" customHeight="1" thickBot="1" x14ac:dyDescent="0.25">
      <c r="C261" s="165" t="s">
        <v>50</v>
      </c>
      <c r="D261" s="166">
        <v>1.0518781990110176E-2</v>
      </c>
      <c r="E261" s="167">
        <v>2.1599107515472549E-2</v>
      </c>
      <c r="F261" s="166">
        <v>1.0630574569591371E-2</v>
      </c>
      <c r="G261" s="167">
        <v>1.3334428885002289E-2</v>
      </c>
      <c r="H261" s="166">
        <v>1.0103561505430665E-3</v>
      </c>
      <c r="I261" s="167">
        <v>2.2515669689040347E-3</v>
      </c>
      <c r="J261" s="166">
        <v>4.5642345713729476E-3</v>
      </c>
      <c r="K261" s="167">
        <v>1.1350830144333624E-2</v>
      </c>
      <c r="L261" s="166">
        <v>1.2015724660078112E-2</v>
      </c>
      <c r="M261" s="168">
        <v>2.4759411512951301E-2</v>
      </c>
    </row>
    <row r="262" spans="3:13" ht="24" customHeight="1" thickBot="1" x14ac:dyDescent="0.25">
      <c r="C262" s="174" t="s">
        <v>51</v>
      </c>
      <c r="D262" s="170">
        <v>1.6092652034354126E-2</v>
      </c>
      <c r="E262" s="171">
        <v>2.8677339021376532E-2</v>
      </c>
      <c r="F262" s="170">
        <v>1.4675378552167601E-2</v>
      </c>
      <c r="G262" s="171">
        <v>9.54303757350956E-3</v>
      </c>
      <c r="H262" s="170">
        <v>4.2940136398080322E-3</v>
      </c>
      <c r="I262" s="171">
        <v>6.8155540680338344E-3</v>
      </c>
      <c r="J262" s="170">
        <v>5.5917281360185166E-3</v>
      </c>
      <c r="K262" s="171">
        <v>1.7666556181637389E-2</v>
      </c>
      <c r="L262" s="170">
        <v>1.8761797965194248E-2</v>
      </c>
      <c r="M262" s="172">
        <v>3.2709602604764687E-2</v>
      </c>
    </row>
    <row r="263" spans="3:13" ht="24" customHeight="1" thickBot="1" x14ac:dyDescent="0.25">
      <c r="C263" s="165" t="s">
        <v>52</v>
      </c>
      <c r="D263" s="166">
        <v>1.3326419394780634E-2</v>
      </c>
      <c r="E263" s="167">
        <v>2.8089804891753518E-2</v>
      </c>
      <c r="F263" s="166">
        <v>9.4378759593445345E-3</v>
      </c>
      <c r="G263" s="167">
        <v>1.2594931508457268E-2</v>
      </c>
      <c r="H263" s="166">
        <v>7.5776711290729984E-4</v>
      </c>
      <c r="I263" s="167">
        <v>2.6775390981561491E-3</v>
      </c>
      <c r="J263" s="166">
        <v>1.9727876441194919E-2</v>
      </c>
      <c r="K263" s="167">
        <v>4.3294060927471602E-2</v>
      </c>
      <c r="L263" s="166">
        <v>1.2133225368913911E-2</v>
      </c>
      <c r="M263" s="168">
        <v>2.5726123883511517E-2</v>
      </c>
    </row>
    <row r="264" spans="3:13" ht="24" customHeight="1" thickBot="1" x14ac:dyDescent="0.25">
      <c r="C264" s="169" t="s">
        <v>53</v>
      </c>
      <c r="D264" s="170">
        <v>1.1778669842346427E-2</v>
      </c>
      <c r="E264" s="171">
        <v>9.9531663834464858E-3</v>
      </c>
      <c r="F264" s="170">
        <v>8.245177349097698E-3</v>
      </c>
      <c r="G264" s="171">
        <v>6.8432852464404351E-3</v>
      </c>
      <c r="H264" s="170">
        <v>1.8186410709775197E-2</v>
      </c>
      <c r="I264" s="171">
        <v>2.0081543236171118E-2</v>
      </c>
      <c r="J264" s="170">
        <v>1.0426355750719245E-2</v>
      </c>
      <c r="K264" s="171">
        <v>1.0037062705276161E-2</v>
      </c>
      <c r="L264" s="170">
        <v>1.2207301902745174E-2</v>
      </c>
      <c r="M264" s="172">
        <v>1.0003651071850379E-2</v>
      </c>
    </row>
    <row r="265" spans="3:13" ht="24" customHeight="1" thickBot="1" x14ac:dyDescent="0.25">
      <c r="C265" s="173" t="s">
        <v>54</v>
      </c>
      <c r="D265" s="166">
        <v>5.8124403574217054E-3</v>
      </c>
      <c r="E265" s="167">
        <v>7.0198599628495135E-3</v>
      </c>
      <c r="F265" s="166">
        <v>3.4225264467952709E-3</v>
      </c>
      <c r="G265" s="167">
        <v>3.6505346683412955E-3</v>
      </c>
      <c r="H265" s="166">
        <v>7.5776711290729982E-3</v>
      </c>
      <c r="I265" s="167">
        <v>1.1257834844520172E-2</v>
      </c>
      <c r="J265" s="166">
        <v>7.4520322741136518E-3</v>
      </c>
      <c r="K265" s="167">
        <v>8.8167053364269134E-3</v>
      </c>
      <c r="L265" s="166">
        <v>5.5250876785180609E-3</v>
      </c>
      <c r="M265" s="168">
        <v>6.7491242071779645E-3</v>
      </c>
    </row>
    <row r="266" spans="3:13" ht="24" customHeight="1" thickBot="1" x14ac:dyDescent="0.25">
      <c r="C266" s="169" t="s">
        <v>55</v>
      </c>
      <c r="D266" s="170">
        <v>1.3882426240368463E-2</v>
      </c>
      <c r="E266" s="171">
        <v>1.3535106118919744E-2</v>
      </c>
      <c r="F266" s="170">
        <v>7.3636175067413401E-3</v>
      </c>
      <c r="G266" s="171">
        <v>8.0757808740154705E-3</v>
      </c>
      <c r="H266" s="170">
        <v>7.325082091437232E-3</v>
      </c>
      <c r="I266" s="171">
        <v>7.3023793586076795E-3</v>
      </c>
      <c r="J266" s="170">
        <v>6.9328776309243115E-3</v>
      </c>
      <c r="K266" s="171">
        <v>7.505951125440685E-3</v>
      </c>
      <c r="L266" s="170">
        <v>1.5911128594308366E-2</v>
      </c>
      <c r="M266" s="172">
        <v>1.5370226545078591E-2</v>
      </c>
    </row>
    <row r="267" spans="3:13" ht="24" customHeight="1" thickBot="1" x14ac:dyDescent="0.25">
      <c r="C267" s="173" t="s">
        <v>56</v>
      </c>
      <c r="D267" s="166">
        <v>2.3857031317775657E-2</v>
      </c>
      <c r="E267" s="167">
        <v>2.4540596862665943E-2</v>
      </c>
      <c r="F267" s="166">
        <v>1.2186268409043768E-2</v>
      </c>
      <c r="G267" s="167">
        <v>1.2606669562053221E-2</v>
      </c>
      <c r="H267" s="166">
        <v>3.7888355645364991E-3</v>
      </c>
      <c r="I267" s="167">
        <v>8.8237083916509456E-3</v>
      </c>
      <c r="J267" s="166">
        <v>1.4655302948365744E-2</v>
      </c>
      <c r="K267" s="167">
        <v>1.6654111549703195E-2</v>
      </c>
      <c r="L267" s="166">
        <v>2.6808042157210839E-2</v>
      </c>
      <c r="M267" s="168">
        <v>2.7321592267444229E-2</v>
      </c>
    </row>
    <row r="268" spans="3:13" ht="24" customHeight="1" thickBot="1" x14ac:dyDescent="0.25">
      <c r="C268" s="169" t="s">
        <v>57</v>
      </c>
      <c r="D268" s="170">
        <v>2.7283768543419799E-2</v>
      </c>
      <c r="E268" s="171">
        <v>2.7119309797418015E-2</v>
      </c>
      <c r="F268" s="170">
        <v>2.8209914955403443E-2</v>
      </c>
      <c r="G268" s="171">
        <v>3.0695010153416361E-2</v>
      </c>
      <c r="H268" s="170">
        <v>9.0932053548875985E-3</v>
      </c>
      <c r="I268" s="171">
        <v>1.3874520781354592E-2</v>
      </c>
      <c r="J268" s="170">
        <v>2.7569274697700579E-2</v>
      </c>
      <c r="K268" s="171">
        <v>3.363666495917076E-2</v>
      </c>
      <c r="L268" s="170">
        <v>2.7354675889620855E-2</v>
      </c>
      <c r="M268" s="172">
        <v>2.5511775242589074E-2</v>
      </c>
    </row>
    <row r="269" spans="3:13" ht="24" customHeight="1" thickBot="1" x14ac:dyDescent="0.25">
      <c r="C269" s="173" t="s">
        <v>58</v>
      </c>
      <c r="D269" s="166">
        <v>4.3218688139309291E-3</v>
      </c>
      <c r="E269" s="167">
        <v>3.7990600544982912E-3</v>
      </c>
      <c r="F269" s="166">
        <v>1.5919933623729517E-2</v>
      </c>
      <c r="G269" s="167">
        <v>1.1327221720094373E-2</v>
      </c>
      <c r="H269" s="166">
        <v>1.4650164182874464E-2</v>
      </c>
      <c r="I269" s="167">
        <v>1.4787318201180552E-2</v>
      </c>
      <c r="J269" s="166">
        <v>3.1906379112678191E-3</v>
      </c>
      <c r="K269" s="167">
        <v>3.5586223521258324E-3</v>
      </c>
      <c r="L269" s="166">
        <v>3.9132844768791815E-3</v>
      </c>
      <c r="M269" s="168">
        <v>3.2688167740672442E-3</v>
      </c>
    </row>
    <row r="270" spans="3:13" ht="24" customHeight="1" thickBot="1" x14ac:dyDescent="0.25">
      <c r="C270" s="169" t="s">
        <v>59</v>
      </c>
      <c r="D270" s="170">
        <v>3.0876124829451799E-3</v>
      </c>
      <c r="E270" s="171">
        <v>3.116058447917036E-3</v>
      </c>
      <c r="F270" s="170">
        <v>1.7475627463181913E-2</v>
      </c>
      <c r="G270" s="171">
        <v>1.4531710351789467E-2</v>
      </c>
      <c r="H270" s="170">
        <v>8.3354382419802975E-3</v>
      </c>
      <c r="I270" s="171">
        <v>9.1888273595813301E-3</v>
      </c>
      <c r="J270" s="170">
        <v>3.4393995111293776E-3</v>
      </c>
      <c r="K270" s="171">
        <v>3.4983577907011783E-3</v>
      </c>
      <c r="L270" s="170">
        <v>2.2427309208224028E-3</v>
      </c>
      <c r="M270" s="172">
        <v>2.2592346753225411E-3</v>
      </c>
    </row>
    <row r="271" spans="3:13" ht="24" customHeight="1" thickBot="1" x14ac:dyDescent="0.25">
      <c r="C271" s="173" t="s">
        <v>60</v>
      </c>
      <c r="D271" s="166">
        <v>1.141785688935858E-2</v>
      </c>
      <c r="E271" s="167">
        <v>1.1309895613133052E-2</v>
      </c>
      <c r="F271" s="166">
        <v>2.7380211574362167E-2</v>
      </c>
      <c r="G271" s="167">
        <v>2.382824879978402E-2</v>
      </c>
      <c r="H271" s="166">
        <v>9.0932053548875985E-3</v>
      </c>
      <c r="I271" s="167">
        <v>1.3570254974745939E-2</v>
      </c>
      <c r="J271" s="166">
        <v>1.072919595924636E-2</v>
      </c>
      <c r="K271" s="167">
        <v>1.117907614427336E-2</v>
      </c>
      <c r="L271" s="166">
        <v>1.0817728302600086E-2</v>
      </c>
      <c r="M271" s="168">
        <v>1.0552383592611831E-2</v>
      </c>
    </row>
    <row r="272" spans="3:13" ht="30.75" customHeight="1" thickBot="1" x14ac:dyDescent="0.25">
      <c r="C272" s="175" t="s">
        <v>61</v>
      </c>
      <c r="D272" s="176">
        <v>0.77109079867820218</v>
      </c>
      <c r="E272" s="177">
        <v>0.83257404866659213</v>
      </c>
      <c r="F272" s="176">
        <v>0.33623729516697776</v>
      </c>
      <c r="G272" s="177">
        <v>0.34957097414106797</v>
      </c>
      <c r="H272" s="176">
        <v>0.54584491033089166</v>
      </c>
      <c r="I272" s="177">
        <v>0.5975780441793952</v>
      </c>
      <c r="J272" s="176">
        <v>0.50385039693698763</v>
      </c>
      <c r="K272" s="177">
        <v>0.63828908910115412</v>
      </c>
      <c r="L272" s="176">
        <v>0.85790332756898691</v>
      </c>
      <c r="M272" s="178">
        <v>0.91080238555747439</v>
      </c>
    </row>
    <row r="273" spans="3:18" ht="24" customHeight="1" thickBot="1" x14ac:dyDescent="0.25">
      <c r="C273" s="179" t="s">
        <v>8</v>
      </c>
      <c r="D273" s="180">
        <v>1</v>
      </c>
      <c r="E273" s="181">
        <v>1</v>
      </c>
      <c r="F273" s="180">
        <v>1</v>
      </c>
      <c r="G273" s="181">
        <v>1</v>
      </c>
      <c r="H273" s="180">
        <v>1</v>
      </c>
      <c r="I273" s="181">
        <v>1</v>
      </c>
      <c r="J273" s="180">
        <v>1</v>
      </c>
      <c r="K273" s="181">
        <v>1</v>
      </c>
      <c r="L273" s="180">
        <v>1</v>
      </c>
      <c r="M273" s="182">
        <v>1</v>
      </c>
    </row>
    <row r="274" spans="3:18" ht="18" customHeight="1" x14ac:dyDescent="0.2">
      <c r="C274" s="183"/>
      <c r="D274" s="184"/>
      <c r="E274" s="185"/>
      <c r="F274" s="184"/>
      <c r="G274" s="185"/>
      <c r="H274" s="184"/>
      <c r="I274" s="185"/>
      <c r="J274" s="184"/>
      <c r="K274" s="185"/>
      <c r="L274" s="184"/>
      <c r="M274" s="185"/>
      <c r="N274" s="186"/>
    </row>
    <row r="275" spans="3:18" ht="5.25" customHeight="1" thickBot="1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3:18" ht="20.100000000000001" customHeight="1" thickBot="1" x14ac:dyDescent="0.25">
      <c r="C276" s="262" t="s">
        <v>71</v>
      </c>
      <c r="D276" s="263"/>
      <c r="E276" s="263"/>
      <c r="F276" s="263"/>
      <c r="G276" s="263"/>
      <c r="H276" s="263"/>
      <c r="I276" s="263"/>
      <c r="J276" s="263"/>
      <c r="K276" s="263"/>
      <c r="L276" s="263"/>
      <c r="M276" s="264"/>
    </row>
    <row r="277" spans="3:18" ht="5.25" customHeight="1" x14ac:dyDescent="0.2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105"/>
    </row>
    <row r="278" spans="3:18" ht="45.75" customHeight="1" x14ac:dyDescent="0.2">
      <c r="C278" s="315" t="s">
        <v>7</v>
      </c>
      <c r="D278" s="326" t="s">
        <v>72</v>
      </c>
      <c r="E278" s="187" t="s">
        <v>73</v>
      </c>
      <c r="F278" s="188">
        <v>1125.1486422527528</v>
      </c>
      <c r="G278" s="189">
        <v>5.7854971766462482E-2</v>
      </c>
      <c r="H278" s="329" t="s">
        <v>95</v>
      </c>
      <c r="I278" s="329"/>
      <c r="J278" s="329"/>
      <c r="K278" s="329"/>
      <c r="L278" s="330"/>
      <c r="M278" s="269" t="s">
        <v>99</v>
      </c>
      <c r="O278" s="99"/>
      <c r="R278" s="99"/>
    </row>
    <row r="279" spans="3:18" ht="45.75" customHeight="1" x14ac:dyDescent="0.2">
      <c r="C279" s="315"/>
      <c r="D279" s="327"/>
      <c r="E279" s="190" t="s">
        <v>74</v>
      </c>
      <c r="F279" s="191">
        <v>740.38139475498474</v>
      </c>
      <c r="G279" s="192">
        <v>6.036874797643943E-2</v>
      </c>
      <c r="H279" s="331" t="s">
        <v>96</v>
      </c>
      <c r="I279" s="332"/>
      <c r="J279" s="332"/>
      <c r="K279" s="332"/>
      <c r="L279" s="333"/>
      <c r="M279" s="269"/>
      <c r="O279" s="99"/>
      <c r="R279" s="99"/>
    </row>
    <row r="280" spans="3:18" ht="45.75" customHeight="1" thickBot="1" x14ac:dyDescent="0.25">
      <c r="C280" s="315"/>
      <c r="D280" s="328"/>
      <c r="E280" s="193" t="s">
        <v>75</v>
      </c>
      <c r="F280" s="194">
        <v>387.67482844824917</v>
      </c>
      <c r="G280" s="195">
        <v>5.5110229475464179E-2</v>
      </c>
      <c r="H280" s="334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335"/>
      <c r="J280" s="335"/>
      <c r="K280" s="335"/>
      <c r="L280" s="336"/>
      <c r="M280" s="269"/>
      <c r="O280" s="99"/>
      <c r="R280" s="99"/>
    </row>
    <row r="281" spans="3:18" ht="45.75" customHeight="1" thickTop="1" x14ac:dyDescent="0.2">
      <c r="C281" s="315"/>
      <c r="D281" s="337" t="s">
        <v>76</v>
      </c>
      <c r="E281" s="196" t="s">
        <v>73</v>
      </c>
      <c r="F281" s="197">
        <v>116.05498752962366</v>
      </c>
      <c r="G281" s="198">
        <v>2.8921260303419905E-2</v>
      </c>
      <c r="H281" s="340" t="s">
        <v>97</v>
      </c>
      <c r="I281" s="341"/>
      <c r="J281" s="341"/>
      <c r="K281" s="341"/>
      <c r="L281" s="342"/>
      <c r="M281" s="269"/>
      <c r="O281" s="99"/>
      <c r="R281" s="99"/>
    </row>
    <row r="282" spans="3:18" ht="45.75" customHeight="1" x14ac:dyDescent="0.2">
      <c r="C282" s="315"/>
      <c r="D282" s="338"/>
      <c r="E282" s="199" t="s">
        <v>74</v>
      </c>
      <c r="F282" s="200">
        <v>76.380484610325709</v>
      </c>
      <c r="G282" s="192">
        <v>3.2007171130422396E-2</v>
      </c>
      <c r="H282" s="343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332"/>
      <c r="J282" s="332"/>
      <c r="K282" s="332"/>
      <c r="L282" s="333"/>
      <c r="M282" s="269"/>
      <c r="O282" s="99"/>
      <c r="R282" s="99"/>
    </row>
    <row r="283" spans="3:18" ht="45.75" customHeight="1" x14ac:dyDescent="0.2">
      <c r="C283" s="315"/>
      <c r="D283" s="339"/>
      <c r="E283" s="201" t="s">
        <v>75</v>
      </c>
      <c r="F283" s="202">
        <v>39.805978530376997</v>
      </c>
      <c r="G283" s="203">
        <v>1.9418089374815706E-2</v>
      </c>
      <c r="H283" s="312" t="s">
        <v>98</v>
      </c>
      <c r="I283" s="313"/>
      <c r="J283" s="313"/>
      <c r="K283" s="313"/>
      <c r="L283" s="314"/>
      <c r="M283" s="269"/>
      <c r="O283" s="99"/>
      <c r="R283" s="99"/>
    </row>
    <row r="284" spans="3:18" ht="5.25" customHeight="1" thickBot="1" x14ac:dyDescent="0.25"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5"/>
      <c r="N284" s="186"/>
      <c r="O284" s="99"/>
      <c r="R284" s="99"/>
    </row>
    <row r="285" spans="3:18" ht="19.5" customHeight="1" thickBot="1" x14ac:dyDescent="0.25">
      <c r="C285" s="262" t="s">
        <v>77</v>
      </c>
      <c r="D285" s="263"/>
      <c r="E285" s="263"/>
      <c r="F285" s="263"/>
      <c r="G285" s="263"/>
      <c r="H285" s="263"/>
      <c r="I285" s="263"/>
      <c r="J285" s="263"/>
      <c r="K285" s="263"/>
      <c r="L285" s="263"/>
      <c r="M285" s="264"/>
      <c r="N285" s="186"/>
      <c r="O285" s="99"/>
      <c r="P285" s="99"/>
      <c r="Q285" s="99"/>
    </row>
    <row r="286" spans="3:18" ht="5.25" customHeight="1" x14ac:dyDescent="0.2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105"/>
      <c r="N286" s="186"/>
      <c r="O286" s="99"/>
      <c r="P286" s="99"/>
      <c r="Q286" s="99"/>
    </row>
    <row r="287" spans="3:18" s="99" customFormat="1" ht="47.25" customHeight="1" thickBot="1" x14ac:dyDescent="0.25">
      <c r="C287" s="315" t="s">
        <v>7</v>
      </c>
      <c r="D287" s="316"/>
      <c r="E287" s="206" t="s">
        <v>8</v>
      </c>
      <c r="F287" s="207">
        <v>136437</v>
      </c>
      <c r="G287" s="208">
        <v>-9.9580444158064996E-4</v>
      </c>
      <c r="H287" s="317" t="s">
        <v>100</v>
      </c>
      <c r="I287" s="317"/>
      <c r="J287" s="317"/>
      <c r="K287" s="317"/>
      <c r="L287" s="318"/>
      <c r="M287" s="269" t="s">
        <v>78</v>
      </c>
      <c r="Q287" s="209"/>
    </row>
    <row r="288" spans="3:18" s="99" customFormat="1" ht="47.25" customHeight="1" thickTop="1" thickBot="1" x14ac:dyDescent="0.25">
      <c r="C288" s="315"/>
      <c r="D288" s="316"/>
      <c r="E288" s="210" t="s">
        <v>79</v>
      </c>
      <c r="F288" s="211">
        <v>84679</v>
      </c>
      <c r="G288" s="212">
        <v>1.3362344204526089E-3</v>
      </c>
      <c r="H288" s="319" t="s">
        <v>101</v>
      </c>
      <c r="I288" s="320"/>
      <c r="J288" s="320"/>
      <c r="K288" s="320"/>
      <c r="L288" s="321"/>
      <c r="M288" s="269"/>
      <c r="O288" s="213"/>
      <c r="Q288" s="209"/>
    </row>
    <row r="289" spans="3:20" s="99" customFormat="1" ht="47.25" customHeight="1" thickTop="1" thickBot="1" x14ac:dyDescent="0.25">
      <c r="C289" s="315"/>
      <c r="D289" s="316"/>
      <c r="E289" s="214" t="s">
        <v>80</v>
      </c>
      <c r="F289" s="215">
        <v>50288</v>
      </c>
      <c r="G289" s="212">
        <v>-5.1042614648043605E-3</v>
      </c>
      <c r="H289" s="322" t="s">
        <v>102</v>
      </c>
      <c r="I289" s="320"/>
      <c r="J289" s="320"/>
      <c r="K289" s="320"/>
      <c r="L289" s="321"/>
      <c r="M289" s="269"/>
      <c r="O289" s="213"/>
      <c r="Q289" s="209"/>
    </row>
    <row r="290" spans="3:20" s="99" customFormat="1" ht="47.25" customHeight="1" thickTop="1" thickBot="1" x14ac:dyDescent="0.25">
      <c r="C290" s="315"/>
      <c r="D290" s="316"/>
      <c r="E290" s="210" t="s">
        <v>81</v>
      </c>
      <c r="F290" s="211">
        <v>557</v>
      </c>
      <c r="G290" s="212">
        <v>0</v>
      </c>
      <c r="H290" s="319" t="s">
        <v>103</v>
      </c>
      <c r="I290" s="320"/>
      <c r="J290" s="320"/>
      <c r="K290" s="320"/>
      <c r="L290" s="321"/>
      <c r="M290" s="269"/>
      <c r="O290" s="213"/>
      <c r="Q290" s="209"/>
    </row>
    <row r="291" spans="3:20" s="99" customFormat="1" ht="47.25" customHeight="1" thickTop="1" x14ac:dyDescent="0.2">
      <c r="C291" s="315"/>
      <c r="D291" s="316"/>
      <c r="E291" s="216" t="s">
        <v>82</v>
      </c>
      <c r="F291" s="217">
        <v>913</v>
      </c>
      <c r="G291" s="218">
        <v>9.9557522123894238E-3</v>
      </c>
      <c r="H291" s="323" t="s">
        <v>104</v>
      </c>
      <c r="I291" s="324"/>
      <c r="J291" s="324"/>
      <c r="K291" s="324"/>
      <c r="L291" s="325"/>
      <c r="M291" s="269"/>
      <c r="O291" s="213"/>
      <c r="Q291" s="209"/>
    </row>
    <row r="292" spans="3:20" ht="5.25" customHeight="1" x14ac:dyDescent="0.2">
      <c r="C292" s="59" t="s">
        <v>83</v>
      </c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219"/>
      <c r="P292" s="99"/>
      <c r="Q292" s="99"/>
      <c r="R292" s="99"/>
    </row>
    <row r="293" spans="3:20" s="1" customFormat="1" ht="18.75" customHeight="1" thickBot="1" x14ac:dyDescent="0.25"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219"/>
      <c r="P293" s="220"/>
      <c r="Q293" s="220"/>
      <c r="R293" s="220"/>
    </row>
    <row r="294" spans="3:20" ht="50.25" customHeight="1" thickBot="1" x14ac:dyDescent="0.25">
      <c r="C294" s="2"/>
      <c r="D294" s="2"/>
      <c r="E294" s="286" t="str">
        <f>E242</f>
        <v>INDICADORES TURÍSTICOS DE TENERIFE definitivo</v>
      </c>
      <c r="F294" s="286"/>
      <c r="G294" s="286"/>
      <c r="H294" s="286"/>
      <c r="I294" s="286"/>
      <c r="J294" s="286"/>
      <c r="K294" s="286"/>
      <c r="L294" s="2"/>
      <c r="M294" s="2"/>
      <c r="O294" s="99"/>
      <c r="P294" s="99"/>
      <c r="Q294" s="99"/>
      <c r="R294" s="99"/>
      <c r="S294" s="99"/>
      <c r="T294" s="99"/>
    </row>
    <row r="295" spans="3:20" ht="5.25" customHeight="1" thickBot="1" x14ac:dyDescent="0.25">
      <c r="C295" s="3"/>
      <c r="O295" s="99"/>
      <c r="P295" s="99"/>
      <c r="Q295" s="99"/>
      <c r="R295" s="99"/>
      <c r="S295" s="99"/>
      <c r="T295" s="99"/>
    </row>
    <row r="296" spans="3:20" ht="18" customHeight="1" thickBot="1" x14ac:dyDescent="0.25">
      <c r="C296" s="287" t="s">
        <v>84</v>
      </c>
      <c r="D296" s="288"/>
      <c r="E296" s="288"/>
      <c r="F296" s="288"/>
      <c r="G296" s="288"/>
      <c r="H296" s="288"/>
      <c r="I296" s="288"/>
      <c r="J296" s="288"/>
      <c r="K296" s="288"/>
      <c r="L296" s="288"/>
      <c r="M296" s="289"/>
      <c r="O296" s="99"/>
      <c r="P296" s="99"/>
      <c r="Q296" s="99"/>
      <c r="R296" s="99"/>
      <c r="S296" s="99"/>
      <c r="T296" s="99"/>
    </row>
    <row r="297" spans="3:20" ht="5.25" customHeight="1" x14ac:dyDescent="0.2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105"/>
      <c r="N297" s="186"/>
      <c r="O297" s="99"/>
      <c r="P297" s="99"/>
      <c r="Q297" s="99"/>
      <c r="R297" s="99"/>
      <c r="S297" s="99"/>
      <c r="T297" s="99"/>
    </row>
    <row r="298" spans="3:20" ht="27.75" customHeight="1" x14ac:dyDescent="0.2">
      <c r="C298" s="290" t="s">
        <v>7</v>
      </c>
      <c r="D298" s="291"/>
      <c r="E298" s="221" t="s">
        <v>8</v>
      </c>
      <c r="F298" s="23">
        <v>159070</v>
      </c>
      <c r="G298" s="222">
        <v>4.7753199338025354E-3</v>
      </c>
      <c r="H298" s="296" t="s">
        <v>105</v>
      </c>
      <c r="I298" s="296"/>
      <c r="J298" s="296"/>
      <c r="K298" s="296"/>
      <c r="L298" s="297"/>
      <c r="M298" s="269" t="s">
        <v>9</v>
      </c>
      <c r="O298" s="99"/>
      <c r="P298" s="99"/>
      <c r="Q298" s="99"/>
      <c r="R298" s="99"/>
      <c r="S298" s="99"/>
      <c r="T298" s="99"/>
    </row>
    <row r="299" spans="3:20" ht="34.5" customHeight="1" x14ac:dyDescent="0.2">
      <c r="C299" s="292"/>
      <c r="D299" s="293"/>
      <c r="E299" s="223" t="s">
        <v>85</v>
      </c>
      <c r="F299" s="30">
        <v>92778</v>
      </c>
      <c r="G299" s="94">
        <v>2.5718608169440493E-3</v>
      </c>
      <c r="H299" s="298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92.778 plazas, un 58,3% del total de plazas. Aumentan un 0,3% respecto al mismo periodo del año anterior.</v>
      </c>
      <c r="I299" s="298"/>
      <c r="J299" s="298"/>
      <c r="K299" s="298"/>
      <c r="L299" s="299"/>
      <c r="M299" s="269"/>
      <c r="O299" s="99"/>
      <c r="P299" s="99"/>
      <c r="Q299" s="99"/>
      <c r="R299" s="99"/>
      <c r="S299" s="99"/>
      <c r="T299" s="99"/>
    </row>
    <row r="300" spans="3:20" ht="41.25" customHeight="1" thickBot="1" x14ac:dyDescent="0.25">
      <c r="C300" s="294"/>
      <c r="D300" s="295"/>
      <c r="E300" s="224" t="s">
        <v>86</v>
      </c>
      <c r="F300" s="225">
        <v>66292</v>
      </c>
      <c r="G300" s="226">
        <v>7.8754523063824244E-3</v>
      </c>
      <c r="H300" s="300" t="s">
        <v>106</v>
      </c>
      <c r="I300" s="300"/>
      <c r="J300" s="300"/>
      <c r="K300" s="300"/>
      <c r="L300" s="301"/>
      <c r="M300" s="269"/>
      <c r="Q300" s="227"/>
    </row>
    <row r="301" spans="3:20" ht="34.5" hidden="1" customHeight="1" x14ac:dyDescent="0.2">
      <c r="C301" s="302" t="s">
        <v>12</v>
      </c>
      <c r="D301" s="303"/>
      <c r="E301" s="228" t="s">
        <v>8</v>
      </c>
      <c r="F301" s="229">
        <v>2879</v>
      </c>
      <c r="G301" s="230">
        <v>8.9292470677260649E-2</v>
      </c>
      <c r="H301" s="280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-1,6%.</v>
      </c>
      <c r="I301" s="280"/>
      <c r="J301" s="280"/>
      <c r="K301" s="280"/>
      <c r="L301" s="281"/>
      <c r="M301" s="269"/>
      <c r="Q301" s="227"/>
    </row>
    <row r="302" spans="3:20" ht="48.75" customHeight="1" thickTop="1" thickBot="1" x14ac:dyDescent="0.25">
      <c r="C302" s="304"/>
      <c r="D302" s="305"/>
      <c r="E302" s="231" t="s">
        <v>85</v>
      </c>
      <c r="F302" s="232">
        <v>2537</v>
      </c>
      <c r="G302" s="226">
        <v>-1.5521924718665092E-2</v>
      </c>
      <c r="H302" s="284"/>
      <c r="I302" s="284"/>
      <c r="J302" s="284"/>
      <c r="K302" s="284"/>
      <c r="L302" s="285"/>
      <c r="M302" s="269"/>
    </row>
    <row r="303" spans="3:20" ht="42" customHeight="1" thickTop="1" x14ac:dyDescent="0.2">
      <c r="C303" s="306" t="s">
        <v>13</v>
      </c>
      <c r="D303" s="307"/>
      <c r="E303" s="233" t="s">
        <v>8</v>
      </c>
      <c r="F303" s="234">
        <v>1082</v>
      </c>
      <c r="G303" s="230">
        <v>0.13061650992685481</v>
      </c>
      <c r="H303" s="256" t="s">
        <v>107</v>
      </c>
      <c r="I303" s="256"/>
      <c r="J303" s="256"/>
      <c r="K303" s="256"/>
      <c r="L303" s="257"/>
      <c r="M303" s="269"/>
    </row>
    <row r="304" spans="3:20" ht="34.5" customHeight="1" x14ac:dyDescent="0.2">
      <c r="C304" s="308"/>
      <c r="D304" s="309"/>
      <c r="E304" s="235" t="s">
        <v>85</v>
      </c>
      <c r="F304" s="50">
        <v>578</v>
      </c>
      <c r="G304" s="94">
        <v>-3.3444816053511683E-2</v>
      </c>
      <c r="H304" s="258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258"/>
      <c r="J304" s="258"/>
      <c r="K304" s="258"/>
      <c r="L304" s="259"/>
      <c r="M304" s="269"/>
    </row>
    <row r="305" spans="3:18" ht="34.5" customHeight="1" thickBot="1" x14ac:dyDescent="0.25">
      <c r="C305" s="310"/>
      <c r="D305" s="311"/>
      <c r="E305" s="236" t="s">
        <v>86</v>
      </c>
      <c r="F305" s="237">
        <v>504</v>
      </c>
      <c r="G305" s="226">
        <v>0.40389972144846786</v>
      </c>
      <c r="H305" s="272" t="s">
        <v>108</v>
      </c>
      <c r="I305" s="272"/>
      <c r="J305" s="272"/>
      <c r="K305" s="272"/>
      <c r="L305" s="273"/>
      <c r="M305" s="269"/>
    </row>
    <row r="306" spans="3:18" ht="39.75" customHeight="1" thickTop="1" x14ac:dyDescent="0.2">
      <c r="C306" s="274" t="s">
        <v>14</v>
      </c>
      <c r="D306" s="275"/>
      <c r="E306" s="228" t="s">
        <v>8</v>
      </c>
      <c r="F306" s="229">
        <v>27957</v>
      </c>
      <c r="G306" s="230">
        <v>4.0531487271103117E-2</v>
      </c>
      <c r="H306" s="280" t="s">
        <v>109</v>
      </c>
      <c r="I306" s="280"/>
      <c r="J306" s="280"/>
      <c r="K306" s="280"/>
      <c r="L306" s="281"/>
      <c r="M306" s="269"/>
    </row>
    <row r="307" spans="3:18" ht="34.5" customHeight="1" x14ac:dyDescent="0.2">
      <c r="C307" s="276"/>
      <c r="D307" s="277"/>
      <c r="E307" s="238" t="s">
        <v>85</v>
      </c>
      <c r="F307" s="43">
        <v>19202</v>
      </c>
      <c r="G307" s="94">
        <v>4.177517361111116E-2</v>
      </c>
      <c r="H307" s="282" t="str">
        <f>CONCATENATE("La oferta hotelera asciende a ",FIXED(F307,0),", cifra que se ",IF(G307&gt;0,"incrementa un ","reduce un "),FIXED(G307*100,1),"% respecto al año anterior.")</f>
        <v>La oferta hotelera asciende a 19.202, cifra que se incrementa un 4,2% respecto al año anterior.</v>
      </c>
      <c r="I307" s="282"/>
      <c r="J307" s="282"/>
      <c r="K307" s="282"/>
      <c r="L307" s="283"/>
      <c r="M307" s="269"/>
    </row>
    <row r="308" spans="3:18" ht="34.5" customHeight="1" thickBot="1" x14ac:dyDescent="0.25">
      <c r="C308" s="278"/>
      <c r="D308" s="279"/>
      <c r="E308" s="231" t="s">
        <v>86</v>
      </c>
      <c r="F308" s="232">
        <v>8755</v>
      </c>
      <c r="G308" s="226">
        <v>3.7814129919393036E-2</v>
      </c>
      <c r="H308" s="284" t="str">
        <f>CONCATENATE("Las plazas extrahoteras estimadas ascienden a ",FIXED(F308,0),", las cuales ",IF(G308&gt;0,"se incrementan un ","descienden un "),FIXED(G308*100,1),"%.")</f>
        <v>Las plazas extrahoteras estimadas ascienden a 8.755, las cuales se incrementan un 3,8%.</v>
      </c>
      <c r="I308" s="284"/>
      <c r="J308" s="284"/>
      <c r="K308" s="284"/>
      <c r="L308" s="285"/>
      <c r="M308" s="269"/>
    </row>
    <row r="309" spans="3:18" ht="34.5" customHeight="1" thickTop="1" x14ac:dyDescent="0.2">
      <c r="C309" s="252" t="s">
        <v>15</v>
      </c>
      <c r="D309" s="253"/>
      <c r="E309" s="239" t="s">
        <v>8</v>
      </c>
      <c r="F309" s="240">
        <v>127152</v>
      </c>
      <c r="G309" s="230">
        <v>-5.4284060510301213E-3</v>
      </c>
      <c r="H309" s="256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127.152 experimentando un descenso interanual del -0,5%.</v>
      </c>
      <c r="I309" s="256"/>
      <c r="J309" s="256"/>
      <c r="K309" s="256"/>
      <c r="L309" s="257"/>
      <c r="M309" s="269"/>
    </row>
    <row r="310" spans="3:18" ht="34.5" customHeight="1" x14ac:dyDescent="0.2">
      <c r="C310" s="254"/>
      <c r="D310" s="255"/>
      <c r="E310" s="241" t="s">
        <v>85</v>
      </c>
      <c r="F310" s="56">
        <v>70461</v>
      </c>
      <c r="G310" s="94">
        <v>-6.6541666079258377E-3</v>
      </c>
      <c r="H310" s="258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-0,7% respecto al mismo período del año anterior.</v>
      </c>
      <c r="I310" s="258"/>
      <c r="J310" s="258"/>
      <c r="K310" s="258"/>
      <c r="L310" s="259"/>
      <c r="M310" s="269"/>
    </row>
    <row r="311" spans="3:18" ht="34.5" customHeight="1" x14ac:dyDescent="0.2">
      <c r="C311" s="254"/>
      <c r="D311" s="255"/>
      <c r="E311" s="242" t="s">
        <v>86</v>
      </c>
      <c r="F311" s="243">
        <v>56691</v>
      </c>
      <c r="G311" s="244">
        <v>-3.9006905276474102E-3</v>
      </c>
      <c r="H311" s="260" t="s">
        <v>110</v>
      </c>
      <c r="I311" s="260"/>
      <c r="J311" s="260"/>
      <c r="K311" s="260"/>
      <c r="L311" s="261"/>
      <c r="M311" s="269"/>
    </row>
    <row r="312" spans="3:18" ht="5.25" customHeight="1" thickBot="1" x14ac:dyDescent="0.25"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5"/>
      <c r="N312" s="186"/>
      <c r="O312" s="99"/>
      <c r="R312" s="99"/>
    </row>
    <row r="313" spans="3:18" ht="19.5" customHeight="1" thickBot="1" x14ac:dyDescent="0.25">
      <c r="C313" s="262" t="s">
        <v>87</v>
      </c>
      <c r="D313" s="263"/>
      <c r="E313" s="263"/>
      <c r="F313" s="263"/>
      <c r="G313" s="263"/>
      <c r="H313" s="263"/>
      <c r="I313" s="263"/>
      <c r="J313" s="263"/>
      <c r="K313" s="263"/>
      <c r="L313" s="263"/>
      <c r="M313" s="264"/>
      <c r="N313" s="186"/>
      <c r="O313" s="99"/>
      <c r="P313" s="99"/>
      <c r="Q313" s="99"/>
    </row>
    <row r="314" spans="3:18" ht="5.25" customHeight="1" x14ac:dyDescent="0.2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105"/>
      <c r="O314" s="99"/>
      <c r="P314" s="99"/>
      <c r="Q314" s="99"/>
    </row>
    <row r="315" spans="3:18" ht="95.25" customHeight="1" thickBot="1" x14ac:dyDescent="0.25">
      <c r="C315" s="265" t="s">
        <v>88</v>
      </c>
      <c r="D315" s="266"/>
      <c r="E315" s="245" t="s">
        <v>89</v>
      </c>
      <c r="F315" s="246">
        <v>237622</v>
      </c>
      <c r="G315" s="208">
        <v>-0.10436768785429984</v>
      </c>
      <c r="H315" s="267" t="s">
        <v>111</v>
      </c>
      <c r="I315" s="267"/>
      <c r="J315" s="267"/>
      <c r="K315" s="267"/>
      <c r="L315" s="268"/>
      <c r="M315" s="269" t="s">
        <v>113</v>
      </c>
    </row>
    <row r="316" spans="3:18" ht="45.75" hidden="1" customHeight="1" x14ac:dyDescent="0.2">
      <c r="C316" s="265"/>
      <c r="D316" s="266"/>
      <c r="E316" s="247" t="s">
        <v>90</v>
      </c>
      <c r="F316" s="217">
        <v>0</v>
      </c>
      <c r="G316" s="218">
        <v>-1</v>
      </c>
      <c r="H316" s="270" t="s">
        <v>112</v>
      </c>
      <c r="I316" s="270"/>
      <c r="J316" s="270"/>
      <c r="K316" s="270"/>
      <c r="L316" s="271"/>
      <c r="M316" s="269"/>
    </row>
    <row r="317" spans="3:18" ht="13.5" thickTop="1" x14ac:dyDescent="0.2">
      <c r="C317" s="248"/>
      <c r="D317" s="249"/>
      <c r="E317" s="249"/>
      <c r="F317" s="249"/>
      <c r="G317" s="249"/>
      <c r="H317" s="249"/>
      <c r="I317" s="249"/>
      <c r="J317" s="249"/>
      <c r="K317" s="249"/>
      <c r="L317" s="249"/>
      <c r="M317" s="249"/>
    </row>
    <row r="318" spans="3:18" ht="29.25" customHeight="1" x14ac:dyDescent="0.2"/>
    <row r="319" spans="3:18" ht="18" customHeight="1" x14ac:dyDescent="0.2">
      <c r="C319" s="251" t="s">
        <v>91</v>
      </c>
      <c r="D319" s="251"/>
      <c r="E319" s="251"/>
      <c r="F319" s="251"/>
      <c r="G319" s="251"/>
      <c r="H319" s="251"/>
      <c r="I319" s="251"/>
      <c r="J319" s="251"/>
      <c r="K319" s="251"/>
      <c r="L319" s="251"/>
      <c r="M319" s="251"/>
    </row>
    <row r="321" spans="5:6" ht="6.75" customHeight="1" x14ac:dyDescent="0.2"/>
    <row r="323" spans="5:6" ht="8.25" customHeight="1" x14ac:dyDescent="0.2"/>
    <row r="326" spans="5:6" x14ac:dyDescent="0.2">
      <c r="E326" s="250"/>
      <c r="F326" s="250"/>
    </row>
    <row r="327" spans="5:6" x14ac:dyDescent="0.2">
      <c r="E327" s="250"/>
      <c r="F327" s="250"/>
    </row>
    <row r="330" spans="5:6" ht="21.75" customHeight="1" x14ac:dyDescent="0.2"/>
    <row r="332" spans="5:6" ht="6" customHeight="1" x14ac:dyDescent="0.2"/>
  </sheetData>
  <mergeCells count="162"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2017-05-24T13:35:21+00:00</PublishingStartDate>
    <_dlc_DocId xmlns="8b099203-c902-4a5b-992f-1f849b15ff82">Q5F7QW3RQ55V-2035-354</_dlc_DocId>
    <_dlc_DocIdUrl xmlns="8b099203-c902-4a5b-992f-1f849b15ff82">
      <Url>http://admin.webtenerife.com/es/investigacion/Situacion-turistica/indicadores-turisticos/_layouts/DocIdRedir.aspx?ID=Q5F7QW3RQ55V-2035-354</Url>
      <Description>Q5F7QW3RQ55V-2035-354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49237-8484-4D89-861F-738C03EDC6EB}"/>
</file>

<file path=customXml/itemProps2.xml><?xml version="1.0" encoding="utf-8"?>
<ds:datastoreItem xmlns:ds="http://schemas.openxmlformats.org/officeDocument/2006/customXml" ds:itemID="{B51237AA-9CE1-4C82-B38B-38336AF4629A}"/>
</file>

<file path=customXml/itemProps3.xml><?xml version="1.0" encoding="utf-8"?>
<ds:datastoreItem xmlns:ds="http://schemas.openxmlformats.org/officeDocument/2006/customXml" ds:itemID="{2AB7E8FB-756D-43D6-8056-2BAE99188C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(abril y I cuatrimestre 2017)</dc:title>
  <dc:creator>Manuela Rabaneda</dc:creator>
  <cp:lastModifiedBy>Marjorie Perez Garcia</cp:lastModifiedBy>
  <dcterms:created xsi:type="dcterms:W3CDTF">2017-05-23T07:29:34Z</dcterms:created>
  <dcterms:modified xsi:type="dcterms:W3CDTF">2017-05-23T10:33:22Z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177dd743-c0eb-4369-a499-8e1b8c193889</vt:lpwstr>
  </property>
</Properties>
</file>