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I:\INVESTIGACION\BOLETIN ESTADÍSTICO SPET\INDICADORES TURISTICOS DE TENERIFE\2017\"/>
    </mc:Choice>
  </mc:AlternateContent>
  <bookViews>
    <workbookView xWindow="0" yWindow="0" windowWidth="28800" windowHeight="11610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(vinculo)'!$C$1:$M$319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(vinculo)'!$C$1:$M$321</definedName>
    <definedName name="Z_B161D6A3_44F3_469D_B50D_76D907B3525C_.wvu.Cols" localSheetId="0" hidden="1">'Ind turísticos (vinculo)'!#REF!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M64" i="1"/>
  <c r="L64" i="1"/>
  <c r="K64" i="1"/>
  <c r="J64" i="1"/>
  <c r="I64" i="1"/>
  <c r="G64" i="1"/>
  <c r="F64" i="1"/>
  <c r="E64" i="1"/>
  <c r="D64" i="1"/>
  <c r="C64" i="1"/>
  <c r="G120" i="1"/>
  <c r="H309" i="1" l="1"/>
  <c r="H280" i="1"/>
  <c r="H301" i="1"/>
  <c r="H304" i="1"/>
  <c r="H308" i="1"/>
  <c r="H282" i="1"/>
  <c r="H307" i="1"/>
  <c r="H299" i="1"/>
  <c r="H310" i="1"/>
  <c r="E184" i="1"/>
  <c r="E117" i="1"/>
  <c r="E242" i="1"/>
  <c r="E294" i="1" s="1"/>
  <c r="C215" i="1"/>
  <c r="G152" i="1"/>
  <c r="I62" i="1"/>
</calcChain>
</file>

<file path=xl/sharedStrings.xml><?xml version="1.0" encoding="utf-8"?>
<sst xmlns="http://schemas.openxmlformats.org/spreadsheetml/2006/main" count="586" uniqueCount="115">
  <si>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</si>
  <si>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</si>
  <si>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</si>
  <si>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</si>
  <si>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</si>
  <si>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</si>
  <si>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</si>
  <si>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</si>
  <si>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</si>
  <si>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</si>
  <si>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</si>
  <si>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</si>
  <si>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</si>
  <si>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</si>
  <si>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</si>
  <si>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</si>
  <si>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</si>
  <si>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</si>
  <si>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</si>
  <si>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</si>
  <si>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</si>
  <si>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</si>
  <si>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</si>
  <si>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</si>
  <si>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</si>
  <si>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</si>
  <si>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</si>
  <si>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</si>
  <si>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</si>
  <si>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</si>
  <si>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</si>
  <si>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</si>
  <si>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</si>
  <si>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</si>
  <si>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</si>
  <si>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</si>
  <si>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</si>
  <si>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</si>
  <si>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</si>
  <si>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</si>
  <si>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</si>
  <si>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</si>
  <si>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</si>
  <si>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</si>
  <si>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</si>
  <si>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</si>
  <si>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</si>
  <si>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</si>
  <si>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</si>
  <si>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</si>
  <si>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</si>
  <si>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</si>
  <si>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</si>
  <si>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</si>
  <si>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</si>
  <si>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</si>
  <si>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</si>
  <si>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</si>
  <si>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</si>
  <si>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</si>
  <si>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</si>
  <si>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</si>
  <si>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</si>
  <si>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</si>
  <si>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</si>
  <si>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</si>
  <si>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</si>
  <si>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</si>
  <si>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</si>
  <si>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</si>
  <si>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</si>
  <si>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</si>
  <si>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</si>
  <si>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</si>
  <si>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</si>
  <si>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</si>
  <si>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</si>
  <si>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</si>
  <si>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</si>
  <si>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</si>
  <si>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</si>
  <si>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</si>
  <si>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</si>
  <si>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</si>
  <si>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</si>
  <si>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</si>
  <si>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</si>
  <si>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</si>
  <si>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</si>
  <si>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</si>
  <si>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</si>
  <si>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</si>
  <si>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</si>
  <si>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marzo 2017</t>
  </si>
  <si>
    <t>acumulado marzo 2017</t>
  </si>
  <si>
    <t>Muestra hotelera= 92,1%;   Muestra extrahotelera= 66,7%;   Muestra total= 81,5%</t>
  </si>
  <si>
    <t>El gasto medio total por turista en el año 2015 ha ascendido a 1.125,1€ . Se incrementa  un 5,8% respecto al mismo periodo del año anterior.</t>
  </si>
  <si>
    <t>El gasto medio por turista en origen se situó en 740,4€, un 6,0% más que en el año 2014.</t>
  </si>
  <si>
    <t>El gasto total diario por turista se situó en 116,1€, un 2,9% más que en el año 2014.</t>
  </si>
  <si>
    <t>El gasto medio en Tenerife, por turista y día  fue de 39,8€, experimentando un incremento del 1,9% respecto a el año 2014.</t>
  </si>
  <si>
    <t>año 2015 
Encuesta al Turismo Receptivo del Cabildo de Tenerife</t>
  </si>
  <si>
    <t>El número de plazas autorizadas por Policía Turística a fecha de marzo 2017 asciendían a 137.188 plazas, registrando un incremento del 0,5% respecto al cierre del año 2016.</t>
  </si>
  <si>
    <t>Las plazas hoteleras autorizadas ascienden a 84.679 y representan el 62% del total. Con respecto al año 2016, las plazas hoteleras se incrementan un 0,1%.</t>
  </si>
  <si>
    <t>Las plazas extrahoteleras autorizadas, el 37% del total, ascienden a  51.046 (no incluye oferta rural). Aumentan un +1,0% respecto al cierre de 2016.</t>
  </si>
  <si>
    <t>Las plazas de hoteles rurales autorizadas por Policía Turística ascienden a 557, con un incremento del 0,0% respecto a 2016.</t>
  </si>
  <si>
    <t>Las plazas de casas rurales autorizadas por Policía Turística ascienden a 906, registrando un incremento del 0,2% respecto a 2016.</t>
  </si>
  <si>
    <t>Las plazas estimadas por el STDE del Cabildo de Tenerife en el I semestre de 2017 ascienden a 159.070. Se incremantan un 0,5% respecto al mismo período del año anterior.</t>
  </si>
  <si>
    <t>La oferta extrahotelera estimada por el STDE del Cabildo de Tenerife en el I semestre de 2017, asciende a 66.292 plazas, incluyendo oferta rural. Supone el 41,7% del total de las plazas turísticas, registrando un incremento del 0,8%.</t>
  </si>
  <si>
    <t>Las plazas estimadas para la zona de La Laguna, Bajamar, La Punta ascienden a 1.082 en el I semestre de 2017, registrando un incremento respecto al mismo periodo del año anterior del 13,1%.</t>
  </si>
  <si>
    <t>Las plazas extrahoteleras se estiman en 504, registrándose un incremento del 40,4% respecto al I semestre del año anterior.</t>
  </si>
  <si>
    <t>Las plazas totales estimadas para la zona Norte se sitúan en las 27.957 plazas,  registrándose un incremento del 4,1% con respecto al incremento del 40,4% respecto al I semestre del año anterior.</t>
  </si>
  <si>
    <t>Las plazas extrahoteleras estimadas se sitúan en las 56.691 en el I semestre del  2017, con un descenso del -0,4%  respecto al I semestre del año anterior.</t>
  </si>
  <si>
    <t>Por el Puerto de Santa Cruz de Tenerife han pasado en los primeros tres meses del año 2017, 179.541 cruceristas, un -6,9% menos en comparación al mismo período del año 2016</t>
  </si>
  <si>
    <t>El número de buques de crucero en el Puerto de Santa Cruz de Tenerife hasta marzo 2017 ascienden a un total de 0 cruceros, cifra que se reduce un -100,0% respecto al mismo período del año anterior.</t>
  </si>
  <si>
    <t>Acumulado marzo 2017
FUENTE: Autoridad Portuaria de S/C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</si>
</sst>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9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08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165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4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94" xfId="0" applyFont="1" applyFill="1" applyBorder="1" applyAlignment="1" applyProtection="1">
      <alignment horizontal="left" vertical="center" wrapText="1"/>
      <protection hidden="1"/>
    </xf>
    <xf numFmtId="0" fontId="2" fillId="7" borderId="95" xfId="0" applyFont="1" applyFill="1" applyBorder="1" applyAlignment="1" applyProtection="1">
      <alignment horizontal="left" vertical="center" wrapText="1"/>
      <protection hidden="1"/>
    </xf>
    <xf numFmtId="0" fontId="12" fillId="0" borderId="96" xfId="0" applyFont="1" applyFill="1" applyBorder="1" applyAlignment="1" applyProtection="1">
      <alignment horizontal="center" vertical="center" wrapText="1"/>
      <protection hidden="1"/>
    </xf>
    <xf numFmtId="0" fontId="12" fillId="7" borderId="97" xfId="0" applyFont="1" applyFill="1" applyBorder="1" applyAlignment="1" applyProtection="1">
      <alignment horizontal="center" vertical="center" wrapText="1"/>
      <protection hidden="1"/>
    </xf>
    <xf numFmtId="0" fontId="12" fillId="7" borderId="98" xfId="0" applyFont="1" applyFill="1" applyBorder="1" applyAlignment="1" applyProtection="1">
      <alignment horizontal="center" vertical="center" wrapText="1"/>
      <protection hidden="1"/>
    </xf>
    <xf numFmtId="165" fontId="10" fillId="7" borderId="9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8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98" xfId="0" applyFont="1" applyFill="1" applyBorder="1" applyAlignment="1" applyProtection="1">
      <alignment horizontal="left" vertical="center" wrapText="1"/>
      <protection hidden="1"/>
    </xf>
    <xf numFmtId="0" fontId="0" fillId="0" borderId="98" xfId="0" applyBorder="1" applyAlignment="1">
      <alignment horizontal="left" vertical="center" wrapText="1"/>
    </xf>
    <xf numFmtId="0" fontId="0" fillId="0" borderId="99" xfId="0" applyBorder="1" applyAlignment="1">
      <alignment horizontal="left" vertical="center" wrapText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165" fontId="10" fillId="7" borderId="10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1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01" xfId="0" applyFont="1" applyFill="1" applyBorder="1" applyAlignment="1" applyProtection="1">
      <alignment horizontal="left" vertical="center" wrapText="1"/>
      <protection hidden="1"/>
    </xf>
    <xf numFmtId="0" fontId="0" fillId="0" borderId="101" xfId="0" applyBorder="1" applyAlignment="1">
      <alignment horizontal="left" vertical="center" wrapText="1"/>
    </xf>
    <xf numFmtId="0" fontId="0" fillId="0" borderId="102" xfId="0" applyBorder="1" applyAlignment="1">
      <alignment horizontal="left" vertical="center" wrapText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165" fontId="10" fillId="0" borderId="10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4" xfId="0" applyFont="1" applyFill="1" applyBorder="1" applyAlignment="1" applyProtection="1">
      <alignment horizontal="left" vertical="center" wrapText="1"/>
      <protection hidden="1"/>
    </xf>
    <xf numFmtId="0" fontId="0" fillId="0" borderId="104" xfId="0" applyBorder="1" applyAlignment="1">
      <alignment horizontal="left" vertical="center" wrapText="1"/>
    </xf>
    <xf numFmtId="0" fontId="0" fillId="0" borderId="105" xfId="0" applyBorder="1" applyAlignment="1">
      <alignment horizontal="left" vertical="center" wrapText="1"/>
    </xf>
    <xf numFmtId="0" fontId="12" fillId="0" borderId="97" xfId="0" applyFont="1" applyFill="1" applyBorder="1" applyAlignment="1" applyProtection="1">
      <alignment horizontal="center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165" fontId="10" fillId="0" borderId="9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8" xfId="0" applyFont="1" applyFill="1" applyBorder="1" applyAlignment="1" applyProtection="1">
      <alignment horizontal="left" vertical="center" wrapText="1"/>
      <protection hidden="1"/>
    </xf>
    <xf numFmtId="0" fontId="12" fillId="0" borderId="106" xfId="0" applyFont="1" applyFill="1" applyBorder="1" applyAlignment="1" applyProtection="1">
      <alignment horizontal="center" vertical="center" wrapText="1"/>
      <protection hidden="1"/>
    </xf>
    <xf numFmtId="0" fontId="12" fillId="0" borderId="107" xfId="0" applyFont="1" applyFill="1" applyBorder="1" applyAlignment="1" applyProtection="1">
      <alignment horizontal="center" vertical="center" wrapText="1"/>
      <protection hidden="1"/>
    </xf>
    <xf numFmtId="165" fontId="10" fillId="0" borderId="10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7" xfId="0" applyFont="1" applyFill="1" applyBorder="1" applyAlignment="1" applyProtection="1">
      <alignment horizontal="left" vertical="center" wrapText="1"/>
      <protection hidden="1"/>
    </xf>
    <xf numFmtId="0" fontId="0" fillId="0" borderId="107" xfId="0" applyBorder="1" applyAlignment="1">
      <alignment horizontal="left" vertical="center" wrapText="1"/>
    </xf>
    <xf numFmtId="0" fontId="0" fillId="0" borderId="108" xfId="0" applyBorder="1" applyAlignment="1">
      <alignment horizontal="left" vertical="center" wrapText="1"/>
    </xf>
    <xf numFmtId="0" fontId="6" fillId="4" borderId="109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10" xfId="0" applyFont="1" applyFill="1" applyBorder="1" applyAlignment="1" applyProtection="1">
      <alignment horizontal="center" vertical="center" wrapText="1"/>
      <protection hidden="1"/>
    </xf>
    <xf numFmtId="3" fontId="10" fillId="5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0" fontId="2" fillId="5" borderId="111" xfId="0" applyFont="1" applyFill="1" applyBorder="1" applyAlignment="1" applyProtection="1">
      <alignment horizontal="left" vertical="center" wrapText="1"/>
      <protection hidden="1"/>
    </xf>
    <xf numFmtId="0" fontId="2" fillId="5" borderId="112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3" xfId="0" applyFont="1" applyFill="1" applyBorder="1" applyAlignment="1" applyProtection="1">
      <alignment horizontal="center" vertical="center" wrapText="1"/>
      <protection hidden="1"/>
    </xf>
    <xf numFmtId="3" fontId="10" fillId="0" borderId="11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4" xfId="0" applyFont="1" applyFill="1" applyBorder="1" applyAlignment="1" applyProtection="1">
      <alignment horizontal="left" vertical="center" wrapText="1"/>
      <protection hidden="1"/>
    </xf>
    <xf numFmtId="0" fontId="0" fillId="0" borderId="114" xfId="0" applyBorder="1" applyAlignment="1">
      <alignment horizontal="left" vertical="center" wrapText="1"/>
    </xf>
    <xf numFmtId="0" fontId="0" fillId="0" borderId="115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3" xfId="0" applyFont="1" applyFill="1" applyBorder="1" applyAlignment="1" applyProtection="1">
      <alignment horizontal="center" vertical="center" wrapText="1"/>
      <protection hidden="1"/>
    </xf>
    <xf numFmtId="3" fontId="10" fillId="7" borderId="11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4" xfId="0" applyFont="1" applyFill="1" applyBorder="1" applyAlignment="1" applyProtection="1">
      <alignment horizontal="left" vertical="center" wrapText="1"/>
      <protection hidden="1"/>
    </xf>
    <xf numFmtId="0" fontId="12" fillId="7" borderId="116" xfId="0" applyFont="1" applyFill="1" applyBorder="1" applyAlignment="1" applyProtection="1">
      <alignment horizontal="center" vertical="center" wrapText="1"/>
      <protection hidden="1"/>
    </xf>
    <xf numFmtId="3" fontId="10" fillId="7" borderId="11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7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17" xfId="0" applyFont="1" applyFill="1" applyBorder="1" applyAlignment="1" applyProtection="1">
      <alignment horizontal="left" vertical="center" wrapText="1"/>
      <protection hidden="1"/>
    </xf>
    <xf numFmtId="0" fontId="0" fillId="0" borderId="117" xfId="0" applyBorder="1" applyAlignment="1">
      <alignment horizontal="left" vertical="center" wrapText="1"/>
    </xf>
    <xf numFmtId="0" fontId="0" fillId="0" borderId="118" xfId="0" applyBorder="1" applyAlignment="1">
      <alignment horizontal="left" vertical="center" wrapText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9" xfId="0" applyFont="1" applyFill="1" applyBorder="1" applyAlignment="1" applyProtection="1">
      <alignment horizontal="center" vertical="center" wrapText="1"/>
      <protection hidden="1"/>
    </xf>
    <xf numFmtId="0" fontId="8" fillId="5" borderId="120" xfId="0" applyFont="1" applyFill="1" applyBorder="1" applyAlignment="1" applyProtection="1">
      <alignment horizontal="center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22" xfId="0" applyFont="1" applyFill="1" applyBorder="1" applyAlignment="1" applyProtection="1">
      <alignment horizontal="justify" vertical="center" wrapText="1"/>
      <protection hidden="1"/>
    </xf>
    <xf numFmtId="0" fontId="8" fillId="5" borderId="123" xfId="0" applyFont="1" applyFill="1" applyBorder="1" applyAlignment="1" applyProtection="1">
      <alignment horizontal="center" vertical="center" wrapText="1"/>
      <protection hidden="1"/>
    </xf>
    <xf numFmtId="0" fontId="8" fillId="5" borderId="124" xfId="0" applyFont="1" applyFill="1" applyBorder="1" applyAlignment="1" applyProtection="1">
      <alignment horizontal="center" vertical="center" wrapText="1"/>
      <protection hidden="1"/>
    </xf>
    <xf numFmtId="0" fontId="8" fillId="5" borderId="125" xfId="0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6" xfId="0" applyFont="1" applyFill="1" applyBorder="1" applyAlignment="1" applyProtection="1">
      <alignment horizontal="justify" vertical="center" wrapText="1"/>
      <protection hidden="1"/>
    </xf>
    <xf numFmtId="0" fontId="8" fillId="5" borderId="127" xfId="0" applyFont="1" applyFill="1" applyBorder="1" applyAlignment="1" applyProtection="1">
      <alignment horizontal="center" vertical="center" wrapText="1"/>
      <protection hidden="1"/>
    </xf>
    <xf numFmtId="0" fontId="8" fillId="5" borderId="128" xfId="0" applyFont="1" applyFill="1" applyBorder="1" applyAlignment="1" applyProtection="1">
      <alignment horizontal="center" vertical="center" wrapText="1"/>
      <protection hidden="1"/>
    </xf>
    <xf numFmtId="0" fontId="8" fillId="5" borderId="129" xfId="0" applyFont="1" applyFill="1" applyBorder="1" applyAlignment="1" applyProtection="1">
      <alignment horizontal="center" vertical="center" wrapText="1"/>
      <protection hidden="1"/>
    </xf>
    <xf numFmtId="3" fontId="9" fillId="5" borderId="130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0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30" xfId="0" applyFont="1" applyFill="1" applyBorder="1" applyAlignment="1" applyProtection="1">
      <alignment horizontal="justify" vertical="center" wrapText="1"/>
      <protection hidden="1"/>
    </xf>
    <xf numFmtId="0" fontId="20" fillId="5" borderId="131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32" xfId="0" applyFont="1" applyFill="1" applyBorder="1" applyAlignment="1" applyProtection="1">
      <alignment horizontal="center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134" xfId="0" applyFont="1" applyFill="1" applyBorder="1" applyAlignment="1" applyProtection="1">
      <alignment horizontal="center" vertical="center" wrapText="1"/>
      <protection hidden="1"/>
    </xf>
    <xf numFmtId="3" fontId="10" fillId="0" borderId="13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5" xfId="0" applyFont="1" applyFill="1" applyBorder="1" applyAlignment="1" applyProtection="1">
      <alignment horizontal="justify" vertical="center" wrapText="1"/>
      <protection hidden="1"/>
    </xf>
    <xf numFmtId="0" fontId="2" fillId="0" borderId="136" xfId="0" applyFont="1" applyFill="1" applyBorder="1" applyAlignment="1" applyProtection="1">
      <alignment horizontal="justify" vertical="center" wrapText="1"/>
      <protection hidden="1"/>
    </xf>
    <xf numFmtId="0" fontId="12" fillId="0" borderId="137" xfId="0" applyFont="1" applyFill="1" applyBorder="1" applyAlignment="1" applyProtection="1">
      <alignment horizontal="center" vertical="center" wrapText="1"/>
      <protection hidden="1"/>
    </xf>
    <xf numFmtId="0" fontId="12" fillId="0" borderId="138" xfId="0" applyFont="1" applyFill="1" applyBorder="1" applyAlignment="1" applyProtection="1">
      <alignment horizontal="center" vertical="center" wrapText="1"/>
      <protection hidden="1"/>
    </xf>
    <xf numFmtId="0" fontId="12" fillId="0" borderId="129" xfId="0" applyFont="1" applyFill="1" applyBorder="1" applyAlignment="1" applyProtection="1">
      <alignment horizontal="center" vertical="center" wrapText="1"/>
      <protection hidden="1"/>
    </xf>
    <xf numFmtId="3" fontId="10" fillId="0" borderId="13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30" xfId="0" applyFont="1" applyFill="1" applyBorder="1" applyAlignment="1" applyProtection="1">
      <alignment horizontal="justify" vertical="center" wrapText="1"/>
      <protection hidden="1"/>
    </xf>
    <xf numFmtId="0" fontId="2" fillId="0" borderId="131" xfId="0" applyFont="1" applyFill="1" applyBorder="1" applyAlignment="1" applyProtection="1">
      <alignment horizontal="justify" vertical="center" wrapText="1"/>
      <protection hidden="1"/>
    </xf>
    <xf numFmtId="0" fontId="12" fillId="7" borderId="132" xfId="0" applyFont="1" applyFill="1" applyBorder="1" applyAlignment="1" applyProtection="1">
      <alignment horizontal="center" vertical="center" wrapText="1"/>
      <protection hidden="1"/>
    </xf>
    <xf numFmtId="0" fontId="12" fillId="7" borderId="133" xfId="0" applyFont="1" applyFill="1" applyBorder="1" applyAlignment="1" applyProtection="1">
      <alignment horizontal="center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3" fontId="10" fillId="7" borderId="135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5" xfId="0" applyFont="1" applyFill="1" applyBorder="1" applyAlignment="1" applyProtection="1">
      <alignment horizontal="justify" vertical="center" wrapText="1"/>
      <protection hidden="1"/>
    </xf>
    <xf numFmtId="0" fontId="2" fillId="7" borderId="136" xfId="0" applyFont="1" applyFill="1" applyBorder="1" applyAlignment="1" applyProtection="1">
      <alignment horizontal="justify" vertical="center" wrapText="1"/>
      <protection hidden="1"/>
    </xf>
    <xf numFmtId="0" fontId="12" fillId="7" borderId="139" xfId="0" applyFont="1" applyFill="1" applyBorder="1" applyAlignment="1" applyProtection="1">
      <alignment horizontal="center" vertical="center" wrapText="1"/>
      <protection hidden="1"/>
    </xf>
    <xf numFmtId="0" fontId="12" fillId="7" borderId="140" xfId="0" applyFont="1" applyFill="1" applyBorder="1" applyAlignment="1" applyProtection="1">
      <alignment horizontal="center" vertical="center" wrapText="1"/>
      <protection hidden="1"/>
    </xf>
    <xf numFmtId="0" fontId="12" fillId="7" borderId="125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6" xfId="0" applyFont="1" applyFill="1" applyBorder="1" applyAlignment="1" applyProtection="1">
      <alignment horizontal="justify" vertical="center" wrapText="1"/>
      <protection hidden="1"/>
    </xf>
    <xf numFmtId="0" fontId="12" fillId="7" borderId="137" xfId="0" applyFont="1" applyFill="1" applyBorder="1" applyAlignment="1" applyProtection="1">
      <alignment horizontal="center" vertical="center" wrapText="1"/>
      <protection hidden="1"/>
    </xf>
    <xf numFmtId="0" fontId="12" fillId="7" borderId="138" xfId="0" applyFont="1" applyFill="1" applyBorder="1" applyAlignment="1" applyProtection="1">
      <alignment horizontal="center" vertical="center" wrapText="1"/>
      <protection hidden="1"/>
    </xf>
    <xf numFmtId="0" fontId="12" fillId="7" borderId="129" xfId="0" applyFont="1" applyFill="1" applyBorder="1" applyAlignment="1" applyProtection="1">
      <alignment horizontal="center" vertical="center" wrapText="1"/>
      <protection hidden="1"/>
    </xf>
    <xf numFmtId="3" fontId="10" fillId="7" borderId="130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0" xfId="0" applyFont="1" applyFill="1" applyBorder="1" applyAlignment="1" applyProtection="1">
      <alignment horizontal="justify" vertical="center" wrapText="1"/>
      <protection hidden="1"/>
    </xf>
    <xf numFmtId="0" fontId="2" fillId="7" borderId="131" xfId="0" applyFont="1" applyFill="1" applyBorder="1" applyAlignment="1" applyProtection="1">
      <alignment horizontal="justify" vertical="center" wrapText="1"/>
      <protection hidden="1"/>
    </xf>
    <xf numFmtId="0" fontId="12" fillId="0" borderId="141" xfId="0" applyFont="1" applyFill="1" applyBorder="1" applyAlignment="1" applyProtection="1">
      <alignment horizontal="center" vertical="center" wrapText="1"/>
      <protection hidden="1"/>
    </xf>
    <xf numFmtId="0" fontId="12" fillId="0" borderId="142" xfId="0" applyFont="1" applyFill="1" applyBorder="1" applyAlignment="1" applyProtection="1">
      <alignment horizontal="center" vertical="center" wrapText="1"/>
      <protection hidden="1"/>
    </xf>
    <xf numFmtId="0" fontId="12" fillId="0" borderId="123" xfId="0" applyFont="1" applyFill="1" applyBorder="1" applyAlignment="1" applyProtection="1">
      <alignment horizontal="center" vertical="center" wrapText="1"/>
      <protection hidden="1"/>
    </xf>
    <xf numFmtId="0" fontId="12" fillId="0" borderId="124" xfId="0" applyFont="1" applyFill="1" applyBorder="1" applyAlignment="1" applyProtection="1">
      <alignment horizontal="center" vertical="center" wrapText="1"/>
      <protection hidden="1"/>
    </xf>
    <xf numFmtId="0" fontId="12" fillId="0" borderId="125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6" xfId="0" applyFont="1" applyFill="1" applyBorder="1" applyAlignment="1" applyProtection="1">
      <alignment horizontal="justify" vertical="center" wrapText="1"/>
      <protection hidden="1"/>
    </xf>
    <xf numFmtId="0" fontId="12" fillId="0" borderId="127" xfId="0" applyFont="1" applyFill="1" applyBorder="1" applyAlignment="1" applyProtection="1">
      <alignment horizontal="center" vertical="center" wrapText="1"/>
      <protection hidden="1"/>
    </xf>
    <xf numFmtId="0" fontId="12" fillId="0" borderId="128" xfId="0" applyFont="1" applyFill="1" applyBorder="1" applyAlignment="1" applyProtection="1">
      <alignment horizontal="center" vertical="center" wrapText="1"/>
      <protection hidden="1"/>
    </xf>
    <xf numFmtId="0" fontId="12" fillId="6" borderId="132" xfId="0" applyFont="1" applyFill="1" applyBorder="1" applyAlignment="1" applyProtection="1">
      <alignment horizontal="center" vertical="center" wrapText="1"/>
      <protection hidden="1"/>
    </xf>
    <xf numFmtId="0" fontId="12" fillId="6" borderId="133" xfId="0" applyFont="1" applyFill="1" applyBorder="1" applyAlignment="1" applyProtection="1">
      <alignment horizontal="center" vertical="center" wrapText="1"/>
      <protection hidden="1"/>
    </xf>
    <xf numFmtId="0" fontId="12" fillId="6" borderId="134" xfId="0" applyFont="1" applyFill="1" applyBorder="1" applyAlignment="1" applyProtection="1">
      <alignment horizontal="center" vertical="center" wrapText="1"/>
      <protection hidden="1"/>
    </xf>
    <xf numFmtId="3" fontId="10" fillId="6" borderId="135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9" xfId="0" applyFont="1" applyFill="1" applyBorder="1" applyAlignment="1" applyProtection="1">
      <alignment horizontal="center" vertical="center" wrapText="1"/>
      <protection hidden="1"/>
    </xf>
    <xf numFmtId="0" fontId="12" fillId="6" borderId="140" xfId="0" applyFont="1" applyFill="1" applyBorder="1" applyAlignment="1" applyProtection="1">
      <alignment horizontal="center" vertical="center" wrapText="1"/>
      <protection hidden="1"/>
    </xf>
    <xf numFmtId="0" fontId="12" fillId="6" borderId="125" xfId="0" applyFont="1" applyFill="1" applyBorder="1" applyAlignment="1" applyProtection="1">
      <alignment horizontal="center" vertical="center" wrapText="1"/>
      <protection hidden="1"/>
    </xf>
    <xf numFmtId="0" fontId="12" fillId="6" borderId="143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44" xfId="0" applyFont="1" applyFill="1" applyBorder="1" applyAlignment="1" applyProtection="1">
      <alignment horizontal="justify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0" fontId="12" fillId="0" borderId="145" xfId="0" applyFont="1" applyFill="1" applyBorder="1" applyAlignment="1" applyProtection="1">
      <alignment horizontal="center" vertical="center" wrapText="1"/>
      <protection hidden="1"/>
    </xf>
    <xf numFmtId="0" fontId="12" fillId="0" borderId="146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justify" vertical="center" wrapText="1"/>
      <protection hidden="1"/>
    </xf>
    <xf numFmtId="0" fontId="2" fillId="0" borderId="112" xfId="0" applyFont="1" applyFill="1" applyBorder="1" applyAlignment="1" applyProtection="1">
      <alignment horizontal="justify" vertical="center" wrapText="1"/>
      <protection hidden="1"/>
    </xf>
    <xf numFmtId="0" fontId="12" fillId="7" borderId="147" xfId="0" applyFont="1" applyFill="1" applyBorder="1" applyAlignment="1" applyProtection="1">
      <alignment horizontal="center" vertical="center" wrapText="1"/>
      <protection hidden="1"/>
    </xf>
    <xf numFmtId="0" fontId="2" fillId="7" borderId="117" xfId="0" applyFont="1" applyFill="1" applyBorder="1" applyAlignment="1" applyProtection="1">
      <alignment horizontal="justify" vertical="center" wrapText="1"/>
      <protection hidden="1"/>
    </xf>
    <xf numFmtId="0" fontId="2" fillId="7" borderId="118" xfId="0" applyFont="1" applyFill="1" applyBorder="1" applyAlignment="1" applyProtection="1">
      <alignment horizontal="justify" vertical="center" wrapText="1"/>
      <protection hidden="1"/>
    </xf>
    <xf numFmtId="0" fontId="2" fillId="0" borderId="148" xfId="0" applyFont="1" applyFill="1" applyBorder="1" applyAlignment="1" applyProtection="1">
      <alignment vertical="center" wrapText="1"/>
      <protection hidden="1"/>
    </xf>
    <xf numFmtId="0" fontId="2" fillId="0" borderId="148" xfId="0" applyFont="1" applyBorder="1" applyAlignment="1" applyProtection="1">
      <alignment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/>
    <cellStyle name="Porcentaje" xfId="1" builtinId="5"/>
  </cellStyles>
  <dxfs count="258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C85B3B51-8A93-4DC9-9885-3C8A7B991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2EDAC3D2-25DD-4BD7-B97F-AC567D038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25D7EC9E-F0C1-49EC-AF15-1FB491AA9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C8E92DC7-DBC3-4F23-8EFC-DDC438BF6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293</xdr:row>
      <xdr:rowOff>0</xdr:rowOff>
    </xdr:from>
    <xdr:to>
      <xdr:col>2</xdr:col>
      <xdr:colOff>1200149</xdr:colOff>
      <xdr:row>294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42F7943B-D62E-48DD-B285-D5641463E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028050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316</xdr:row>
      <xdr:rowOff>47625</xdr:rowOff>
    </xdr:from>
    <xdr:to>
      <xdr:col>9</xdr:col>
      <xdr:colOff>390525</xdr:colOff>
      <xdr:row>317</xdr:row>
      <xdr:rowOff>314324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675705D-DD2F-4697-B85D-73C52C9FD1D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0705325"/>
          <a:ext cx="5076825" cy="438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BOLETIN%20ESTAD&#205;STICO%20SPET/INDICADORES%20TURISTICOS%20DE%20TENERIFE/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2">
    <tabColor theme="5" tint="0.39997558519241921"/>
  </sheetPr>
  <dimension ref="B1:T332"/>
  <sheetViews>
    <sheetView showGridLines="0" tabSelected="1" showRuler="0" topLeftCell="A13" zoomScale="85" zoomScaleNormal="85" workbookViewId="0">
      <selection activeCell="S62" sqref="S62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bestFit="1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92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93</v>
      </c>
      <c r="D2" s="6"/>
      <c r="E2" s="6"/>
      <c r="F2" s="6"/>
      <c r="G2" s="6"/>
      <c r="H2" s="7"/>
      <c r="I2" s="8" t="s">
        <v>94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471494</v>
      </c>
      <c r="G9" s="36">
        <v>-2.3057382382071223E-2</v>
      </c>
      <c r="H9" s="37"/>
      <c r="I9" s="38" t="s">
        <v>7</v>
      </c>
      <c r="J9" s="39" t="s">
        <v>8</v>
      </c>
      <c r="K9" s="40">
        <v>1325897</v>
      </c>
      <c r="L9" s="41">
        <v>-1.464766458557365E-2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322232</v>
      </c>
      <c r="G10" s="47">
        <v>-1.6664988266456682E-2</v>
      </c>
      <c r="H10" s="48"/>
      <c r="I10" s="43"/>
      <c r="J10" s="45" t="s">
        <v>10</v>
      </c>
      <c r="K10" s="46">
        <v>912041</v>
      </c>
      <c r="L10" s="49">
        <v>-5.1377091489400728E-3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149262</v>
      </c>
      <c r="G11" s="36">
        <v>-3.6578045427260175E-2</v>
      </c>
      <c r="H11" s="48"/>
      <c r="I11" s="53"/>
      <c r="J11" s="54" t="s">
        <v>11</v>
      </c>
      <c r="K11" s="55">
        <v>413856</v>
      </c>
      <c r="L11" s="56">
        <v>-3.4976775421120321E-2</v>
      </c>
      <c r="M11" s="42"/>
    </row>
    <row r="12" spans="2:13" ht="24.75" hidden="1" customHeight="1" x14ac:dyDescent="0.2">
      <c r="C12" s="57" t="s">
        <v>12</v>
      </c>
      <c r="D12" s="58"/>
      <c r="E12" s="59" t="s">
        <v>8</v>
      </c>
      <c r="F12" s="60">
        <v>23720</v>
      </c>
      <c r="G12" s="61">
        <v>2.5375005403535988E-2</v>
      </c>
      <c r="H12" s="62"/>
      <c r="I12" s="57" t="s">
        <v>12</v>
      </c>
      <c r="J12" s="59" t="s">
        <v>8</v>
      </c>
      <c r="K12" s="60">
        <v>65909</v>
      </c>
      <c r="L12" s="41">
        <v>-1.1236460739896148E-2</v>
      </c>
      <c r="M12" s="42"/>
    </row>
    <row r="13" spans="2:13" ht="46.5" customHeight="1" thickBot="1" x14ac:dyDescent="0.25">
      <c r="C13" s="63"/>
      <c r="D13" s="64"/>
      <c r="E13" s="65" t="s">
        <v>10</v>
      </c>
      <c r="F13" s="66">
        <v>23720</v>
      </c>
      <c r="G13" s="47">
        <v>2.7952329360779959E-2</v>
      </c>
      <c r="H13" s="62"/>
      <c r="I13" s="63"/>
      <c r="J13" s="65" t="s">
        <v>10</v>
      </c>
      <c r="K13" s="66">
        <v>65909</v>
      </c>
      <c r="L13" s="49">
        <v>-8.6486974309608611E-3</v>
      </c>
      <c r="M13" s="42"/>
    </row>
    <row r="14" spans="2:13" ht="24.75" hidden="1" customHeight="1" x14ac:dyDescent="0.2">
      <c r="C14" s="67"/>
      <c r="D14" s="68"/>
      <c r="E14" s="69" t="s">
        <v>11</v>
      </c>
      <c r="F14" s="70">
        <v>0</v>
      </c>
      <c r="G14" s="71">
        <v>-1</v>
      </c>
      <c r="H14" s="62"/>
      <c r="I14" s="67"/>
      <c r="J14" s="69" t="s">
        <v>11</v>
      </c>
      <c r="K14" s="70">
        <v>0</v>
      </c>
      <c r="L14" s="56">
        <v>-1</v>
      </c>
      <c r="M14" s="42"/>
    </row>
    <row r="15" spans="2:13" ht="24.75" customHeight="1" x14ac:dyDescent="0.2">
      <c r="C15" s="72" t="s">
        <v>13</v>
      </c>
      <c r="D15" s="73"/>
      <c r="E15" s="74" t="s">
        <v>8</v>
      </c>
      <c r="F15" s="75">
        <v>4232</v>
      </c>
      <c r="G15" s="61">
        <v>7.0308548305513474E-2</v>
      </c>
      <c r="H15" s="62"/>
      <c r="I15" s="72" t="s">
        <v>13</v>
      </c>
      <c r="J15" s="74" t="s">
        <v>8</v>
      </c>
      <c r="K15" s="75">
        <v>12474</v>
      </c>
      <c r="L15" s="41">
        <v>7.4141048824593048E-2</v>
      </c>
      <c r="M15" s="42"/>
    </row>
    <row r="16" spans="2:13" ht="24.75" customHeight="1" x14ac:dyDescent="0.2">
      <c r="C16" s="76"/>
      <c r="D16" s="77"/>
      <c r="E16" s="78" t="s">
        <v>10</v>
      </c>
      <c r="F16" s="79">
        <v>2967</v>
      </c>
      <c r="G16" s="47">
        <v>-5.9885931558935401E-2</v>
      </c>
      <c r="H16" s="62"/>
      <c r="I16" s="76"/>
      <c r="J16" s="78" t="s">
        <v>10</v>
      </c>
      <c r="K16" s="79">
        <v>9280</v>
      </c>
      <c r="L16" s="49">
        <v>-1.9442096365173245E-2</v>
      </c>
      <c r="M16" s="42"/>
    </row>
    <row r="17" spans="3:13" ht="24.75" customHeight="1" thickBot="1" x14ac:dyDescent="0.25">
      <c r="C17" s="80"/>
      <c r="D17" s="81"/>
      <c r="E17" s="82" t="s">
        <v>11</v>
      </c>
      <c r="F17" s="83">
        <v>1265</v>
      </c>
      <c r="G17" s="71">
        <v>0.58521303258145374</v>
      </c>
      <c r="H17" s="62"/>
      <c r="I17" s="80"/>
      <c r="J17" s="82" t="s">
        <v>11</v>
      </c>
      <c r="K17" s="83">
        <v>3194</v>
      </c>
      <c r="L17" s="56">
        <v>0.4862726849697534</v>
      </c>
      <c r="M17" s="42"/>
    </row>
    <row r="18" spans="3:13" ht="24.75" customHeight="1" x14ac:dyDescent="0.2">
      <c r="C18" s="57" t="s">
        <v>14</v>
      </c>
      <c r="D18" s="58"/>
      <c r="E18" s="59" t="s">
        <v>8</v>
      </c>
      <c r="F18" s="60">
        <v>87019</v>
      </c>
      <c r="G18" s="61">
        <v>3.370079114299962E-2</v>
      </c>
      <c r="H18" s="62"/>
      <c r="I18" s="57" t="s">
        <v>14</v>
      </c>
      <c r="J18" s="59" t="s">
        <v>8</v>
      </c>
      <c r="K18" s="60">
        <v>239412</v>
      </c>
      <c r="L18" s="41">
        <v>5.5561924077421665E-2</v>
      </c>
      <c r="M18" s="42"/>
    </row>
    <row r="19" spans="3:13" ht="24.75" customHeight="1" x14ac:dyDescent="0.2">
      <c r="C19" s="63"/>
      <c r="D19" s="64"/>
      <c r="E19" s="65" t="s">
        <v>10</v>
      </c>
      <c r="F19" s="66">
        <v>66004</v>
      </c>
      <c r="G19" s="47">
        <v>4.7134040899211582E-2</v>
      </c>
      <c r="H19" s="62"/>
      <c r="I19" s="63"/>
      <c r="J19" s="65" t="s">
        <v>10</v>
      </c>
      <c r="K19" s="66">
        <v>181625</v>
      </c>
      <c r="L19" s="49">
        <v>6.6174744059359414E-2</v>
      </c>
      <c r="M19" s="42"/>
    </row>
    <row r="20" spans="3:13" ht="24.75" customHeight="1" thickBot="1" x14ac:dyDescent="0.25">
      <c r="C20" s="67"/>
      <c r="D20" s="68"/>
      <c r="E20" s="69" t="s">
        <v>11</v>
      </c>
      <c r="F20" s="70">
        <v>21015</v>
      </c>
      <c r="G20" s="71">
        <v>-6.3359969738522315E-3</v>
      </c>
      <c r="H20" s="62"/>
      <c r="I20" s="67"/>
      <c r="J20" s="69" t="s">
        <v>11</v>
      </c>
      <c r="K20" s="70">
        <v>57787</v>
      </c>
      <c r="L20" s="56">
        <v>2.353962237415419E-2</v>
      </c>
      <c r="M20" s="42"/>
    </row>
    <row r="21" spans="3:13" ht="24.75" customHeight="1" x14ac:dyDescent="0.2">
      <c r="C21" s="84" t="s">
        <v>15</v>
      </c>
      <c r="D21" s="85"/>
      <c r="E21" s="86" t="s">
        <v>8</v>
      </c>
      <c r="F21" s="87">
        <v>356523</v>
      </c>
      <c r="G21" s="61">
        <v>-3.9935048323293421E-2</v>
      </c>
      <c r="H21" s="62"/>
      <c r="I21" s="84" t="s">
        <v>15</v>
      </c>
      <c r="J21" s="86" t="s">
        <v>8</v>
      </c>
      <c r="K21" s="87">
        <v>1008102</v>
      </c>
      <c r="L21" s="41">
        <v>-3.1161162719624547E-2</v>
      </c>
      <c r="M21" s="42"/>
    </row>
    <row r="22" spans="3:13" ht="24.75" customHeight="1" x14ac:dyDescent="0.2">
      <c r="C22" s="88"/>
      <c r="D22" s="89"/>
      <c r="E22" s="90" t="s">
        <v>10</v>
      </c>
      <c r="F22" s="91">
        <v>229541</v>
      </c>
      <c r="G22" s="47">
        <v>-3.7277344618314001E-2</v>
      </c>
      <c r="H22" s="62"/>
      <c r="I22" s="88"/>
      <c r="J22" s="90" t="s">
        <v>10</v>
      </c>
      <c r="K22" s="91">
        <v>655227</v>
      </c>
      <c r="L22" s="49">
        <v>-2.2707103129087747E-2</v>
      </c>
      <c r="M22" s="42"/>
    </row>
    <row r="23" spans="3:13" ht="24.75" customHeight="1" thickBot="1" x14ac:dyDescent="0.25">
      <c r="C23" s="92"/>
      <c r="D23" s="93"/>
      <c r="E23" s="94" t="s">
        <v>11</v>
      </c>
      <c r="F23" s="95">
        <v>126982</v>
      </c>
      <c r="G23" s="71">
        <v>-4.4702235864102824E-2</v>
      </c>
      <c r="H23" s="62"/>
      <c r="I23" s="92"/>
      <c r="J23" s="94" t="s">
        <v>11</v>
      </c>
      <c r="K23" s="95">
        <v>352875</v>
      </c>
      <c r="L23" s="56">
        <v>-4.6477065459704092E-2</v>
      </c>
      <c r="M23" s="42"/>
    </row>
    <row r="24" spans="3:13" ht="5.25" customHeight="1" thickBot="1" x14ac:dyDescent="0.25"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3:13" ht="20.100000000000001" customHeight="1" thickBot="1" x14ac:dyDescent="0.25">
      <c r="C25" s="27" t="s">
        <v>16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</row>
    <row r="26" spans="3:13" ht="5.25" customHeight="1" thickBot="1" x14ac:dyDescent="0.25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97"/>
    </row>
    <row r="27" spans="3:13" ht="24.95" customHeight="1" x14ac:dyDescent="0.2">
      <c r="C27" s="38" t="s">
        <v>7</v>
      </c>
      <c r="D27" s="98"/>
      <c r="E27" s="39" t="s">
        <v>8</v>
      </c>
      <c r="F27" s="35">
        <v>3497207</v>
      </c>
      <c r="G27" s="36">
        <v>-4.1031916912267152E-2</v>
      </c>
      <c r="H27" s="37"/>
      <c r="I27" s="38" t="s">
        <v>7</v>
      </c>
      <c r="J27" s="39" t="s">
        <v>8</v>
      </c>
      <c r="K27" s="40">
        <v>10383117</v>
      </c>
      <c r="L27" s="41">
        <v>-2.5341858687707997E-2</v>
      </c>
      <c r="M27" s="42" t="s">
        <v>9</v>
      </c>
    </row>
    <row r="28" spans="3:13" ht="24.95" customHeight="1" x14ac:dyDescent="0.2">
      <c r="C28" s="43"/>
      <c r="D28" s="44"/>
      <c r="E28" s="45" t="s">
        <v>10</v>
      </c>
      <c r="F28" s="46">
        <v>2257358</v>
      </c>
      <c r="G28" s="47">
        <v>-3.9796811201756599E-2</v>
      </c>
      <c r="H28" s="48"/>
      <c r="I28" s="43"/>
      <c r="J28" s="45" t="s">
        <v>10</v>
      </c>
      <c r="K28" s="46">
        <v>6681140</v>
      </c>
      <c r="L28" s="49">
        <v>-2.3945628438890698E-2</v>
      </c>
      <c r="M28" s="42"/>
    </row>
    <row r="29" spans="3:13" ht="24.95" customHeight="1" thickBot="1" x14ac:dyDescent="0.25">
      <c r="C29" s="53"/>
      <c r="D29" s="99"/>
      <c r="E29" s="54" t="s">
        <v>11</v>
      </c>
      <c r="F29" s="35">
        <v>1239849</v>
      </c>
      <c r="G29" s="36">
        <v>-4.3272499145399435E-2</v>
      </c>
      <c r="H29" s="48"/>
      <c r="I29" s="53"/>
      <c r="J29" s="54" t="s">
        <v>11</v>
      </c>
      <c r="K29" s="55">
        <v>3701977</v>
      </c>
      <c r="L29" s="56">
        <v>-2.7851620139195066E-2</v>
      </c>
      <c r="M29" s="42"/>
    </row>
    <row r="30" spans="3:13" ht="24.95" hidden="1" customHeight="1" x14ac:dyDescent="0.2">
      <c r="C30" s="57" t="s">
        <v>12</v>
      </c>
      <c r="D30" s="58"/>
      <c r="E30" s="59" t="s">
        <v>8</v>
      </c>
      <c r="F30" s="60">
        <v>55004</v>
      </c>
      <c r="G30" s="61">
        <v>-4.0220558725505562E-2</v>
      </c>
      <c r="H30" s="62"/>
      <c r="I30" s="57" t="s">
        <v>12</v>
      </c>
      <c r="J30" s="59" t="s">
        <v>8</v>
      </c>
      <c r="K30" s="60">
        <v>161034</v>
      </c>
      <c r="L30" s="41">
        <v>-2.4515237974085502E-2</v>
      </c>
      <c r="M30" s="42"/>
    </row>
    <row r="31" spans="3:13" ht="48" customHeight="1" thickBot="1" x14ac:dyDescent="0.25">
      <c r="C31" s="63"/>
      <c r="D31" s="64"/>
      <c r="E31" s="65" t="s">
        <v>10</v>
      </c>
      <c r="F31" s="66">
        <v>55004</v>
      </c>
      <c r="G31" s="47">
        <v>-2.2203260270563296E-2</v>
      </c>
      <c r="H31" s="62"/>
      <c r="I31" s="63"/>
      <c r="J31" s="65" t="s">
        <v>10</v>
      </c>
      <c r="K31" s="66">
        <v>161034</v>
      </c>
      <c r="L31" s="49">
        <v>-1.0671434100669064E-2</v>
      </c>
      <c r="M31" s="42"/>
    </row>
    <row r="32" spans="3:13" ht="24.95" hidden="1" customHeight="1" x14ac:dyDescent="0.2">
      <c r="C32" s="67"/>
      <c r="D32" s="68"/>
      <c r="E32" s="69" t="s">
        <v>11</v>
      </c>
      <c r="F32" s="70">
        <v>0</v>
      </c>
      <c r="G32" s="71">
        <v>-1</v>
      </c>
      <c r="H32" s="62"/>
      <c r="I32" s="67"/>
      <c r="J32" s="69" t="s">
        <v>11</v>
      </c>
      <c r="K32" s="70">
        <v>0</v>
      </c>
      <c r="L32" s="56">
        <v>-1</v>
      </c>
      <c r="M32" s="42"/>
    </row>
    <row r="33" spans="3:13" ht="24.95" customHeight="1" x14ac:dyDescent="0.2">
      <c r="C33" s="72" t="s">
        <v>13</v>
      </c>
      <c r="D33" s="73"/>
      <c r="E33" s="74" t="s">
        <v>8</v>
      </c>
      <c r="F33" s="75">
        <v>18398</v>
      </c>
      <c r="G33" s="61">
        <v>0.17641792953513646</v>
      </c>
      <c r="H33" s="62"/>
      <c r="I33" s="72" t="s">
        <v>13</v>
      </c>
      <c r="J33" s="74" t="s">
        <v>8</v>
      </c>
      <c r="K33" s="75">
        <v>52066</v>
      </c>
      <c r="L33" s="41">
        <v>0.20729954088021141</v>
      </c>
      <c r="M33" s="42"/>
    </row>
    <row r="34" spans="3:13" ht="24.95" customHeight="1" x14ac:dyDescent="0.2">
      <c r="C34" s="76"/>
      <c r="D34" s="77"/>
      <c r="E34" s="78" t="s">
        <v>10</v>
      </c>
      <c r="F34" s="79">
        <v>10558</v>
      </c>
      <c r="G34" s="47">
        <v>7.3403822692151177E-2</v>
      </c>
      <c r="H34" s="62"/>
      <c r="I34" s="76"/>
      <c r="J34" s="78" t="s">
        <v>10</v>
      </c>
      <c r="K34" s="79">
        <v>32079</v>
      </c>
      <c r="L34" s="49">
        <v>0.16295678654292334</v>
      </c>
      <c r="M34" s="42"/>
    </row>
    <row r="35" spans="3:13" ht="24.95" customHeight="1" thickBot="1" x14ac:dyDescent="0.25">
      <c r="C35" s="80"/>
      <c r="D35" s="81"/>
      <c r="E35" s="82" t="s">
        <v>11</v>
      </c>
      <c r="F35" s="83">
        <v>7840</v>
      </c>
      <c r="G35" s="71">
        <v>0.35102533172496986</v>
      </c>
      <c r="H35" s="62"/>
      <c r="I35" s="80"/>
      <c r="J35" s="82" t="s">
        <v>11</v>
      </c>
      <c r="K35" s="83">
        <v>19987</v>
      </c>
      <c r="L35" s="56">
        <v>0.28599922789859744</v>
      </c>
      <c r="M35" s="42"/>
    </row>
    <row r="36" spans="3:13" ht="24.95" customHeight="1" x14ac:dyDescent="0.2">
      <c r="C36" s="57" t="s">
        <v>14</v>
      </c>
      <c r="D36" s="58"/>
      <c r="E36" s="59" t="s">
        <v>8</v>
      </c>
      <c r="F36" s="60">
        <v>620321</v>
      </c>
      <c r="G36" s="61">
        <v>3.5754095947169162E-3</v>
      </c>
      <c r="H36" s="62"/>
      <c r="I36" s="57" t="s">
        <v>14</v>
      </c>
      <c r="J36" s="59" t="s">
        <v>8</v>
      </c>
      <c r="K36" s="60">
        <v>1856256</v>
      </c>
      <c r="L36" s="41">
        <v>2.0843564650466995E-2</v>
      </c>
      <c r="M36" s="42"/>
    </row>
    <row r="37" spans="3:13" ht="24.95" customHeight="1" x14ac:dyDescent="0.2">
      <c r="C37" s="63"/>
      <c r="D37" s="64"/>
      <c r="E37" s="65" t="s">
        <v>10</v>
      </c>
      <c r="F37" s="66">
        <v>452636</v>
      </c>
      <c r="G37" s="47">
        <v>1.481066295989053E-2</v>
      </c>
      <c r="H37" s="62"/>
      <c r="I37" s="63"/>
      <c r="J37" s="65" t="s">
        <v>10</v>
      </c>
      <c r="K37" s="66">
        <v>1334054</v>
      </c>
      <c r="L37" s="49">
        <v>2.1834509340139086E-2</v>
      </c>
      <c r="M37" s="42"/>
    </row>
    <row r="38" spans="3:13" ht="24.95" customHeight="1" thickBot="1" x14ac:dyDescent="0.25">
      <c r="C38" s="67"/>
      <c r="D38" s="68"/>
      <c r="E38" s="69" t="s">
        <v>11</v>
      </c>
      <c r="F38" s="70">
        <v>167685</v>
      </c>
      <c r="G38" s="71">
        <v>-2.5546109099784386E-2</v>
      </c>
      <c r="H38" s="62"/>
      <c r="I38" s="67"/>
      <c r="J38" s="69" t="s">
        <v>11</v>
      </c>
      <c r="K38" s="70">
        <v>522202</v>
      </c>
      <c r="L38" s="56">
        <v>1.8320732751307967E-2</v>
      </c>
      <c r="M38" s="42"/>
    </row>
    <row r="39" spans="3:13" ht="24.95" customHeight="1" x14ac:dyDescent="0.2">
      <c r="C39" s="84" t="s">
        <v>15</v>
      </c>
      <c r="D39" s="85"/>
      <c r="E39" s="86" t="s">
        <v>8</v>
      </c>
      <c r="F39" s="87">
        <v>2803484</v>
      </c>
      <c r="G39" s="61">
        <v>-5.1526413457000375E-2</v>
      </c>
      <c r="H39" s="62"/>
      <c r="I39" s="84" t="s">
        <v>15</v>
      </c>
      <c r="J39" s="86" t="s">
        <v>8</v>
      </c>
      <c r="K39" s="87">
        <v>8313761</v>
      </c>
      <c r="L39" s="41">
        <v>-3.6255970539234572E-2</v>
      </c>
      <c r="M39" s="42"/>
    </row>
    <row r="40" spans="3:13" ht="24.95" customHeight="1" x14ac:dyDescent="0.2">
      <c r="C40" s="88"/>
      <c r="D40" s="89"/>
      <c r="E40" s="90" t="s">
        <v>10</v>
      </c>
      <c r="F40" s="91">
        <v>1739160</v>
      </c>
      <c r="G40" s="47">
        <v>-5.4186484866744489E-2</v>
      </c>
      <c r="H40" s="62"/>
      <c r="I40" s="88"/>
      <c r="J40" s="90" t="s">
        <v>10</v>
      </c>
      <c r="K40" s="91">
        <v>5153973</v>
      </c>
      <c r="L40" s="49">
        <v>-3.6486758820940768E-2</v>
      </c>
      <c r="M40" s="42"/>
    </row>
    <row r="41" spans="3:13" ht="24.95" customHeight="1" thickBot="1" x14ac:dyDescent="0.25">
      <c r="C41" s="92"/>
      <c r="D41" s="93"/>
      <c r="E41" s="94" t="s">
        <v>11</v>
      </c>
      <c r="F41" s="95">
        <v>1064324</v>
      </c>
      <c r="G41" s="71">
        <v>-4.7147370560266189E-2</v>
      </c>
      <c r="H41" s="62"/>
      <c r="I41" s="92"/>
      <c r="J41" s="94" t="s">
        <v>11</v>
      </c>
      <c r="K41" s="95">
        <v>3159788</v>
      </c>
      <c r="L41" s="56">
        <v>-3.5879291311530115E-2</v>
      </c>
      <c r="M41" s="42"/>
    </row>
    <row r="42" spans="3:13" ht="5.25" customHeight="1" thickBot="1" x14ac:dyDescent="0.25">
      <c r="C42" s="96"/>
      <c r="D42" s="96"/>
      <c r="F42" s="96"/>
      <c r="G42" s="96"/>
      <c r="H42" s="96"/>
      <c r="I42" s="96"/>
      <c r="J42" s="96"/>
      <c r="K42" s="96"/>
      <c r="L42" s="96"/>
      <c r="M42" s="96"/>
    </row>
    <row r="43" spans="3:13" ht="20.100000000000001" customHeight="1" thickBot="1" x14ac:dyDescent="0.25">
      <c r="C43" s="27" t="s">
        <v>17</v>
      </c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3:13" ht="5.25" customHeight="1" thickBot="1" x14ac:dyDescent="0.2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97"/>
    </row>
    <row r="45" spans="3:13" ht="24.75" customHeight="1" x14ac:dyDescent="0.2">
      <c r="C45" s="38" t="s">
        <v>7</v>
      </c>
      <c r="D45" s="98"/>
      <c r="E45" s="39" t="s">
        <v>8</v>
      </c>
      <c r="F45" s="100">
        <v>7.4172884490576765</v>
      </c>
      <c r="G45" s="101">
        <v>-0.13902684531348797</v>
      </c>
      <c r="H45" s="37"/>
      <c r="I45" s="38" t="s">
        <v>7</v>
      </c>
      <c r="J45" s="39" t="s">
        <v>8</v>
      </c>
      <c r="K45" s="100">
        <v>7.8310132687531535</v>
      </c>
      <c r="L45" s="102">
        <v>-8.5923845872438953E-2</v>
      </c>
      <c r="M45" s="42" t="s">
        <v>9</v>
      </c>
    </row>
    <row r="46" spans="3:13" ht="24.75" customHeight="1" x14ac:dyDescent="0.2">
      <c r="C46" s="43"/>
      <c r="D46" s="44"/>
      <c r="E46" s="45" t="s">
        <v>10</v>
      </c>
      <c r="F46" s="103">
        <v>7.0053812160182725</v>
      </c>
      <c r="G46" s="104">
        <v>-0.16876348649291906</v>
      </c>
      <c r="H46" s="48"/>
      <c r="I46" s="43"/>
      <c r="J46" s="45" t="s">
        <v>10</v>
      </c>
      <c r="K46" s="103">
        <v>7.3254820781083305</v>
      </c>
      <c r="L46" s="105">
        <v>-0.14115717289875906</v>
      </c>
      <c r="M46" s="42"/>
    </row>
    <row r="47" spans="3:13" ht="24.75" customHeight="1" thickBot="1" x14ac:dyDescent="0.25">
      <c r="C47" s="53"/>
      <c r="D47" s="99"/>
      <c r="E47" s="54" t="s">
        <v>11</v>
      </c>
      <c r="F47" s="106">
        <v>8.3065281183422446</v>
      </c>
      <c r="G47" s="107">
        <v>-5.8122786265672133E-2</v>
      </c>
      <c r="H47" s="48"/>
      <c r="I47" s="53"/>
      <c r="J47" s="54" t="s">
        <v>11</v>
      </c>
      <c r="K47" s="106">
        <v>8.945084763782571</v>
      </c>
      <c r="L47" s="108">
        <v>6.5561100828105623E-2</v>
      </c>
      <c r="M47" s="42"/>
    </row>
    <row r="48" spans="3:13" ht="24.75" hidden="1" customHeight="1" x14ac:dyDescent="0.2">
      <c r="C48" s="57" t="s">
        <v>12</v>
      </c>
      <c r="D48" s="58"/>
      <c r="E48" s="59" t="s">
        <v>8</v>
      </c>
      <c r="F48" s="109">
        <v>2.318887015177066</v>
      </c>
      <c r="G48" s="101">
        <v>-0.15848297574499348</v>
      </c>
      <c r="H48" s="62"/>
      <c r="I48" s="57" t="s">
        <v>12</v>
      </c>
      <c r="J48" s="59" t="s">
        <v>8</v>
      </c>
      <c r="K48" s="109">
        <v>2.4432778527970385</v>
      </c>
      <c r="L48" s="102">
        <v>-3.3259097006435923E-2</v>
      </c>
      <c r="M48" s="42"/>
    </row>
    <row r="49" spans="2:13" ht="50.25" customHeight="1" thickBot="1" x14ac:dyDescent="0.25">
      <c r="C49" s="63"/>
      <c r="D49" s="64"/>
      <c r="E49" s="65" t="s">
        <v>10</v>
      </c>
      <c r="F49" s="110">
        <v>2.318887015177066</v>
      </c>
      <c r="G49" s="104">
        <v>-0.11894613758566441</v>
      </c>
      <c r="H49" s="62"/>
      <c r="I49" s="63"/>
      <c r="J49" s="65" t="s">
        <v>10</v>
      </c>
      <c r="K49" s="110">
        <v>2.4432778527970385</v>
      </c>
      <c r="L49" s="105">
        <v>-4.9954159593541547E-3</v>
      </c>
      <c r="M49" s="42"/>
    </row>
    <row r="50" spans="2:13" ht="24.75" hidden="1" customHeight="1" x14ac:dyDescent="0.2">
      <c r="C50" s="67"/>
      <c r="D50" s="68"/>
      <c r="E50" s="69" t="s">
        <v>11</v>
      </c>
      <c r="F50" s="111" t="s">
        <v>38</v>
      </c>
      <c r="G50" s="107" t="s">
        <v>38</v>
      </c>
      <c r="H50" s="62"/>
      <c r="I50" s="67"/>
      <c r="J50" s="69" t="s">
        <v>11</v>
      </c>
      <c r="K50" s="111" t="e">
        <v>#DIV/0!</v>
      </c>
      <c r="L50" s="108" t="s">
        <v>38</v>
      </c>
      <c r="M50" s="42"/>
    </row>
    <row r="51" spans="2:13" ht="24.75" customHeight="1" x14ac:dyDescent="0.2">
      <c r="C51" s="72" t="s">
        <v>13</v>
      </c>
      <c r="D51" s="73"/>
      <c r="E51" s="74" t="s">
        <v>8</v>
      </c>
      <c r="F51" s="112">
        <v>4.3473534971644616</v>
      </c>
      <c r="G51" s="101">
        <v>0.3921182923086195</v>
      </c>
      <c r="H51" s="62"/>
      <c r="I51" s="72" t="s">
        <v>13</v>
      </c>
      <c r="J51" s="74" t="s">
        <v>8</v>
      </c>
      <c r="K51" s="112">
        <v>4.1739618406285075</v>
      </c>
      <c r="L51" s="102">
        <v>0.46036500949098924</v>
      </c>
      <c r="M51" s="42"/>
    </row>
    <row r="52" spans="2:13" ht="24.75" customHeight="1" x14ac:dyDescent="0.2">
      <c r="C52" s="76"/>
      <c r="D52" s="77"/>
      <c r="E52" s="78" t="s">
        <v>10</v>
      </c>
      <c r="F52" s="113">
        <v>3.5584765756656553</v>
      </c>
      <c r="G52" s="104">
        <v>0.44187328035513573</v>
      </c>
      <c r="H52" s="62"/>
      <c r="I52" s="76"/>
      <c r="J52" s="78" t="s">
        <v>10</v>
      </c>
      <c r="K52" s="113">
        <v>3.4567887931034482</v>
      </c>
      <c r="L52" s="105">
        <v>0.54216495540268728</v>
      </c>
      <c r="M52" s="42"/>
    </row>
    <row r="53" spans="2:13" ht="24.75" customHeight="1" thickBot="1" x14ac:dyDescent="0.25">
      <c r="C53" s="80"/>
      <c r="D53" s="81"/>
      <c r="E53" s="82" t="s">
        <v>11</v>
      </c>
      <c r="F53" s="114">
        <v>6.1976284584980235</v>
      </c>
      <c r="G53" s="107">
        <v>-1.0743013660633798</v>
      </c>
      <c r="H53" s="62"/>
      <c r="I53" s="80"/>
      <c r="J53" s="82" t="s">
        <v>11</v>
      </c>
      <c r="K53" s="114">
        <v>6.2576706324358176</v>
      </c>
      <c r="L53" s="108">
        <v>-0.97453039129615071</v>
      </c>
      <c r="M53" s="42"/>
    </row>
    <row r="54" spans="2:13" ht="24.75" customHeight="1" x14ac:dyDescent="0.2">
      <c r="C54" s="57" t="s">
        <v>14</v>
      </c>
      <c r="D54" s="58"/>
      <c r="E54" s="59" t="s">
        <v>8</v>
      </c>
      <c r="F54" s="109">
        <v>7.1285696227260713</v>
      </c>
      <c r="G54" s="101">
        <v>-0.21398579292097875</v>
      </c>
      <c r="H54" s="62"/>
      <c r="I54" s="57" t="s">
        <v>14</v>
      </c>
      <c r="J54" s="59" t="s">
        <v>8</v>
      </c>
      <c r="K54" s="109">
        <v>7.7533958197584081</v>
      </c>
      <c r="L54" s="102">
        <v>-0.26368896486308202</v>
      </c>
      <c r="M54" s="42"/>
    </row>
    <row r="55" spans="2:13" ht="24.75" customHeight="1" x14ac:dyDescent="0.2">
      <c r="C55" s="63"/>
      <c r="D55" s="64"/>
      <c r="E55" s="65" t="s">
        <v>10</v>
      </c>
      <c r="F55" s="110">
        <v>6.8577055936003877</v>
      </c>
      <c r="G55" s="104">
        <v>-0.21842912948117288</v>
      </c>
      <c r="H55" s="62"/>
      <c r="I55" s="63"/>
      <c r="J55" s="65" t="s">
        <v>10</v>
      </c>
      <c r="K55" s="110">
        <v>7.3451011699931179</v>
      </c>
      <c r="L55" s="105">
        <v>-0.31872432075545021</v>
      </c>
      <c r="M55" s="42"/>
    </row>
    <row r="56" spans="2:13" ht="24.75" customHeight="1" thickBot="1" x14ac:dyDescent="0.25">
      <c r="C56" s="67"/>
      <c r="D56" s="68"/>
      <c r="E56" s="69" t="s">
        <v>11</v>
      </c>
      <c r="F56" s="111">
        <v>7.9793004996431121</v>
      </c>
      <c r="G56" s="107">
        <v>-0.15730170377076025</v>
      </c>
      <c r="H56" s="62"/>
      <c r="I56" s="67"/>
      <c r="J56" s="69" t="s">
        <v>11</v>
      </c>
      <c r="K56" s="111">
        <v>9.0366691470399925</v>
      </c>
      <c r="L56" s="108">
        <v>-4.6312892706367847E-2</v>
      </c>
      <c r="M56" s="42"/>
    </row>
    <row r="57" spans="2:13" ht="24.75" customHeight="1" x14ac:dyDescent="0.2">
      <c r="C57" s="84" t="s">
        <v>15</v>
      </c>
      <c r="D57" s="85"/>
      <c r="E57" s="86" t="s">
        <v>8</v>
      </c>
      <c r="F57" s="115">
        <v>7.8634029221116171</v>
      </c>
      <c r="G57" s="101">
        <v>-9.6099222747856317E-2</v>
      </c>
      <c r="H57" s="62"/>
      <c r="I57" s="84" t="s">
        <v>15</v>
      </c>
      <c r="J57" s="86" t="s">
        <v>8</v>
      </c>
      <c r="K57" s="115">
        <v>8.2469442576247243</v>
      </c>
      <c r="L57" s="102">
        <v>-4.3597256955401065E-2</v>
      </c>
      <c r="M57" s="42"/>
    </row>
    <row r="58" spans="2:13" ht="24.75" customHeight="1" x14ac:dyDescent="0.2">
      <c r="C58" s="88"/>
      <c r="D58" s="89"/>
      <c r="E58" s="90" t="s">
        <v>10</v>
      </c>
      <c r="F58" s="116">
        <v>7.5766856465729431</v>
      </c>
      <c r="G58" s="104">
        <v>-0.13545507456416672</v>
      </c>
      <c r="H58" s="62"/>
      <c r="I58" s="88"/>
      <c r="J58" s="90" t="s">
        <v>10</v>
      </c>
      <c r="K58" s="116">
        <v>7.8659350118355933</v>
      </c>
      <c r="L58" s="105">
        <v>-0.11249443341842191</v>
      </c>
      <c r="M58" s="42"/>
    </row>
    <row r="59" spans="2:13" ht="24.75" customHeight="1" thickBot="1" x14ac:dyDescent="0.25">
      <c r="C59" s="117"/>
      <c r="D59" s="118"/>
      <c r="E59" s="119" t="s">
        <v>11</v>
      </c>
      <c r="F59" s="120">
        <v>8.3816918933392142</v>
      </c>
      <c r="G59" s="121">
        <v>-2.1508431658528337E-2</v>
      </c>
      <c r="H59" s="122"/>
      <c r="I59" s="117"/>
      <c r="J59" s="119" t="s">
        <v>11</v>
      </c>
      <c r="K59" s="120">
        <v>8.9544116188451994</v>
      </c>
      <c r="L59" s="123">
        <v>9.8428372206004866E-2</v>
      </c>
      <c r="M59" s="124"/>
    </row>
    <row r="60" spans="2:13" ht="13.5" thickBot="1" x14ac:dyDescent="0.25">
      <c r="C60" s="125" t="s">
        <v>95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7"/>
    </row>
    <row r="61" spans="2:13" ht="50.25" customHeight="1" thickBot="1" x14ac:dyDescent="0.25">
      <c r="C61" s="128"/>
      <c r="D61" s="128"/>
      <c r="E61" s="129" t="s">
        <v>92</v>
      </c>
      <c r="F61" s="129"/>
      <c r="G61" s="129"/>
      <c r="H61" s="129"/>
      <c r="I61" s="129"/>
      <c r="J61" s="129"/>
      <c r="K61" s="129"/>
      <c r="L61" s="128"/>
      <c r="M61" s="128"/>
    </row>
    <row r="62" spans="2:13" ht="15" customHeight="1" x14ac:dyDescent="0.2">
      <c r="B62" s="5"/>
      <c r="C62" s="6" t="s">
        <v>93</v>
      </c>
      <c r="D62" s="6"/>
      <c r="E62" s="6"/>
      <c r="F62" s="6"/>
      <c r="G62" s="6"/>
      <c r="H62" s="7"/>
      <c r="I62" s="8" t="str">
        <f>I2</f>
        <v>acumulado marzo 2017</v>
      </c>
      <c r="J62" s="8"/>
      <c r="K62" s="8"/>
      <c r="L62" s="8"/>
      <c r="M62" s="8"/>
    </row>
    <row r="63" spans="2:13" ht="16.5" customHeight="1" thickBot="1" x14ac:dyDescent="0.25">
      <c r="B63" s="5"/>
      <c r="C63" s="9"/>
      <c r="D63" s="9"/>
      <c r="E63" s="9"/>
      <c r="F63" s="9"/>
      <c r="G63" s="9"/>
      <c r="H63" s="10"/>
      <c r="I63" s="11"/>
      <c r="J63" s="11"/>
      <c r="K63" s="11"/>
      <c r="L63" s="11"/>
      <c r="M63" s="11"/>
    </row>
    <row r="64" spans="2:13" ht="81.75" customHeight="1" x14ac:dyDescent="0.2">
      <c r="C64" s="20" t="str">
        <f t="shared" ref="C64:G64" si="0">C5</f>
        <v>Ámbito</v>
      </c>
      <c r="D64" s="21">
        <f t="shared" si="0"/>
        <v>0</v>
      </c>
      <c r="E64" s="22" t="str">
        <f t="shared" si="0"/>
        <v>Variable</v>
      </c>
      <c r="F64" s="22" t="str">
        <f t="shared" si="0"/>
        <v>Valor absoluto
mensual</v>
      </c>
      <c r="G64" s="22" t="str">
        <f t="shared" si="0"/>
        <v>Variación respecto al período anterior</v>
      </c>
      <c r="H64" s="24"/>
      <c r="I64" s="22" t="str">
        <f>I5</f>
        <v>Ámbito</v>
      </c>
      <c r="J64" s="22" t="str">
        <f t="shared" ref="J64:M64" si="1">J5</f>
        <v>Variable</v>
      </c>
      <c r="K64" s="22" t="str">
        <f t="shared" si="1"/>
        <v>Valor absoluto
acumulado</v>
      </c>
      <c r="L64" s="22" t="str">
        <f t="shared" si="1"/>
        <v>Variación respecto al período anterior</v>
      </c>
      <c r="M64" s="23" t="str">
        <f t="shared" si="1"/>
        <v>Fuente</v>
      </c>
    </row>
    <row r="65" spans="3:13" ht="5.25" customHeight="1" thickBot="1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3:13" ht="20.100000000000001" customHeight="1" thickBot="1" x14ac:dyDescent="0.25">
      <c r="C66" s="27" t="s">
        <v>18</v>
      </c>
      <c r="D66" s="28"/>
      <c r="E66" s="28"/>
      <c r="F66" s="28"/>
      <c r="G66" s="28"/>
      <c r="H66" s="28"/>
      <c r="I66" s="28"/>
      <c r="J66" s="28"/>
      <c r="K66" s="28"/>
      <c r="L66" s="28"/>
      <c r="M66" s="29"/>
    </row>
    <row r="67" spans="3:13" ht="5.25" customHeight="1" thickBot="1" x14ac:dyDescent="0.25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97"/>
    </row>
    <row r="68" spans="3:13" ht="24.75" customHeight="1" x14ac:dyDescent="0.2">
      <c r="C68" s="38" t="s">
        <v>7</v>
      </c>
      <c r="D68" s="98"/>
      <c r="E68" s="39" t="s">
        <v>8</v>
      </c>
      <c r="F68" s="130">
        <v>0.70920430648304555</v>
      </c>
      <c r="G68" s="61">
        <v>-4.5589532243972219E-2</v>
      </c>
      <c r="H68" s="37"/>
      <c r="I68" s="38" t="s">
        <v>7</v>
      </c>
      <c r="J68" s="39" t="s">
        <v>8</v>
      </c>
      <c r="K68" s="130">
        <v>0.7252653967854823</v>
      </c>
      <c r="L68" s="41">
        <v>-1.9195976787438673E-2</v>
      </c>
      <c r="M68" s="42" t="s">
        <v>9</v>
      </c>
    </row>
    <row r="69" spans="3:13" ht="24.75" customHeight="1" x14ac:dyDescent="0.2">
      <c r="C69" s="43"/>
      <c r="D69" s="44"/>
      <c r="E69" s="45" t="s">
        <v>10</v>
      </c>
      <c r="F69" s="131">
        <v>0.78486279074780663</v>
      </c>
      <c r="G69" s="47">
        <v>-4.22599852185922E-2</v>
      </c>
      <c r="H69" s="48"/>
      <c r="I69" s="43"/>
      <c r="J69" s="45" t="s">
        <v>10</v>
      </c>
      <c r="K69" s="131">
        <v>0.80013461045602285</v>
      </c>
      <c r="L69" s="49">
        <v>-1.5632236745765749E-2</v>
      </c>
      <c r="M69" s="42"/>
    </row>
    <row r="70" spans="3:13" ht="24.75" customHeight="1" thickBot="1" x14ac:dyDescent="0.25">
      <c r="C70" s="53"/>
      <c r="D70" s="99"/>
      <c r="E70" s="54" t="s">
        <v>11</v>
      </c>
      <c r="F70" s="132">
        <v>0.6033175802850731</v>
      </c>
      <c r="G70" s="71">
        <v>-5.0748285747744704E-2</v>
      </c>
      <c r="H70" s="48"/>
      <c r="I70" s="53"/>
      <c r="J70" s="54" t="s">
        <v>11</v>
      </c>
      <c r="K70" s="132">
        <v>0.62048328271552788</v>
      </c>
      <c r="L70" s="56">
        <v>-2.4730658657693527E-2</v>
      </c>
      <c r="M70" s="42"/>
    </row>
    <row r="71" spans="3:13" ht="24.75" hidden="1" customHeight="1" x14ac:dyDescent="0.2">
      <c r="C71" s="57" t="s">
        <v>12</v>
      </c>
      <c r="D71" s="58"/>
      <c r="E71" s="59" t="s">
        <v>8</v>
      </c>
      <c r="F71" s="133">
        <v>0.616298221828816</v>
      </c>
      <c r="G71" s="61">
        <v>-0.11889646985464097</v>
      </c>
      <c r="H71" s="62"/>
      <c r="I71" s="57" t="s">
        <v>12</v>
      </c>
      <c r="J71" s="59" t="s">
        <v>8</v>
      </c>
      <c r="K71" s="133">
        <v>0.62148894291999535</v>
      </c>
      <c r="L71" s="41">
        <v>-9.4528321681375593E-2</v>
      </c>
      <c r="M71" s="42"/>
    </row>
    <row r="72" spans="3:13" ht="43.5" customHeight="1" thickBot="1" x14ac:dyDescent="0.25">
      <c r="C72" s="63"/>
      <c r="D72" s="64"/>
      <c r="E72" s="65" t="s">
        <v>10</v>
      </c>
      <c r="F72" s="134">
        <v>0.69937823438910574</v>
      </c>
      <c r="G72" s="47">
        <v>-6.7866778546479267E-3</v>
      </c>
      <c r="H72" s="62"/>
      <c r="I72" s="63"/>
      <c r="J72" s="65" t="s">
        <v>10</v>
      </c>
      <c r="K72" s="134">
        <v>0.70526869005386938</v>
      </c>
      <c r="L72" s="49">
        <v>1.6092821807709878E-2</v>
      </c>
      <c r="M72" s="42"/>
    </row>
    <row r="73" spans="3:13" ht="24.75" hidden="1" customHeight="1" x14ac:dyDescent="0.2">
      <c r="C73" s="67"/>
      <c r="D73" s="68"/>
      <c r="E73" s="69" t="s">
        <v>11</v>
      </c>
      <c r="F73" s="135">
        <v>0</v>
      </c>
      <c r="G73" s="71">
        <v>-1</v>
      </c>
      <c r="H73" s="62"/>
      <c r="I73" s="67"/>
      <c r="J73" s="69" t="s">
        <v>11</v>
      </c>
      <c r="K73" s="135">
        <v>0</v>
      </c>
      <c r="L73" s="56">
        <v>-1</v>
      </c>
      <c r="M73" s="42"/>
    </row>
    <row r="74" spans="3:13" ht="24.75" customHeight="1" x14ac:dyDescent="0.2">
      <c r="C74" s="72" t="s">
        <v>13</v>
      </c>
      <c r="D74" s="73"/>
      <c r="E74" s="74" t="s">
        <v>8</v>
      </c>
      <c r="F74" s="136">
        <v>0.54850635024745098</v>
      </c>
      <c r="G74" s="61">
        <v>4.0510128063887096E-2</v>
      </c>
      <c r="H74" s="62"/>
      <c r="I74" s="72" t="s">
        <v>13</v>
      </c>
      <c r="J74" s="74" t="s">
        <v>8</v>
      </c>
      <c r="K74" s="136">
        <v>0.5346683097145204</v>
      </c>
      <c r="L74" s="41">
        <v>7.9688797665177225E-2</v>
      </c>
      <c r="M74" s="42"/>
    </row>
    <row r="75" spans="3:13" ht="24.75" customHeight="1" x14ac:dyDescent="0.2">
      <c r="C75" s="76"/>
      <c r="D75" s="77"/>
      <c r="E75" s="78" t="s">
        <v>10</v>
      </c>
      <c r="F75" s="137">
        <v>0.58923987052126359</v>
      </c>
      <c r="G75" s="47">
        <v>0.11054582347734709</v>
      </c>
      <c r="H75" s="62"/>
      <c r="I75" s="76"/>
      <c r="J75" s="78" t="s">
        <v>10</v>
      </c>
      <c r="K75" s="137">
        <v>0.6166666666666667</v>
      </c>
      <c r="L75" s="49">
        <v>0.21656636697602494</v>
      </c>
      <c r="M75" s="42"/>
    </row>
    <row r="76" spans="3:13" ht="24.75" customHeight="1" thickBot="1" x14ac:dyDescent="0.25">
      <c r="C76" s="80"/>
      <c r="D76" s="81"/>
      <c r="E76" s="82" t="s">
        <v>11</v>
      </c>
      <c r="F76" s="138">
        <v>0.50179211469534046</v>
      </c>
      <c r="G76" s="71">
        <v>-3.766251172765045E-2</v>
      </c>
      <c r="H76" s="62"/>
      <c r="I76" s="80"/>
      <c r="J76" s="82" t="s">
        <v>11</v>
      </c>
      <c r="K76" s="138">
        <v>0.4406305114638448</v>
      </c>
      <c r="L76" s="56">
        <v>-7.3802716573649119E-2</v>
      </c>
      <c r="M76" s="42"/>
    </row>
    <row r="77" spans="3:13" ht="24.75" customHeight="1" x14ac:dyDescent="0.2">
      <c r="C77" s="57" t="s">
        <v>14</v>
      </c>
      <c r="D77" s="58"/>
      <c r="E77" s="59" t="s">
        <v>8</v>
      </c>
      <c r="F77" s="133">
        <v>0.71575472470972124</v>
      </c>
      <c r="G77" s="61">
        <v>-3.5516539507427503E-2</v>
      </c>
      <c r="H77" s="62"/>
      <c r="I77" s="57" t="s">
        <v>14</v>
      </c>
      <c r="J77" s="59" t="s">
        <v>8</v>
      </c>
      <c r="K77" s="133">
        <v>0.73774248548365939</v>
      </c>
      <c r="L77" s="41">
        <v>-8.0201478271726412E-3</v>
      </c>
      <c r="M77" s="42"/>
    </row>
    <row r="78" spans="3:13" ht="24.75" customHeight="1" x14ac:dyDescent="0.2">
      <c r="C78" s="63"/>
      <c r="D78" s="64"/>
      <c r="E78" s="65" t="s">
        <v>10</v>
      </c>
      <c r="F78" s="134">
        <v>0.76039794241863246</v>
      </c>
      <c r="G78" s="47">
        <v>-2.5883234054957627E-2</v>
      </c>
      <c r="H78" s="62"/>
      <c r="I78" s="63"/>
      <c r="J78" s="65" t="s">
        <v>10</v>
      </c>
      <c r="K78" s="134">
        <v>0.77194158015947412</v>
      </c>
      <c r="L78" s="49">
        <v>-8.2426109951929671E-3</v>
      </c>
      <c r="M78" s="42"/>
    </row>
    <row r="79" spans="3:13" ht="24.75" customHeight="1" thickBot="1" x14ac:dyDescent="0.25">
      <c r="C79" s="67"/>
      <c r="D79" s="68"/>
      <c r="E79" s="69" t="s">
        <v>11</v>
      </c>
      <c r="F79" s="135">
        <v>0.61784049667471119</v>
      </c>
      <c r="G79" s="71">
        <v>-6.1051624941836802E-2</v>
      </c>
      <c r="H79" s="62"/>
      <c r="I79" s="67"/>
      <c r="J79" s="69" t="s">
        <v>11</v>
      </c>
      <c r="K79" s="135">
        <v>0.66273494511073039</v>
      </c>
      <c r="L79" s="56">
        <v>-7.880719797457747E-3</v>
      </c>
      <c r="M79" s="42"/>
    </row>
    <row r="80" spans="3:13" ht="24.75" customHeight="1" x14ac:dyDescent="0.2">
      <c r="C80" s="84" t="s">
        <v>15</v>
      </c>
      <c r="D80" s="85"/>
      <c r="E80" s="86" t="s">
        <v>8</v>
      </c>
      <c r="F80" s="139">
        <v>0.71123511814155882</v>
      </c>
      <c r="G80" s="61">
        <v>-4.6349611919778488E-2</v>
      </c>
      <c r="H80" s="62"/>
      <c r="I80" s="84" t="s">
        <v>15</v>
      </c>
      <c r="J80" s="86" t="s">
        <v>8</v>
      </c>
      <c r="K80" s="139">
        <v>0.72649366287767569</v>
      </c>
      <c r="L80" s="41">
        <v>-2.0229109313600779E-2</v>
      </c>
      <c r="M80" s="42"/>
    </row>
    <row r="81" spans="3:13" ht="24.75" customHeight="1" x14ac:dyDescent="0.2">
      <c r="C81" s="88"/>
      <c r="D81" s="89"/>
      <c r="E81" s="90" t="s">
        <v>10</v>
      </c>
      <c r="F81" s="140">
        <v>0.79621259255291532</v>
      </c>
      <c r="G81" s="47">
        <v>-4.7850724954979218E-2</v>
      </c>
      <c r="H81" s="62"/>
      <c r="I81" s="88"/>
      <c r="J81" s="90" t="s">
        <v>10</v>
      </c>
      <c r="K81" s="140">
        <v>0.81273848890402733</v>
      </c>
      <c r="L81" s="49">
        <v>-1.9255015615189275E-2</v>
      </c>
      <c r="M81" s="42"/>
    </row>
    <row r="82" spans="3:13" ht="24.75" customHeight="1" thickBot="1" x14ac:dyDescent="0.25">
      <c r="C82" s="92"/>
      <c r="D82" s="93"/>
      <c r="E82" s="94" t="s">
        <v>11</v>
      </c>
      <c r="F82" s="141">
        <v>0.60561698079173976</v>
      </c>
      <c r="G82" s="71">
        <v>-4.3416032539493332E-2</v>
      </c>
      <c r="H82" s="62"/>
      <c r="I82" s="92"/>
      <c r="J82" s="94" t="s">
        <v>11</v>
      </c>
      <c r="K82" s="141">
        <v>0.61930033965806841</v>
      </c>
      <c r="L82" s="56">
        <v>-2.1349425968768987E-2</v>
      </c>
      <c r="M82" s="42"/>
    </row>
    <row r="83" spans="3:13" ht="5.25" customHeight="1" thickBot="1" x14ac:dyDescent="0.25"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</row>
    <row r="84" spans="3:13" ht="20.100000000000001" customHeight="1" thickBot="1" x14ac:dyDescent="0.25">
      <c r="C84" s="27" t="s">
        <v>19</v>
      </c>
      <c r="D84" s="28"/>
      <c r="E84" s="28"/>
      <c r="F84" s="28"/>
      <c r="G84" s="28"/>
      <c r="H84" s="28"/>
      <c r="I84" s="28"/>
      <c r="J84" s="28"/>
      <c r="K84" s="28"/>
      <c r="L84" s="28"/>
      <c r="M84" s="29"/>
    </row>
    <row r="85" spans="3:13" ht="5.25" customHeight="1" thickBot="1" x14ac:dyDescent="0.25">
      <c r="C85" s="142"/>
      <c r="D85" s="30"/>
      <c r="E85" s="30"/>
      <c r="F85" s="30"/>
      <c r="G85" s="30"/>
      <c r="H85" s="30"/>
      <c r="I85" s="30"/>
      <c r="J85" s="30"/>
      <c r="K85" s="30"/>
      <c r="L85" s="30"/>
      <c r="M85" s="97"/>
    </row>
    <row r="86" spans="3:13" ht="33.75" customHeight="1" x14ac:dyDescent="0.2">
      <c r="C86" s="57" t="s">
        <v>7</v>
      </c>
      <c r="D86" s="58"/>
      <c r="E86" s="59" t="s">
        <v>20</v>
      </c>
      <c r="F86" s="60">
        <v>53964</v>
      </c>
      <c r="G86" s="61">
        <v>4.4457777691756739E-2</v>
      </c>
      <c r="H86" s="143"/>
      <c r="I86" s="57" t="s">
        <v>7</v>
      </c>
      <c r="J86" s="59" t="s">
        <v>20</v>
      </c>
      <c r="K86" s="60">
        <v>152945</v>
      </c>
      <c r="L86" s="41">
        <v>6.0556680442681587E-2</v>
      </c>
      <c r="M86" s="42" t="s">
        <v>9</v>
      </c>
    </row>
    <row r="87" spans="3:13" ht="33.75" customHeight="1" x14ac:dyDescent="0.2">
      <c r="C87" s="63"/>
      <c r="D87" s="64"/>
      <c r="E87" s="90" t="s">
        <v>21</v>
      </c>
      <c r="F87" s="91">
        <v>183258</v>
      </c>
      <c r="G87" s="47">
        <v>-4.8781247404700578E-2</v>
      </c>
      <c r="H87" s="62"/>
      <c r="I87" s="63"/>
      <c r="J87" s="90" t="s">
        <v>21</v>
      </c>
      <c r="K87" s="91">
        <v>522658</v>
      </c>
      <c r="L87" s="49">
        <v>-1.849553151413974E-2</v>
      </c>
      <c r="M87" s="42"/>
    </row>
    <row r="88" spans="3:13" ht="33.75" customHeight="1" x14ac:dyDescent="0.2">
      <c r="C88" s="63"/>
      <c r="D88" s="64"/>
      <c r="E88" s="65" t="s">
        <v>22</v>
      </c>
      <c r="F88" s="66">
        <v>61131</v>
      </c>
      <c r="G88" s="47">
        <v>-2.3279222854221238E-2</v>
      </c>
      <c r="H88" s="62"/>
      <c r="I88" s="63"/>
      <c r="J88" s="65" t="s">
        <v>22</v>
      </c>
      <c r="K88" s="66">
        <v>169881</v>
      </c>
      <c r="L88" s="49">
        <v>-6.064208617181277E-2</v>
      </c>
      <c r="M88" s="42"/>
    </row>
    <row r="89" spans="3:13" ht="33.75" customHeight="1" x14ac:dyDescent="0.2">
      <c r="C89" s="63"/>
      <c r="D89" s="64"/>
      <c r="E89" s="90" t="s">
        <v>23</v>
      </c>
      <c r="F89" s="91">
        <v>18554</v>
      </c>
      <c r="G89" s="47">
        <v>0.2687363238512035</v>
      </c>
      <c r="H89" s="62"/>
      <c r="I89" s="63"/>
      <c r="J89" s="90" t="s">
        <v>23</v>
      </c>
      <c r="K89" s="91">
        <v>51054</v>
      </c>
      <c r="L89" s="49">
        <v>0.22779087104997364</v>
      </c>
      <c r="M89" s="42"/>
    </row>
    <row r="90" spans="3:13" ht="33.75" customHeight="1" thickBot="1" x14ac:dyDescent="0.25">
      <c r="C90" s="67"/>
      <c r="D90" s="68"/>
      <c r="E90" s="69" t="s">
        <v>24</v>
      </c>
      <c r="F90" s="70">
        <v>5325</v>
      </c>
      <c r="G90" s="71">
        <v>-0.1352711919454368</v>
      </c>
      <c r="H90" s="144"/>
      <c r="I90" s="67"/>
      <c r="J90" s="69" t="s">
        <v>24</v>
      </c>
      <c r="K90" s="70">
        <v>15503</v>
      </c>
      <c r="L90" s="56">
        <v>-0.11924781274855134</v>
      </c>
      <c r="M90" s="42"/>
    </row>
    <row r="91" spans="3:13" ht="5.25" customHeight="1" thickBot="1" x14ac:dyDescent="0.25"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3:13" ht="20.100000000000001" customHeight="1" thickBot="1" x14ac:dyDescent="0.25">
      <c r="C92" s="27" t="s">
        <v>25</v>
      </c>
      <c r="D92" s="28"/>
      <c r="E92" s="28"/>
      <c r="F92" s="28"/>
      <c r="G92" s="28"/>
      <c r="H92" s="28"/>
      <c r="I92" s="28"/>
      <c r="J92" s="28"/>
      <c r="K92" s="28"/>
      <c r="L92" s="28"/>
      <c r="M92" s="29"/>
    </row>
    <row r="93" spans="3:13" ht="5.25" customHeight="1" thickBot="1" x14ac:dyDescent="0.25">
      <c r="C93" s="142"/>
      <c r="D93" s="30"/>
      <c r="E93" s="30"/>
      <c r="F93" s="30"/>
      <c r="G93" s="30"/>
      <c r="H93" s="30"/>
      <c r="I93" s="30"/>
      <c r="J93" s="30"/>
      <c r="K93" s="30"/>
      <c r="L93" s="30"/>
      <c r="M93" s="97"/>
    </row>
    <row r="94" spans="3:13" s="145" customFormat="1" ht="33.75" customHeight="1" x14ac:dyDescent="0.2">
      <c r="C94" s="57" t="s">
        <v>7</v>
      </c>
      <c r="D94" s="58"/>
      <c r="E94" s="59" t="s">
        <v>20</v>
      </c>
      <c r="F94" s="60">
        <v>371487</v>
      </c>
      <c r="G94" s="61">
        <v>4.6277206975801066E-2</v>
      </c>
      <c r="H94" s="143"/>
      <c r="I94" s="57" t="s">
        <v>7</v>
      </c>
      <c r="J94" s="59" t="s">
        <v>20</v>
      </c>
      <c r="K94" s="60">
        <v>1082498</v>
      </c>
      <c r="L94" s="41">
        <v>7.368519194451939E-2</v>
      </c>
      <c r="M94" s="42" t="s">
        <v>9</v>
      </c>
    </row>
    <row r="95" spans="3:13" s="145" customFormat="1" ht="33.75" customHeight="1" x14ac:dyDescent="0.2">
      <c r="C95" s="63"/>
      <c r="D95" s="64"/>
      <c r="E95" s="90" t="s">
        <v>21</v>
      </c>
      <c r="F95" s="91">
        <v>1397020</v>
      </c>
      <c r="G95" s="47">
        <v>-4.5898652257233552E-2</v>
      </c>
      <c r="H95" s="62"/>
      <c r="I95" s="63"/>
      <c r="J95" s="90" t="s">
        <v>21</v>
      </c>
      <c r="K95" s="91">
        <v>4150603</v>
      </c>
      <c r="L95" s="49">
        <v>-2.8514231252112388E-2</v>
      </c>
      <c r="M95" s="42" t="s">
        <v>26</v>
      </c>
    </row>
    <row r="96" spans="3:13" s="145" customFormat="1" ht="33.75" customHeight="1" x14ac:dyDescent="0.2">
      <c r="C96" s="63"/>
      <c r="D96" s="64"/>
      <c r="E96" s="65" t="s">
        <v>22</v>
      </c>
      <c r="F96" s="66">
        <v>398321</v>
      </c>
      <c r="G96" s="47">
        <v>-0.1124537366111914</v>
      </c>
      <c r="H96" s="62"/>
      <c r="I96" s="63"/>
      <c r="J96" s="65" t="s">
        <v>22</v>
      </c>
      <c r="K96" s="66">
        <v>1187952</v>
      </c>
      <c r="L96" s="49">
        <v>-0.10277358392238223</v>
      </c>
      <c r="M96" s="42" t="s">
        <v>26</v>
      </c>
    </row>
    <row r="97" spans="3:15" s="145" customFormat="1" ht="33.75" customHeight="1" x14ac:dyDescent="0.2">
      <c r="C97" s="63"/>
      <c r="D97" s="64"/>
      <c r="E97" s="90" t="s">
        <v>23</v>
      </c>
      <c r="F97" s="91">
        <v>68674</v>
      </c>
      <c r="G97" s="47">
        <v>0.13672327606183998</v>
      </c>
      <c r="H97" s="62"/>
      <c r="I97" s="63"/>
      <c r="J97" s="90" t="s">
        <v>23</v>
      </c>
      <c r="K97" s="91">
        <v>195280</v>
      </c>
      <c r="L97" s="49">
        <v>0.12044432204167821</v>
      </c>
      <c r="M97" s="42" t="s">
        <v>26</v>
      </c>
    </row>
    <row r="98" spans="3:15" s="145" customFormat="1" ht="33.75" customHeight="1" thickBot="1" x14ac:dyDescent="0.25">
      <c r="C98" s="67"/>
      <c r="D98" s="68"/>
      <c r="E98" s="69" t="s">
        <v>24</v>
      </c>
      <c r="F98" s="70">
        <v>21856</v>
      </c>
      <c r="G98" s="71">
        <v>-2.5677603423680417E-2</v>
      </c>
      <c r="H98" s="144"/>
      <c r="I98" s="67"/>
      <c r="J98" s="69" t="s">
        <v>24</v>
      </c>
      <c r="K98" s="70">
        <v>64807</v>
      </c>
      <c r="L98" s="56">
        <v>-1.9531604587128215E-2</v>
      </c>
      <c r="M98" s="42" t="s">
        <v>26</v>
      </c>
    </row>
    <row r="99" spans="3:15" ht="5.25" customHeight="1" thickBot="1" x14ac:dyDescent="0.25"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</row>
    <row r="100" spans="3:15" ht="20.100000000000001" customHeight="1" thickBot="1" x14ac:dyDescent="0.25">
      <c r="C100" s="27" t="s">
        <v>27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9"/>
    </row>
    <row r="101" spans="3:15" ht="5.25" customHeight="1" thickBot="1" x14ac:dyDescent="0.25">
      <c r="C101" s="142"/>
      <c r="D101" s="30"/>
      <c r="E101" s="30"/>
      <c r="F101" s="30"/>
      <c r="G101" s="30"/>
      <c r="H101" s="30"/>
      <c r="I101" s="30"/>
      <c r="J101" s="30"/>
      <c r="K101" s="30"/>
      <c r="L101" s="30"/>
      <c r="M101" s="97"/>
    </row>
    <row r="102" spans="3:15" ht="33.75" customHeight="1" x14ac:dyDescent="0.2">
      <c r="C102" s="57" t="s">
        <v>7</v>
      </c>
      <c r="D102" s="58"/>
      <c r="E102" s="59" t="s">
        <v>20</v>
      </c>
      <c r="F102" s="146">
        <v>6.8839782076940184</v>
      </c>
      <c r="G102" s="101">
        <v>1.1970930321614226E-2</v>
      </c>
      <c r="H102" s="143"/>
      <c r="I102" s="57" t="s">
        <v>7</v>
      </c>
      <c r="J102" s="59" t="s">
        <v>20</v>
      </c>
      <c r="K102" s="146">
        <v>7.0776945960966362</v>
      </c>
      <c r="L102" s="102">
        <v>8.6542680860733689E-2</v>
      </c>
      <c r="M102" s="42" t="s">
        <v>9</v>
      </c>
    </row>
    <row r="103" spans="3:15" ht="33.75" customHeight="1" x14ac:dyDescent="0.2">
      <c r="C103" s="63"/>
      <c r="D103" s="64"/>
      <c r="E103" s="78" t="s">
        <v>21</v>
      </c>
      <c r="F103" s="147">
        <v>7.6232415501642494</v>
      </c>
      <c r="G103" s="104">
        <v>2.3031849973235374E-2</v>
      </c>
      <c r="H103" s="62"/>
      <c r="I103" s="63"/>
      <c r="J103" s="78" t="s">
        <v>21</v>
      </c>
      <c r="K103" s="147">
        <v>7.9413363997107096</v>
      </c>
      <c r="L103" s="105">
        <v>-8.189709768932385E-2</v>
      </c>
      <c r="M103" s="42" t="s">
        <v>26</v>
      </c>
    </row>
    <row r="104" spans="3:15" ht="33.75" customHeight="1" x14ac:dyDescent="0.2">
      <c r="C104" s="63"/>
      <c r="D104" s="64"/>
      <c r="E104" s="65" t="s">
        <v>22</v>
      </c>
      <c r="F104" s="148">
        <v>6.5158593839459522</v>
      </c>
      <c r="G104" s="104">
        <v>-0.6546685127754639</v>
      </c>
      <c r="H104" s="62"/>
      <c r="I104" s="63"/>
      <c r="J104" s="65" t="s">
        <v>22</v>
      </c>
      <c r="K104" s="148">
        <v>6.9928479347307819</v>
      </c>
      <c r="L104" s="105">
        <v>-0.32836656584428692</v>
      </c>
      <c r="M104" s="42" t="s">
        <v>26</v>
      </c>
      <c r="O104" s="149"/>
    </row>
    <row r="105" spans="3:15" ht="33.75" customHeight="1" x14ac:dyDescent="0.2">
      <c r="C105" s="63"/>
      <c r="D105" s="64"/>
      <c r="E105" s="78" t="s">
        <v>23</v>
      </c>
      <c r="F105" s="147">
        <v>3.7013043009593618</v>
      </c>
      <c r="G105" s="104">
        <v>-0.42984996599906289</v>
      </c>
      <c r="H105" s="62"/>
      <c r="I105" s="63"/>
      <c r="J105" s="78" t="s">
        <v>23</v>
      </c>
      <c r="K105" s="147">
        <v>3.8249696399890314</v>
      </c>
      <c r="L105" s="105">
        <v>-0.36645934370583655</v>
      </c>
      <c r="M105" s="42" t="s">
        <v>26</v>
      </c>
    </row>
    <row r="106" spans="3:15" ht="33.75" customHeight="1" thickBot="1" x14ac:dyDescent="0.25">
      <c r="C106" s="67"/>
      <c r="D106" s="68"/>
      <c r="E106" s="69" t="s">
        <v>24</v>
      </c>
      <c r="F106" s="150">
        <v>4.1044131455399064</v>
      </c>
      <c r="G106" s="107">
        <v>0.46167199581597007</v>
      </c>
      <c r="H106" s="144"/>
      <c r="I106" s="67"/>
      <c r="J106" s="69" t="s">
        <v>24</v>
      </c>
      <c r="K106" s="150">
        <v>4.1802876862542737</v>
      </c>
      <c r="L106" s="108">
        <v>0.42514622505668243</v>
      </c>
      <c r="M106" s="42" t="s">
        <v>26</v>
      </c>
    </row>
    <row r="107" spans="3:15" ht="5.25" customHeight="1" thickBot="1" x14ac:dyDescent="0.25"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3:15" ht="20.100000000000001" customHeight="1" thickBot="1" x14ac:dyDescent="0.25">
      <c r="C108" s="27" t="s">
        <v>28</v>
      </c>
      <c r="D108" s="28"/>
      <c r="E108" s="28"/>
      <c r="F108" s="28"/>
      <c r="G108" s="28"/>
      <c r="H108" s="28"/>
      <c r="I108" s="28"/>
      <c r="J108" s="28"/>
      <c r="K108" s="28"/>
      <c r="L108" s="28"/>
      <c r="M108" s="29"/>
    </row>
    <row r="109" spans="3:15" ht="5.25" customHeight="1" thickBot="1" x14ac:dyDescent="0.25"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151"/>
    </row>
    <row r="110" spans="3:15" ht="33.75" customHeight="1" x14ac:dyDescent="0.2">
      <c r="C110" s="57" t="s">
        <v>7</v>
      </c>
      <c r="D110" s="58"/>
      <c r="E110" s="59" t="s">
        <v>20</v>
      </c>
      <c r="F110" s="133">
        <v>0.80012363042686963</v>
      </c>
      <c r="G110" s="61">
        <v>-4.7543337123050478E-2</v>
      </c>
      <c r="H110" s="143"/>
      <c r="I110" s="57" t="s">
        <v>7</v>
      </c>
      <c r="J110" s="59" t="s">
        <v>20</v>
      </c>
      <c r="K110" s="133">
        <v>0.80308176240605966</v>
      </c>
      <c r="L110" s="41">
        <v>-1.1732971642137602E-2</v>
      </c>
      <c r="M110" s="42" t="s">
        <v>9</v>
      </c>
    </row>
    <row r="111" spans="3:15" ht="33.75" customHeight="1" x14ac:dyDescent="0.2">
      <c r="C111" s="63"/>
      <c r="D111" s="64"/>
      <c r="E111" s="78" t="s">
        <v>21</v>
      </c>
      <c r="F111" s="137">
        <v>0.80360137110723406</v>
      </c>
      <c r="G111" s="47">
        <v>-5.2653020827533981E-2</v>
      </c>
      <c r="H111" s="62"/>
      <c r="I111" s="63"/>
      <c r="J111" s="78" t="s">
        <v>21</v>
      </c>
      <c r="K111" s="137">
        <v>0.8223722090463651</v>
      </c>
      <c r="L111" s="49">
        <v>-2.4673798993243845E-2</v>
      </c>
      <c r="M111" s="42" t="s">
        <v>26</v>
      </c>
    </row>
    <row r="112" spans="3:15" ht="33.75" customHeight="1" x14ac:dyDescent="0.2">
      <c r="C112" s="63"/>
      <c r="D112" s="64"/>
      <c r="E112" s="65" t="s">
        <v>22</v>
      </c>
      <c r="F112" s="134">
        <v>0.73587220182859125</v>
      </c>
      <c r="G112" s="47">
        <v>-3.8546614054217221E-2</v>
      </c>
      <c r="H112" s="62"/>
      <c r="I112" s="63"/>
      <c r="J112" s="65" t="s">
        <v>22</v>
      </c>
      <c r="K112" s="134">
        <v>0.75593990416738255</v>
      </c>
      <c r="L112" s="49">
        <v>-1.7261053478010768E-2</v>
      </c>
      <c r="M112" s="42" t="s">
        <v>26</v>
      </c>
    </row>
    <row r="113" spans="3:19" ht="33.75" customHeight="1" x14ac:dyDescent="0.2">
      <c r="C113" s="63"/>
      <c r="D113" s="64"/>
      <c r="E113" s="78" t="s">
        <v>23</v>
      </c>
      <c r="F113" s="137">
        <v>0.7039371854403067</v>
      </c>
      <c r="G113" s="47">
        <v>0.13383360774010655</v>
      </c>
      <c r="H113" s="62"/>
      <c r="I113" s="63"/>
      <c r="J113" s="78" t="s">
        <v>23</v>
      </c>
      <c r="K113" s="137">
        <v>0.68947498499452742</v>
      </c>
      <c r="L113" s="49">
        <v>0.13001377024638394</v>
      </c>
      <c r="M113" s="42" t="s">
        <v>26</v>
      </c>
    </row>
    <row r="114" spans="3:19" ht="33.75" customHeight="1" thickBot="1" x14ac:dyDescent="0.25">
      <c r="C114" s="67"/>
      <c r="D114" s="68"/>
      <c r="E114" s="69" t="s">
        <v>24</v>
      </c>
      <c r="F114" s="135">
        <v>0.63288353506689055</v>
      </c>
      <c r="G114" s="71">
        <v>2.3300901251610107E-2</v>
      </c>
      <c r="H114" s="144"/>
      <c r="I114" s="67"/>
      <c r="J114" s="69" t="s">
        <v>24</v>
      </c>
      <c r="K114" s="135">
        <v>0.64638938759226017</v>
      </c>
      <c r="L114" s="56">
        <v>4.1197586870222125E-2</v>
      </c>
      <c r="M114" s="42" t="s">
        <v>26</v>
      </c>
    </row>
    <row r="115" spans="3:19" ht="5.25" customHeight="1" thickBot="1" x14ac:dyDescent="0.25">
      <c r="C115" s="152"/>
      <c r="D115" s="152"/>
      <c r="E115" s="153"/>
      <c r="F115" s="96"/>
      <c r="G115" s="154"/>
      <c r="H115" s="155"/>
      <c r="I115" s="96"/>
      <c r="J115" s="154"/>
      <c r="K115" s="153"/>
      <c r="L115" s="152"/>
      <c r="M115" s="156"/>
    </row>
    <row r="116" spans="3:19" ht="17.25" customHeight="1" thickBot="1" x14ac:dyDescent="0.25">
      <c r="C116" s="157"/>
      <c r="D116" s="158"/>
      <c r="E116" s="158"/>
      <c r="F116" s="158"/>
      <c r="G116" s="158"/>
      <c r="H116" s="158"/>
      <c r="I116" s="158"/>
      <c r="J116" s="158"/>
      <c r="K116" s="158"/>
      <c r="L116" s="158"/>
      <c r="M116" s="159"/>
    </row>
    <row r="117" spans="3:19" ht="50.25" customHeight="1" thickBot="1" x14ac:dyDescent="0.25">
      <c r="C117" s="2"/>
      <c r="D117" s="2"/>
      <c r="E117" s="3" t="str">
        <f>$E$1</f>
        <v>INDICADORES TURÍSTICOS DE TENERIFE definitivo</v>
      </c>
      <c r="F117" s="3"/>
      <c r="G117" s="3"/>
      <c r="H117" s="3"/>
      <c r="I117" s="3"/>
      <c r="J117" s="3"/>
      <c r="K117" s="3"/>
      <c r="L117" s="2"/>
      <c r="M117" s="2"/>
    </row>
    <row r="118" spans="3:19" s="1" customFormat="1" ht="9" customHeight="1" thickBot="1" x14ac:dyDescent="0.25">
      <c r="C118" s="160"/>
      <c r="D118" s="161"/>
      <c r="E118" s="162"/>
      <c r="F118" s="162"/>
      <c r="G118" s="162"/>
      <c r="H118" s="162"/>
      <c r="I118" s="162"/>
      <c r="J118" s="162"/>
      <c r="K118" s="162"/>
      <c r="L118" s="161"/>
      <c r="M118" s="163"/>
      <c r="O118" s="4"/>
      <c r="P118" s="4"/>
      <c r="Q118" s="4"/>
      <c r="R118" s="4"/>
      <c r="S118" s="4"/>
    </row>
    <row r="119" spans="3:19" ht="33" customHeight="1" thickBot="1" x14ac:dyDescent="0.25">
      <c r="C119" s="164" t="s">
        <v>29</v>
      </c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3:19" ht="20.100000000000001" customHeight="1" x14ac:dyDescent="0.2">
      <c r="C120" s="167"/>
      <c r="D120" s="168"/>
      <c r="E120" s="168"/>
      <c r="F120" s="168"/>
      <c r="G120" s="169" t="str">
        <f>C2</f>
        <v>marzo 2017</v>
      </c>
      <c r="H120" s="170"/>
      <c r="I120" s="170"/>
      <c r="J120" s="168"/>
      <c r="K120" s="168"/>
      <c r="L120" s="168"/>
      <c r="M120" s="171"/>
    </row>
    <row r="121" spans="3:19" ht="5.25" customHeight="1" thickBot="1" x14ac:dyDescent="0.25">
      <c r="C121" s="172"/>
      <c r="D121" s="168"/>
      <c r="E121" s="168"/>
      <c r="F121" s="168"/>
      <c r="G121" s="173"/>
      <c r="H121" s="173"/>
      <c r="I121" s="173"/>
      <c r="J121" s="168"/>
      <c r="K121" s="168"/>
      <c r="L121" s="168"/>
      <c r="M121" s="174"/>
    </row>
    <row r="122" spans="3:19" ht="33" customHeight="1" thickTop="1" thickBot="1" x14ac:dyDescent="0.25">
      <c r="C122" s="175"/>
      <c r="D122" s="176" t="s">
        <v>7</v>
      </c>
      <c r="E122" s="177"/>
      <c r="F122" s="176" t="s">
        <v>30</v>
      </c>
      <c r="G122" s="177"/>
      <c r="H122" s="176" t="s">
        <v>31</v>
      </c>
      <c r="I122" s="177"/>
      <c r="J122" s="176" t="s">
        <v>32</v>
      </c>
      <c r="K122" s="177"/>
      <c r="L122" s="176" t="s">
        <v>33</v>
      </c>
      <c r="M122" s="177"/>
    </row>
    <row r="123" spans="3:19" ht="31.5" customHeight="1" thickBot="1" x14ac:dyDescent="0.25">
      <c r="C123" s="178"/>
      <c r="D123" s="179" t="s">
        <v>34</v>
      </c>
      <c r="E123" s="180" t="s">
        <v>35</v>
      </c>
      <c r="F123" s="179" t="s">
        <v>34</v>
      </c>
      <c r="G123" s="180" t="s">
        <v>35</v>
      </c>
      <c r="H123" s="179" t="s">
        <v>34</v>
      </c>
      <c r="I123" s="180" t="s">
        <v>35</v>
      </c>
      <c r="J123" s="179" t="s">
        <v>34</v>
      </c>
      <c r="K123" s="180" t="s">
        <v>35</v>
      </c>
      <c r="L123" s="179" t="s">
        <v>34</v>
      </c>
      <c r="M123" s="180" t="s">
        <v>35</v>
      </c>
    </row>
    <row r="124" spans="3:19" ht="24" customHeight="1" thickBot="1" x14ac:dyDescent="0.25">
      <c r="C124" s="181" t="s">
        <v>36</v>
      </c>
      <c r="D124" s="182">
        <v>72116</v>
      </c>
      <c r="E124" s="183">
        <v>-0.1724881810253821</v>
      </c>
      <c r="F124" s="182">
        <v>16153</v>
      </c>
      <c r="G124" s="183">
        <v>6.5993532633801921E-2</v>
      </c>
      <c r="H124" s="182">
        <v>1446</v>
      </c>
      <c r="I124" s="183">
        <v>-0.10408921933085502</v>
      </c>
      <c r="J124" s="182">
        <v>29380</v>
      </c>
      <c r="K124" s="183">
        <v>-8.3335933356213587E-2</v>
      </c>
      <c r="L124" s="182">
        <v>25137</v>
      </c>
      <c r="M124" s="183">
        <v>-0.34419514740412205</v>
      </c>
    </row>
    <row r="125" spans="3:19" ht="27" customHeight="1" thickBot="1" x14ac:dyDescent="0.25">
      <c r="C125" s="184" t="s">
        <v>37</v>
      </c>
      <c r="D125" s="185">
        <v>16862.838861126853</v>
      </c>
      <c r="E125" s="186">
        <v>-0.23828936655296395</v>
      </c>
      <c r="F125" s="185" t="s">
        <v>38</v>
      </c>
      <c r="G125" s="186" t="s">
        <v>38</v>
      </c>
      <c r="H125" s="185" t="s">
        <v>38</v>
      </c>
      <c r="I125" s="186" t="s">
        <v>38</v>
      </c>
      <c r="J125" s="185" t="s">
        <v>38</v>
      </c>
      <c r="K125" s="186" t="s">
        <v>38</v>
      </c>
      <c r="L125" s="185" t="s">
        <v>38</v>
      </c>
      <c r="M125" s="186" t="s">
        <v>38</v>
      </c>
    </row>
    <row r="126" spans="3:19" ht="28.5" customHeight="1" thickBot="1" x14ac:dyDescent="0.25">
      <c r="C126" s="187" t="s">
        <v>39</v>
      </c>
      <c r="D126" s="188">
        <v>9317.19972147712</v>
      </c>
      <c r="E126" s="189">
        <v>-0.21748011430927661</v>
      </c>
      <c r="F126" s="188" t="s">
        <v>38</v>
      </c>
      <c r="G126" s="189" t="s">
        <v>38</v>
      </c>
      <c r="H126" s="188" t="s">
        <v>38</v>
      </c>
      <c r="I126" s="189" t="s">
        <v>38</v>
      </c>
      <c r="J126" s="188" t="s">
        <v>38</v>
      </c>
      <c r="K126" s="189" t="s">
        <v>38</v>
      </c>
      <c r="L126" s="188" t="s">
        <v>38</v>
      </c>
      <c r="M126" s="189" t="s">
        <v>38</v>
      </c>
    </row>
    <row r="127" spans="3:19" ht="27.75" customHeight="1" thickBot="1" x14ac:dyDescent="0.25">
      <c r="C127" s="187" t="s">
        <v>40</v>
      </c>
      <c r="D127" s="188">
        <v>45935.961417468148</v>
      </c>
      <c r="E127" s="189">
        <v>-0.13496845987977368</v>
      </c>
      <c r="F127" s="188" t="s">
        <v>38</v>
      </c>
      <c r="G127" s="189" t="s">
        <v>38</v>
      </c>
      <c r="H127" s="188" t="s">
        <v>38</v>
      </c>
      <c r="I127" s="189" t="s">
        <v>38</v>
      </c>
      <c r="J127" s="188" t="s">
        <v>38</v>
      </c>
      <c r="K127" s="189" t="s">
        <v>38</v>
      </c>
      <c r="L127" s="188" t="s">
        <v>38</v>
      </c>
      <c r="M127" s="189" t="s">
        <v>38</v>
      </c>
    </row>
    <row r="128" spans="3:19" ht="24" customHeight="1" thickBot="1" x14ac:dyDescent="0.25">
      <c r="C128" s="190" t="s">
        <v>41</v>
      </c>
      <c r="D128" s="191">
        <v>11715</v>
      </c>
      <c r="E128" s="189">
        <v>4.1518492176386923E-2</v>
      </c>
      <c r="F128" s="191">
        <v>169</v>
      </c>
      <c r="G128" s="189">
        <v>7.6433121019108263E-2</v>
      </c>
      <c r="H128" s="191">
        <v>121</v>
      </c>
      <c r="I128" s="189">
        <v>-8.1967213114754189E-3</v>
      </c>
      <c r="J128" s="191">
        <v>955</v>
      </c>
      <c r="K128" s="189">
        <v>0.4921875</v>
      </c>
      <c r="L128" s="191">
        <v>10470</v>
      </c>
      <c r="M128" s="189">
        <v>1.3650885855358785E-2</v>
      </c>
    </row>
    <row r="129" spans="3:13" ht="24" customHeight="1" thickBot="1" x14ac:dyDescent="0.25">
      <c r="C129" s="192" t="s">
        <v>42</v>
      </c>
      <c r="D129" s="188">
        <v>13316</v>
      </c>
      <c r="E129" s="189">
        <v>-0.13211236394446979</v>
      </c>
      <c r="F129" s="188">
        <v>143</v>
      </c>
      <c r="G129" s="189">
        <v>-5.9210526315789491E-2</v>
      </c>
      <c r="H129" s="188">
        <v>56</v>
      </c>
      <c r="I129" s="189">
        <v>-8.1967213114754078E-2</v>
      </c>
      <c r="J129" s="188">
        <v>851</v>
      </c>
      <c r="K129" s="189">
        <v>0.79535864978902948</v>
      </c>
      <c r="L129" s="188">
        <v>12266</v>
      </c>
      <c r="M129" s="189">
        <v>-0.16307314410480345</v>
      </c>
    </row>
    <row r="130" spans="3:13" ht="24" customHeight="1" thickBot="1" x14ac:dyDescent="0.25">
      <c r="C130" s="190" t="s">
        <v>43</v>
      </c>
      <c r="D130" s="191">
        <v>59646</v>
      </c>
      <c r="E130" s="189">
        <v>-6.3215592655997188E-2</v>
      </c>
      <c r="F130" s="191">
        <v>1010</v>
      </c>
      <c r="G130" s="189">
        <v>-0.264919941775837</v>
      </c>
      <c r="H130" s="191">
        <v>1289</v>
      </c>
      <c r="I130" s="189">
        <v>0.28003972194637528</v>
      </c>
      <c r="J130" s="191">
        <v>23268</v>
      </c>
      <c r="K130" s="189">
        <v>-6.411390877644596E-2</v>
      </c>
      <c r="L130" s="191">
        <v>34079</v>
      </c>
      <c r="M130" s="189">
        <v>-6.4483364444932523E-2</v>
      </c>
    </row>
    <row r="131" spans="3:13" ht="24" customHeight="1" thickBot="1" x14ac:dyDescent="0.25">
      <c r="C131" s="192" t="s">
        <v>44</v>
      </c>
      <c r="D131" s="188">
        <v>15302</v>
      </c>
      <c r="E131" s="189">
        <v>0.21146385876019314</v>
      </c>
      <c r="F131" s="188">
        <v>554</v>
      </c>
      <c r="G131" s="189">
        <v>-0.30138713745271117</v>
      </c>
      <c r="H131" s="188">
        <v>394</v>
      </c>
      <c r="I131" s="189">
        <v>0.1420289855072463</v>
      </c>
      <c r="J131" s="188">
        <v>2915</v>
      </c>
      <c r="K131" s="189">
        <v>0.32680928538916709</v>
      </c>
      <c r="L131" s="188">
        <v>11439</v>
      </c>
      <c r="M131" s="189">
        <v>0.23052925989672968</v>
      </c>
    </row>
    <row r="132" spans="3:13" ht="24" customHeight="1" thickBot="1" x14ac:dyDescent="0.25">
      <c r="C132" s="190" t="s">
        <v>45</v>
      </c>
      <c r="D132" s="191">
        <v>174044</v>
      </c>
      <c r="E132" s="189">
        <v>4.0708938266880379E-2</v>
      </c>
      <c r="F132" s="191">
        <v>1286</v>
      </c>
      <c r="G132" s="189">
        <v>6.8106312292358862E-2</v>
      </c>
      <c r="H132" s="191">
        <v>316</v>
      </c>
      <c r="I132" s="189">
        <v>0.10489510489510478</v>
      </c>
      <c r="J132" s="191">
        <v>11201</v>
      </c>
      <c r="K132" s="189">
        <v>0.40100062539086934</v>
      </c>
      <c r="L132" s="191">
        <v>161241</v>
      </c>
      <c r="M132" s="189">
        <v>2.2123473068316635E-2</v>
      </c>
    </row>
    <row r="133" spans="3:13" ht="24" customHeight="1" thickBot="1" x14ac:dyDescent="0.25">
      <c r="C133" s="192" t="s">
        <v>46</v>
      </c>
      <c r="D133" s="188">
        <v>7214</v>
      </c>
      <c r="E133" s="189">
        <v>-1.5422410263409292E-2</v>
      </c>
      <c r="F133" s="188">
        <v>121</v>
      </c>
      <c r="G133" s="189">
        <v>0.23469387755102034</v>
      </c>
      <c r="H133" s="188">
        <v>19</v>
      </c>
      <c r="I133" s="189">
        <v>-0.3214285714285714</v>
      </c>
      <c r="J133" s="188">
        <v>454</v>
      </c>
      <c r="K133" s="189">
        <v>-4.3859649122807154E-3</v>
      </c>
      <c r="L133" s="188">
        <v>6620</v>
      </c>
      <c r="M133" s="189">
        <v>-1.8532246108228345E-2</v>
      </c>
    </row>
    <row r="134" spans="3:13" ht="24" customHeight="1" thickBot="1" x14ac:dyDescent="0.25">
      <c r="C134" s="190" t="s">
        <v>47</v>
      </c>
      <c r="D134" s="191">
        <v>12094</v>
      </c>
      <c r="E134" s="189">
        <v>-6.1097740858628957E-2</v>
      </c>
      <c r="F134" s="191">
        <v>722</v>
      </c>
      <c r="G134" s="189">
        <v>-8.2592121982210887E-2</v>
      </c>
      <c r="H134" s="191">
        <v>113</v>
      </c>
      <c r="I134" s="189">
        <v>8.6538461538461453E-2</v>
      </c>
      <c r="J134" s="191">
        <v>1272</v>
      </c>
      <c r="K134" s="189">
        <v>0.13672922252010733</v>
      </c>
      <c r="L134" s="191">
        <v>9987</v>
      </c>
      <c r="M134" s="189">
        <v>-8.1317266120872089E-2</v>
      </c>
    </row>
    <row r="135" spans="3:13" ht="24" customHeight="1" thickBot="1" x14ac:dyDescent="0.25">
      <c r="C135" s="192" t="s">
        <v>48</v>
      </c>
      <c r="D135" s="188">
        <v>59653</v>
      </c>
      <c r="E135" s="189">
        <v>-6.031631013515637E-2</v>
      </c>
      <c r="F135" s="188">
        <v>1238</v>
      </c>
      <c r="G135" s="189">
        <v>-0.11886120996441285</v>
      </c>
      <c r="H135" s="188">
        <v>54</v>
      </c>
      <c r="I135" s="189">
        <v>-5.2631578947368474E-2</v>
      </c>
      <c r="J135" s="188">
        <v>8550</v>
      </c>
      <c r="K135" s="189">
        <v>0.10251450676982587</v>
      </c>
      <c r="L135" s="188">
        <v>49811</v>
      </c>
      <c r="M135" s="189">
        <v>-8.2078687920390636E-2</v>
      </c>
    </row>
    <row r="136" spans="3:13" ht="24" customHeight="1" thickBot="1" x14ac:dyDescent="0.25">
      <c r="C136" s="193" t="s">
        <v>49</v>
      </c>
      <c r="D136" s="191">
        <v>21398</v>
      </c>
      <c r="E136" s="189">
        <v>-4.613738688539204E-2</v>
      </c>
      <c r="F136" s="191">
        <v>449</v>
      </c>
      <c r="G136" s="189">
        <v>-0.23639455782312924</v>
      </c>
      <c r="H136" s="191">
        <v>11</v>
      </c>
      <c r="I136" s="189">
        <v>-0.3125</v>
      </c>
      <c r="J136" s="191">
        <v>2271</v>
      </c>
      <c r="K136" s="189">
        <v>1.7017465293327261E-2</v>
      </c>
      <c r="L136" s="191">
        <v>18667</v>
      </c>
      <c r="M136" s="189">
        <v>-4.7407634211063532E-2</v>
      </c>
    </row>
    <row r="137" spans="3:13" ht="24" customHeight="1" thickBot="1" x14ac:dyDescent="0.25">
      <c r="C137" s="187" t="s">
        <v>50</v>
      </c>
      <c r="D137" s="188">
        <v>10646</v>
      </c>
      <c r="E137" s="189">
        <v>-1.8530469254171678E-2</v>
      </c>
      <c r="F137" s="188">
        <v>378</v>
      </c>
      <c r="G137" s="189">
        <v>0.4708171206225682</v>
      </c>
      <c r="H137" s="188">
        <v>7</v>
      </c>
      <c r="I137" s="189">
        <v>-0.30000000000000004</v>
      </c>
      <c r="J137" s="188">
        <v>991</v>
      </c>
      <c r="K137" s="189">
        <v>0.65166666666666662</v>
      </c>
      <c r="L137" s="188">
        <v>9270</v>
      </c>
      <c r="M137" s="189">
        <v>-7.1142284569138292E-2</v>
      </c>
    </row>
    <row r="138" spans="3:13" ht="24" customHeight="1" thickBot="1" x14ac:dyDescent="0.25">
      <c r="C138" s="193" t="s">
        <v>51</v>
      </c>
      <c r="D138" s="191">
        <v>13478</v>
      </c>
      <c r="E138" s="189">
        <v>-9.5436241610738271E-2</v>
      </c>
      <c r="F138" s="191">
        <v>129</v>
      </c>
      <c r="G138" s="189">
        <v>-0.48399999999999999</v>
      </c>
      <c r="H138" s="191">
        <v>30</v>
      </c>
      <c r="I138" s="189">
        <v>0.875</v>
      </c>
      <c r="J138" s="191">
        <v>1491</v>
      </c>
      <c r="K138" s="189">
        <v>0.18427323272438434</v>
      </c>
      <c r="L138" s="191">
        <v>11828</v>
      </c>
      <c r="M138" s="189">
        <v>-0.11566355140186912</v>
      </c>
    </row>
    <row r="139" spans="3:13" ht="24" customHeight="1" thickBot="1" x14ac:dyDescent="0.25">
      <c r="C139" s="187" t="s">
        <v>52</v>
      </c>
      <c r="D139" s="188">
        <v>14131</v>
      </c>
      <c r="E139" s="189">
        <v>-7.6525944321003792E-2</v>
      </c>
      <c r="F139" s="188">
        <v>282</v>
      </c>
      <c r="G139" s="189">
        <v>-9.0322580645161299E-2</v>
      </c>
      <c r="H139" s="188">
        <v>6</v>
      </c>
      <c r="I139" s="189">
        <v>-0.6</v>
      </c>
      <c r="J139" s="188">
        <v>3797</v>
      </c>
      <c r="K139" s="189">
        <v>3.6582036582036626E-2</v>
      </c>
      <c r="L139" s="188">
        <v>10046</v>
      </c>
      <c r="M139" s="189">
        <v>-0.11207353721053559</v>
      </c>
    </row>
    <row r="140" spans="3:13" ht="24" customHeight="1" thickBot="1" x14ac:dyDescent="0.25">
      <c r="C140" s="190" t="s">
        <v>53</v>
      </c>
      <c r="D140" s="191">
        <v>4238</v>
      </c>
      <c r="E140" s="189">
        <v>-2.7758660243175082E-2</v>
      </c>
      <c r="F140" s="191">
        <v>105</v>
      </c>
      <c r="G140" s="189">
        <v>-0.39306358381502893</v>
      </c>
      <c r="H140" s="191">
        <v>79</v>
      </c>
      <c r="I140" s="189">
        <v>0.64583333333333326</v>
      </c>
      <c r="J140" s="191">
        <v>745</v>
      </c>
      <c r="K140" s="189">
        <v>-1.715039577836408E-2</v>
      </c>
      <c r="L140" s="191">
        <v>3309</v>
      </c>
      <c r="M140" s="189">
        <v>-2.1005917159763299E-2</v>
      </c>
    </row>
    <row r="141" spans="3:13" ht="24" customHeight="1" thickBot="1" x14ac:dyDescent="0.25">
      <c r="C141" s="192" t="s">
        <v>54</v>
      </c>
      <c r="D141" s="188">
        <v>2846</v>
      </c>
      <c r="E141" s="189">
        <v>-1.2833853624696467E-2</v>
      </c>
      <c r="F141" s="188">
        <v>60</v>
      </c>
      <c r="G141" s="189">
        <v>-0.375</v>
      </c>
      <c r="H141" s="188">
        <v>44</v>
      </c>
      <c r="I141" s="189">
        <v>2.3255813953488413E-2</v>
      </c>
      <c r="J141" s="188">
        <v>595</v>
      </c>
      <c r="K141" s="189">
        <v>2.2336769759450092E-2</v>
      </c>
      <c r="L141" s="188">
        <v>2147</v>
      </c>
      <c r="M141" s="189">
        <v>-6.9380203515263528E-3</v>
      </c>
    </row>
    <row r="142" spans="3:13" ht="24" customHeight="1" thickBot="1" x14ac:dyDescent="0.25">
      <c r="C142" s="190" t="s">
        <v>55</v>
      </c>
      <c r="D142" s="191">
        <v>5759</v>
      </c>
      <c r="E142" s="189">
        <v>0.14493041749502988</v>
      </c>
      <c r="F142" s="191">
        <v>117</v>
      </c>
      <c r="G142" s="189">
        <v>-0.29940119760479045</v>
      </c>
      <c r="H142" s="191">
        <v>32</v>
      </c>
      <c r="I142" s="189">
        <v>0.23076923076923084</v>
      </c>
      <c r="J142" s="191">
        <v>655</v>
      </c>
      <c r="K142" s="189">
        <v>0.68380462724935742</v>
      </c>
      <c r="L142" s="191">
        <v>4955</v>
      </c>
      <c r="M142" s="189">
        <v>0.11398381294964022</v>
      </c>
    </row>
    <row r="143" spans="3:13" ht="24" customHeight="1" thickBot="1" x14ac:dyDescent="0.25">
      <c r="C143" s="192" t="s">
        <v>56</v>
      </c>
      <c r="D143" s="188">
        <v>11586</v>
      </c>
      <c r="E143" s="189">
        <v>9.270961048759796E-2</v>
      </c>
      <c r="F143" s="188">
        <v>275</v>
      </c>
      <c r="G143" s="189">
        <v>3.6496350364962904E-3</v>
      </c>
      <c r="H143" s="188">
        <v>38</v>
      </c>
      <c r="I143" s="189">
        <v>1</v>
      </c>
      <c r="J143" s="188">
        <v>1449</v>
      </c>
      <c r="K143" s="189">
        <v>0.12850467289719636</v>
      </c>
      <c r="L143" s="188">
        <v>9824</v>
      </c>
      <c r="M143" s="189">
        <v>8.8411256370485303E-2</v>
      </c>
    </row>
    <row r="144" spans="3:13" ht="24" customHeight="1" thickBot="1" x14ac:dyDescent="0.25">
      <c r="C144" s="190" t="s">
        <v>57</v>
      </c>
      <c r="D144" s="191">
        <v>12922</v>
      </c>
      <c r="E144" s="189">
        <v>7.6833333333333309E-2</v>
      </c>
      <c r="F144" s="191">
        <v>612</v>
      </c>
      <c r="G144" s="189">
        <v>0.35099337748344372</v>
      </c>
      <c r="H144" s="191">
        <v>49</v>
      </c>
      <c r="I144" s="189">
        <v>-5.7692307692307709E-2</v>
      </c>
      <c r="J144" s="191">
        <v>3148</v>
      </c>
      <c r="K144" s="189">
        <v>0.34185848252344408</v>
      </c>
      <c r="L144" s="191">
        <v>9113</v>
      </c>
      <c r="M144" s="189">
        <v>-3.9348562684445865E-3</v>
      </c>
    </row>
    <row r="145" spans="3:13" ht="24" customHeight="1" thickBot="1" x14ac:dyDescent="0.25">
      <c r="C145" s="192" t="s">
        <v>58</v>
      </c>
      <c r="D145" s="188">
        <v>2061</v>
      </c>
      <c r="E145" s="189">
        <v>0.61141516810007812</v>
      </c>
      <c r="F145" s="188">
        <v>302</v>
      </c>
      <c r="G145" s="189">
        <v>1.0268456375838926</v>
      </c>
      <c r="H145" s="188">
        <v>72</v>
      </c>
      <c r="I145" s="189">
        <v>1.4827586206896552</v>
      </c>
      <c r="J145" s="188">
        <v>440</v>
      </c>
      <c r="K145" s="189">
        <v>0.88034188034188032</v>
      </c>
      <c r="L145" s="188">
        <v>1247</v>
      </c>
      <c r="M145" s="189">
        <v>0.43829296424452124</v>
      </c>
    </row>
    <row r="146" spans="3:13" ht="24" customHeight="1" thickBot="1" x14ac:dyDescent="0.25">
      <c r="C146" s="190" t="s">
        <v>59</v>
      </c>
      <c r="D146" s="191">
        <v>1478</v>
      </c>
      <c r="E146" s="189">
        <v>1.3717421124828544E-2</v>
      </c>
      <c r="F146" s="191">
        <v>308</v>
      </c>
      <c r="G146" s="189">
        <v>0.28870292887029292</v>
      </c>
      <c r="H146" s="191">
        <v>48</v>
      </c>
      <c r="I146" s="189">
        <v>6.6666666666666652E-2</v>
      </c>
      <c r="J146" s="191">
        <v>292</v>
      </c>
      <c r="K146" s="189">
        <v>-1.016949152542368E-2</v>
      </c>
      <c r="L146" s="191">
        <v>830</v>
      </c>
      <c r="M146" s="189">
        <v>-5.5745164960182003E-2</v>
      </c>
    </row>
    <row r="147" spans="3:13" ht="24" customHeight="1" thickBot="1" x14ac:dyDescent="0.25">
      <c r="C147" s="192" t="s">
        <v>60</v>
      </c>
      <c r="D147" s="194">
        <v>5504</v>
      </c>
      <c r="E147" s="195">
        <v>0.36136532278011368</v>
      </c>
      <c r="F147" s="194">
        <v>545</v>
      </c>
      <c r="G147" s="195">
        <v>0.18736383442265803</v>
      </c>
      <c r="H147" s="194">
        <v>62</v>
      </c>
      <c r="I147" s="195">
        <v>-8.8235294117647078E-2</v>
      </c>
      <c r="J147" s="194">
        <v>849</v>
      </c>
      <c r="K147" s="195">
        <v>0.13959731543624154</v>
      </c>
      <c r="L147" s="194">
        <v>4048</v>
      </c>
      <c r="M147" s="195">
        <v>0.46084446048357997</v>
      </c>
    </row>
    <row r="148" spans="3:13" ht="30.75" customHeight="1" thickTop="1" thickBot="1" x14ac:dyDescent="0.25">
      <c r="C148" s="196" t="s">
        <v>61</v>
      </c>
      <c r="D148" s="197">
        <v>399378</v>
      </c>
      <c r="E148" s="198">
        <v>9.8716982658784147E-3</v>
      </c>
      <c r="F148" s="197">
        <v>7567</v>
      </c>
      <c r="G148" s="198">
        <v>-5.1754385964912331E-2</v>
      </c>
      <c r="H148" s="197">
        <v>2786</v>
      </c>
      <c r="I148" s="198">
        <v>0.19059829059829059</v>
      </c>
      <c r="J148" s="197">
        <v>57639</v>
      </c>
      <c r="K148" s="198">
        <v>0.10565690280255513</v>
      </c>
      <c r="L148" s="197">
        <v>331386</v>
      </c>
      <c r="M148" s="198">
        <v>-4.9155764016298731E-3</v>
      </c>
    </row>
    <row r="149" spans="3:13" ht="24" customHeight="1" thickBot="1" x14ac:dyDescent="0.25">
      <c r="C149" s="199" t="s">
        <v>8</v>
      </c>
      <c r="D149" s="200">
        <v>471494</v>
      </c>
      <c r="E149" s="201">
        <v>-2.3057382382071223E-2</v>
      </c>
      <c r="F149" s="200">
        <v>23720</v>
      </c>
      <c r="G149" s="201">
        <v>2.5375005403535988E-2</v>
      </c>
      <c r="H149" s="200">
        <v>4232</v>
      </c>
      <c r="I149" s="201">
        <v>7.0308548305513474E-2</v>
      </c>
      <c r="J149" s="200">
        <v>87019</v>
      </c>
      <c r="K149" s="201">
        <v>3.370079114299962E-2</v>
      </c>
      <c r="L149" s="200">
        <v>356523</v>
      </c>
      <c r="M149" s="201">
        <v>-3.9935048323293421E-2</v>
      </c>
    </row>
    <row r="150" spans="3:13" ht="13.5" thickBot="1" x14ac:dyDescent="0.25">
      <c r="C150" s="18"/>
      <c r="D150" s="5"/>
      <c r="E150" s="5"/>
      <c r="F150" s="5"/>
      <c r="G150" s="5"/>
      <c r="H150" s="5"/>
      <c r="I150" s="5"/>
      <c r="J150" s="5"/>
      <c r="K150" s="5"/>
      <c r="L150" s="5"/>
      <c r="M150" s="202"/>
    </row>
    <row r="151" spans="3:13" ht="35.25" customHeight="1" thickBot="1" x14ac:dyDescent="0.25">
      <c r="C151" s="164" t="s">
        <v>29</v>
      </c>
      <c r="D151" s="165"/>
      <c r="E151" s="165"/>
      <c r="F151" s="165"/>
      <c r="G151" s="165"/>
      <c r="H151" s="165"/>
      <c r="I151" s="165"/>
      <c r="J151" s="165"/>
      <c r="K151" s="165"/>
      <c r="L151" s="165"/>
      <c r="M151" s="166"/>
    </row>
    <row r="152" spans="3:13" ht="20.100000000000001" customHeight="1" x14ac:dyDescent="0.2">
      <c r="C152" s="167"/>
      <c r="D152" s="168"/>
      <c r="E152" s="168"/>
      <c r="F152" s="168"/>
      <c r="G152" s="169" t="str">
        <f>I2</f>
        <v>acumulado marzo 2017</v>
      </c>
      <c r="H152" s="170"/>
      <c r="I152" s="170"/>
      <c r="J152" s="168"/>
      <c r="K152" s="168"/>
      <c r="L152" s="168"/>
      <c r="M152" s="171"/>
    </row>
    <row r="153" spans="3:13" ht="5.25" customHeight="1" thickBot="1" x14ac:dyDescent="0.25">
      <c r="C153" s="172"/>
      <c r="D153" s="168"/>
      <c r="E153" s="168"/>
      <c r="F153" s="168"/>
      <c r="G153" s="173"/>
      <c r="H153" s="173"/>
      <c r="I153" s="173"/>
      <c r="J153" s="168"/>
      <c r="K153" s="168"/>
      <c r="L153" s="168"/>
      <c r="M153" s="174"/>
    </row>
    <row r="154" spans="3:13" ht="32.25" customHeight="1" thickTop="1" thickBot="1" x14ac:dyDescent="0.25">
      <c r="C154" s="175"/>
      <c r="D154" s="176" t="s">
        <v>7</v>
      </c>
      <c r="E154" s="177"/>
      <c r="F154" s="176" t="s">
        <v>30</v>
      </c>
      <c r="G154" s="177"/>
      <c r="H154" s="176" t="s">
        <v>31</v>
      </c>
      <c r="I154" s="177"/>
      <c r="J154" s="176" t="s">
        <v>32</v>
      </c>
      <c r="K154" s="177"/>
      <c r="L154" s="176" t="s">
        <v>33</v>
      </c>
      <c r="M154" s="177"/>
    </row>
    <row r="155" spans="3:13" ht="31.5" customHeight="1" thickBot="1" x14ac:dyDescent="0.25">
      <c r="C155" s="178"/>
      <c r="D155" s="179" t="s">
        <v>62</v>
      </c>
      <c r="E155" s="180" t="s">
        <v>35</v>
      </c>
      <c r="F155" s="179" t="s">
        <v>62</v>
      </c>
      <c r="G155" s="180" t="s">
        <v>35</v>
      </c>
      <c r="H155" s="179" t="s">
        <v>62</v>
      </c>
      <c r="I155" s="180" t="s">
        <v>35</v>
      </c>
      <c r="J155" s="179" t="s">
        <v>62</v>
      </c>
      <c r="K155" s="180" t="s">
        <v>35</v>
      </c>
      <c r="L155" s="179" t="s">
        <v>62</v>
      </c>
      <c r="M155" s="180" t="s">
        <v>35</v>
      </c>
    </row>
    <row r="156" spans="3:13" ht="24" customHeight="1" thickBot="1" x14ac:dyDescent="0.25">
      <c r="C156" s="181" t="s">
        <v>36</v>
      </c>
      <c r="D156" s="182">
        <v>190806</v>
      </c>
      <c r="E156" s="183">
        <v>-7.215833110457337E-2</v>
      </c>
      <c r="F156" s="182">
        <v>42612</v>
      </c>
      <c r="G156" s="183">
        <v>-1.7114914425427896E-2</v>
      </c>
      <c r="H156" s="182">
        <v>4815</v>
      </c>
      <c r="I156" s="183">
        <v>1.6895459345301012E-2</v>
      </c>
      <c r="J156" s="182">
        <v>74168</v>
      </c>
      <c r="K156" s="183">
        <v>-2.0535372343937763E-2</v>
      </c>
      <c r="L156" s="182">
        <v>69211</v>
      </c>
      <c r="M156" s="183">
        <v>-0.15424095413830607</v>
      </c>
    </row>
    <row r="157" spans="3:13" ht="24" customHeight="1" thickBot="1" x14ac:dyDescent="0.25">
      <c r="C157" s="184" t="s">
        <v>37</v>
      </c>
      <c r="D157" s="185">
        <v>45480.901717817047</v>
      </c>
      <c r="E157" s="186">
        <v>-0.14520245939185916</v>
      </c>
      <c r="F157" s="185" t="s">
        <v>38</v>
      </c>
      <c r="G157" s="186" t="s">
        <v>38</v>
      </c>
      <c r="H157" s="185" t="s">
        <v>38</v>
      </c>
      <c r="I157" s="186" t="s">
        <v>38</v>
      </c>
      <c r="J157" s="185" t="s">
        <v>38</v>
      </c>
      <c r="K157" s="186" t="s">
        <v>38</v>
      </c>
      <c r="L157" s="185" t="s">
        <v>38</v>
      </c>
      <c r="M157" s="186" t="s">
        <v>38</v>
      </c>
    </row>
    <row r="158" spans="3:13" ht="24" customHeight="1" thickBot="1" x14ac:dyDescent="0.25">
      <c r="C158" s="187" t="s">
        <v>39</v>
      </c>
      <c r="D158" s="188">
        <v>23531.327038102936</v>
      </c>
      <c r="E158" s="189">
        <v>-0.12111668385946683</v>
      </c>
      <c r="F158" s="188" t="s">
        <v>38</v>
      </c>
      <c r="G158" s="189" t="s">
        <v>38</v>
      </c>
      <c r="H158" s="188" t="s">
        <v>38</v>
      </c>
      <c r="I158" s="189" t="s">
        <v>38</v>
      </c>
      <c r="J158" s="188" t="s">
        <v>38</v>
      </c>
      <c r="K158" s="189" t="s">
        <v>38</v>
      </c>
      <c r="L158" s="188" t="s">
        <v>38</v>
      </c>
      <c r="M158" s="189" t="s">
        <v>38</v>
      </c>
    </row>
    <row r="159" spans="3:13" ht="24" customHeight="1" thickBot="1" x14ac:dyDescent="0.25">
      <c r="C159" s="187" t="s">
        <v>40</v>
      </c>
      <c r="D159" s="188">
        <v>121793.77124415214</v>
      </c>
      <c r="E159" s="189">
        <v>-3.080011357251089E-2</v>
      </c>
      <c r="F159" s="188" t="s">
        <v>38</v>
      </c>
      <c r="G159" s="189" t="s">
        <v>38</v>
      </c>
      <c r="H159" s="188" t="s">
        <v>38</v>
      </c>
      <c r="I159" s="189" t="s">
        <v>38</v>
      </c>
      <c r="J159" s="188" t="s">
        <v>38</v>
      </c>
      <c r="K159" s="189" t="s">
        <v>38</v>
      </c>
      <c r="L159" s="188" t="s">
        <v>38</v>
      </c>
      <c r="M159" s="189" t="s">
        <v>38</v>
      </c>
    </row>
    <row r="160" spans="3:13" ht="24" customHeight="1" thickBot="1" x14ac:dyDescent="0.25">
      <c r="C160" s="190" t="s">
        <v>41</v>
      </c>
      <c r="D160" s="191">
        <v>37329</v>
      </c>
      <c r="E160" s="189">
        <v>9.0282470604134968E-3</v>
      </c>
      <c r="F160" s="191">
        <v>640</v>
      </c>
      <c r="G160" s="189">
        <v>0.20300751879699241</v>
      </c>
      <c r="H160" s="191">
        <v>356</v>
      </c>
      <c r="I160" s="189">
        <v>2.2988505747126409E-2</v>
      </c>
      <c r="J160" s="191">
        <v>3028</v>
      </c>
      <c r="K160" s="189">
        <v>0.42360131640808651</v>
      </c>
      <c r="L160" s="191">
        <v>33305</v>
      </c>
      <c r="M160" s="189">
        <v>-2.0095327762739812E-2</v>
      </c>
    </row>
    <row r="161" spans="3:13" ht="24" customHeight="1" thickBot="1" x14ac:dyDescent="0.25">
      <c r="C161" s="192" t="s">
        <v>42</v>
      </c>
      <c r="D161" s="188">
        <v>40355</v>
      </c>
      <c r="E161" s="189">
        <v>-3.2578990267056573E-2</v>
      </c>
      <c r="F161" s="188">
        <v>498</v>
      </c>
      <c r="G161" s="189">
        <v>0.14746543778801846</v>
      </c>
      <c r="H161" s="188">
        <v>202</v>
      </c>
      <c r="I161" s="189">
        <v>4.663212435233155E-2</v>
      </c>
      <c r="J161" s="188">
        <v>2265</v>
      </c>
      <c r="K161" s="189">
        <v>0.64727272727272722</v>
      </c>
      <c r="L161" s="188">
        <v>37390</v>
      </c>
      <c r="M161" s="189">
        <v>-5.8470991136180483E-2</v>
      </c>
    </row>
    <row r="162" spans="3:13" ht="24" customHeight="1" thickBot="1" x14ac:dyDescent="0.25">
      <c r="C162" s="190" t="s">
        <v>43</v>
      </c>
      <c r="D162" s="191">
        <v>161643</v>
      </c>
      <c r="E162" s="189">
        <v>-6.9552053233252309E-2</v>
      </c>
      <c r="F162" s="191">
        <v>2918</v>
      </c>
      <c r="G162" s="189">
        <v>-0.17360521098838855</v>
      </c>
      <c r="H162" s="191">
        <v>3016</v>
      </c>
      <c r="I162" s="189">
        <v>0.2200647249190939</v>
      </c>
      <c r="J162" s="191">
        <v>64460</v>
      </c>
      <c r="K162" s="189">
        <v>-4.1999821656808267E-2</v>
      </c>
      <c r="L162" s="191">
        <v>91249</v>
      </c>
      <c r="M162" s="189">
        <v>-9.1480231388830768E-2</v>
      </c>
    </row>
    <row r="163" spans="3:13" ht="24" customHeight="1" thickBot="1" x14ac:dyDescent="0.25">
      <c r="C163" s="192" t="s">
        <v>44</v>
      </c>
      <c r="D163" s="188">
        <v>46201</v>
      </c>
      <c r="E163" s="189">
        <v>0.11233899121223057</v>
      </c>
      <c r="F163" s="188">
        <v>1741</v>
      </c>
      <c r="G163" s="189">
        <v>-0.22449888641425386</v>
      </c>
      <c r="H163" s="188">
        <v>1147</v>
      </c>
      <c r="I163" s="189">
        <v>1.2356575463371655E-2</v>
      </c>
      <c r="J163" s="188">
        <v>7966</v>
      </c>
      <c r="K163" s="189">
        <v>0.16224102713743793</v>
      </c>
      <c r="L163" s="188">
        <v>35347</v>
      </c>
      <c r="M163" s="189">
        <v>0.12918889563300651</v>
      </c>
    </row>
    <row r="164" spans="3:13" ht="24" customHeight="1" thickBot="1" x14ac:dyDescent="0.25">
      <c r="C164" s="190" t="s">
        <v>45</v>
      </c>
      <c r="D164" s="191">
        <v>462051</v>
      </c>
      <c r="E164" s="189">
        <v>7.7953746861891826E-3</v>
      </c>
      <c r="F164" s="191">
        <v>3847</v>
      </c>
      <c r="G164" s="189">
        <v>4.141851651326478E-2</v>
      </c>
      <c r="H164" s="191">
        <v>900</v>
      </c>
      <c r="I164" s="189">
        <v>-3.3222591362126463E-3</v>
      </c>
      <c r="J164" s="191">
        <v>28954</v>
      </c>
      <c r="K164" s="189">
        <v>0.30106947065696055</v>
      </c>
      <c r="L164" s="191">
        <v>428350</v>
      </c>
      <c r="M164" s="189">
        <v>-7.5899042226371671E-3</v>
      </c>
    </row>
    <row r="165" spans="3:13" ht="24" customHeight="1" thickBot="1" x14ac:dyDescent="0.25">
      <c r="C165" s="192" t="s">
        <v>46</v>
      </c>
      <c r="D165" s="188">
        <v>20717</v>
      </c>
      <c r="E165" s="189">
        <v>2.8970112500603662E-4</v>
      </c>
      <c r="F165" s="188">
        <v>392</v>
      </c>
      <c r="G165" s="189">
        <v>-8.1967213114754078E-2</v>
      </c>
      <c r="H165" s="188">
        <v>86</v>
      </c>
      <c r="I165" s="189">
        <v>0.28358208955223874</v>
      </c>
      <c r="J165" s="188">
        <v>1336</v>
      </c>
      <c r="K165" s="189">
        <v>-2.4105186267348477E-2</v>
      </c>
      <c r="L165" s="188">
        <v>18903</v>
      </c>
      <c r="M165" s="189">
        <v>2.9180814940577005E-3</v>
      </c>
    </row>
    <row r="166" spans="3:13" ht="24" customHeight="1" thickBot="1" x14ac:dyDescent="0.25">
      <c r="C166" s="190" t="s">
        <v>47</v>
      </c>
      <c r="D166" s="191">
        <v>39917</v>
      </c>
      <c r="E166" s="189">
        <v>-8.9006549969189996E-2</v>
      </c>
      <c r="F166" s="191">
        <v>2256</v>
      </c>
      <c r="G166" s="189">
        <v>-2.9677419354838697E-2</v>
      </c>
      <c r="H166" s="191">
        <v>374</v>
      </c>
      <c r="I166" s="189">
        <v>-0.17802197802197806</v>
      </c>
      <c r="J166" s="191">
        <v>3975</v>
      </c>
      <c r="K166" s="189">
        <v>0.1260623229461757</v>
      </c>
      <c r="L166" s="191">
        <v>33312</v>
      </c>
      <c r="M166" s="189">
        <v>-0.1118457887860933</v>
      </c>
    </row>
    <row r="167" spans="3:13" ht="24" customHeight="1" thickBot="1" x14ac:dyDescent="0.25">
      <c r="C167" s="192" t="s">
        <v>48</v>
      </c>
      <c r="D167" s="188">
        <v>194299</v>
      </c>
      <c r="E167" s="189">
        <v>-2.9111805121798895E-2</v>
      </c>
      <c r="F167" s="188">
        <v>3819</v>
      </c>
      <c r="G167" s="189">
        <v>3.6793692509855536E-3</v>
      </c>
      <c r="H167" s="188">
        <v>262</v>
      </c>
      <c r="I167" s="189">
        <v>-1.5037593984962405E-2</v>
      </c>
      <c r="J167" s="188">
        <v>29573</v>
      </c>
      <c r="K167" s="189">
        <v>0.12091119281355422</v>
      </c>
      <c r="L167" s="188">
        <v>160645</v>
      </c>
      <c r="M167" s="189">
        <v>-5.3197069622976212E-2</v>
      </c>
    </row>
    <row r="168" spans="3:13" ht="24" customHeight="1" thickBot="1" x14ac:dyDescent="0.25">
      <c r="C168" s="193" t="s">
        <v>49</v>
      </c>
      <c r="D168" s="191">
        <v>70903</v>
      </c>
      <c r="E168" s="189">
        <v>-7.1971659408823774E-3</v>
      </c>
      <c r="F168" s="191">
        <v>1467</v>
      </c>
      <c r="G168" s="189">
        <v>2.049180327868827E-3</v>
      </c>
      <c r="H168" s="191">
        <v>93</v>
      </c>
      <c r="I168" s="189">
        <v>0.16250000000000009</v>
      </c>
      <c r="J168" s="191">
        <v>8338</v>
      </c>
      <c r="K168" s="189">
        <v>7.5454662711208487E-2</v>
      </c>
      <c r="L168" s="191">
        <v>61005</v>
      </c>
      <c r="M168" s="189">
        <v>-1.7949130714745687E-2</v>
      </c>
    </row>
    <row r="169" spans="3:13" ht="24" customHeight="1" thickBot="1" x14ac:dyDescent="0.25">
      <c r="C169" s="187" t="s">
        <v>50</v>
      </c>
      <c r="D169" s="188">
        <v>34258</v>
      </c>
      <c r="E169" s="189">
        <v>-3.8533860963767541E-2</v>
      </c>
      <c r="F169" s="188">
        <v>931</v>
      </c>
      <c r="G169" s="189">
        <v>6.8886337543053955E-2</v>
      </c>
      <c r="H169" s="188">
        <v>33</v>
      </c>
      <c r="I169" s="189">
        <v>0</v>
      </c>
      <c r="J169" s="188">
        <v>3345</v>
      </c>
      <c r="K169" s="189">
        <v>0.42948717948717952</v>
      </c>
      <c r="L169" s="188">
        <v>29949</v>
      </c>
      <c r="M169" s="189">
        <v>-7.5277117361904455E-2</v>
      </c>
    </row>
    <row r="170" spans="3:13" ht="24" customHeight="1" thickBot="1" x14ac:dyDescent="0.25">
      <c r="C170" s="193" t="s">
        <v>51</v>
      </c>
      <c r="D170" s="191">
        <v>44406</v>
      </c>
      <c r="E170" s="189">
        <v>-2.7889667250437844E-2</v>
      </c>
      <c r="F170" s="191">
        <v>530</v>
      </c>
      <c r="G170" s="189">
        <v>-0.11519198664440733</v>
      </c>
      <c r="H170" s="191">
        <v>95</v>
      </c>
      <c r="I170" s="189">
        <v>0</v>
      </c>
      <c r="J170" s="191">
        <v>5346</v>
      </c>
      <c r="K170" s="189">
        <v>0.29192846785886895</v>
      </c>
      <c r="L170" s="191">
        <v>38435</v>
      </c>
      <c r="M170" s="189">
        <v>-5.9072659616137835E-2</v>
      </c>
    </row>
    <row r="171" spans="3:13" ht="24" customHeight="1" thickBot="1" x14ac:dyDescent="0.25">
      <c r="C171" s="187" t="s">
        <v>52</v>
      </c>
      <c r="D171" s="188">
        <v>44732</v>
      </c>
      <c r="E171" s="189">
        <v>-5.6227187374728316E-2</v>
      </c>
      <c r="F171" s="188">
        <v>891</v>
      </c>
      <c r="G171" s="189">
        <v>2.2962112514351318E-2</v>
      </c>
      <c r="H171" s="188">
        <v>41</v>
      </c>
      <c r="I171" s="189">
        <v>-0.2931034482758621</v>
      </c>
      <c r="J171" s="188">
        <v>12544</v>
      </c>
      <c r="K171" s="189">
        <v>3.2258064516129004E-2</v>
      </c>
      <c r="L171" s="188">
        <v>31256</v>
      </c>
      <c r="M171" s="189">
        <v>-8.9171232078330775E-2</v>
      </c>
    </row>
    <row r="172" spans="3:13" ht="24" customHeight="1" thickBot="1" x14ac:dyDescent="0.25">
      <c r="C172" s="190" t="s">
        <v>53</v>
      </c>
      <c r="D172" s="191">
        <v>12271</v>
      </c>
      <c r="E172" s="189">
        <v>2.6518320227538972E-2</v>
      </c>
      <c r="F172" s="191">
        <v>424</v>
      </c>
      <c r="G172" s="189">
        <v>-9.2077087794432577E-2</v>
      </c>
      <c r="H172" s="191">
        <v>258</v>
      </c>
      <c r="I172" s="189">
        <v>0.51764705882352935</v>
      </c>
      <c r="J172" s="191">
        <v>2367</v>
      </c>
      <c r="K172" s="189">
        <v>0.16086316821971547</v>
      </c>
      <c r="L172" s="191">
        <v>9222</v>
      </c>
      <c r="M172" s="189">
        <v>-6.0357835740461052E-3</v>
      </c>
    </row>
    <row r="173" spans="3:13" ht="24" customHeight="1" thickBot="1" x14ac:dyDescent="0.25">
      <c r="C173" s="192" t="s">
        <v>54</v>
      </c>
      <c r="D173" s="188">
        <v>9920</v>
      </c>
      <c r="E173" s="189">
        <v>5.5319148936170182E-2</v>
      </c>
      <c r="F173" s="188">
        <v>245</v>
      </c>
      <c r="G173" s="189">
        <v>-0.22712933753943221</v>
      </c>
      <c r="H173" s="188">
        <v>155</v>
      </c>
      <c r="I173" s="189">
        <v>0.10714285714285721</v>
      </c>
      <c r="J173" s="188">
        <v>2237</v>
      </c>
      <c r="K173" s="189">
        <v>0.19243070362473347</v>
      </c>
      <c r="L173" s="188">
        <v>7283</v>
      </c>
      <c r="M173" s="189">
        <v>3.0564596009622136E-2</v>
      </c>
    </row>
    <row r="174" spans="3:13" ht="24" customHeight="1" thickBot="1" x14ac:dyDescent="0.25">
      <c r="C174" s="190" t="s">
        <v>55</v>
      </c>
      <c r="D174" s="191">
        <v>17770</v>
      </c>
      <c r="E174" s="189">
        <v>3.1759856006502885E-2</v>
      </c>
      <c r="F174" s="191">
        <v>546</v>
      </c>
      <c r="G174" s="189">
        <v>3.0188679245283012E-2</v>
      </c>
      <c r="H174" s="191">
        <v>91</v>
      </c>
      <c r="I174" s="189">
        <v>0.13749999999999996</v>
      </c>
      <c r="J174" s="191">
        <v>1850</v>
      </c>
      <c r="K174" s="189">
        <v>0.21630506245890868</v>
      </c>
      <c r="L174" s="191">
        <v>15283</v>
      </c>
      <c r="M174" s="189">
        <v>1.2655711635303435E-2</v>
      </c>
    </row>
    <row r="175" spans="3:13" ht="24" customHeight="1" thickBot="1" x14ac:dyDescent="0.25">
      <c r="C175" s="192" t="s">
        <v>56</v>
      </c>
      <c r="D175" s="188">
        <v>32885</v>
      </c>
      <c r="E175" s="189">
        <v>0.1037086759523409</v>
      </c>
      <c r="F175" s="188">
        <v>839</v>
      </c>
      <c r="G175" s="189">
        <v>0.17671809256661986</v>
      </c>
      <c r="H175" s="188">
        <v>130</v>
      </c>
      <c r="I175" s="189">
        <v>1.2807017543859649</v>
      </c>
      <c r="J175" s="188">
        <v>4172</v>
      </c>
      <c r="K175" s="189">
        <v>0.16308893225536658</v>
      </c>
      <c r="L175" s="188">
        <v>27744</v>
      </c>
      <c r="M175" s="189">
        <v>9.065178080037728E-2</v>
      </c>
    </row>
    <row r="176" spans="3:13" ht="24" customHeight="1" thickBot="1" x14ac:dyDescent="0.25">
      <c r="C176" s="190" t="s">
        <v>57</v>
      </c>
      <c r="D176" s="191">
        <v>35874</v>
      </c>
      <c r="E176" s="189">
        <v>1.3504350774098839E-2</v>
      </c>
      <c r="F176" s="191">
        <v>2071</v>
      </c>
      <c r="G176" s="189">
        <v>0.26126674786845316</v>
      </c>
      <c r="H176" s="191">
        <v>192</v>
      </c>
      <c r="I176" s="189">
        <v>0.27152317880794707</v>
      </c>
      <c r="J176" s="191">
        <v>8614</v>
      </c>
      <c r="K176" s="189">
        <v>0.25422248107163647</v>
      </c>
      <c r="L176" s="191">
        <v>24997</v>
      </c>
      <c r="M176" s="189">
        <v>-6.5008415934168728E-2</v>
      </c>
    </row>
    <row r="177" spans="3:18" ht="24" customHeight="1" thickBot="1" x14ac:dyDescent="0.25">
      <c r="C177" s="192" t="s">
        <v>58</v>
      </c>
      <c r="D177" s="188">
        <v>4772</v>
      </c>
      <c r="E177" s="189">
        <v>0.31677704194260481</v>
      </c>
      <c r="F177" s="188">
        <v>658</v>
      </c>
      <c r="G177" s="189">
        <v>0.26782273603082851</v>
      </c>
      <c r="H177" s="188">
        <v>185</v>
      </c>
      <c r="I177" s="189">
        <v>0.66666666666666674</v>
      </c>
      <c r="J177" s="188">
        <v>886</v>
      </c>
      <c r="K177" s="189">
        <v>0.38437499999999991</v>
      </c>
      <c r="L177" s="188">
        <v>3043</v>
      </c>
      <c r="M177" s="189">
        <v>0.29269328802039074</v>
      </c>
    </row>
    <row r="178" spans="3:18" ht="24" customHeight="1" thickBot="1" x14ac:dyDescent="0.25">
      <c r="C178" s="190" t="s">
        <v>59</v>
      </c>
      <c r="D178" s="191">
        <v>4146</v>
      </c>
      <c r="E178" s="189">
        <v>0.12236058473199773</v>
      </c>
      <c r="F178" s="191">
        <v>901</v>
      </c>
      <c r="G178" s="189">
        <v>0.30390738060781475</v>
      </c>
      <c r="H178" s="191">
        <v>118</v>
      </c>
      <c r="I178" s="189">
        <v>-1.6666666666666718E-2</v>
      </c>
      <c r="J178" s="191">
        <v>843</v>
      </c>
      <c r="K178" s="189">
        <v>0.19914651493598856</v>
      </c>
      <c r="L178" s="191">
        <v>2284</v>
      </c>
      <c r="M178" s="189">
        <v>4.7706422018348515E-2</v>
      </c>
    </row>
    <row r="179" spans="3:18" ht="24" customHeight="1" thickBot="1" x14ac:dyDescent="0.25">
      <c r="C179" s="192" t="s">
        <v>60</v>
      </c>
      <c r="D179" s="194">
        <v>14941</v>
      </c>
      <c r="E179" s="195">
        <v>0.26876698369565211</v>
      </c>
      <c r="F179" s="194">
        <v>1502</v>
      </c>
      <c r="G179" s="195">
        <v>4.88826815642458E-2</v>
      </c>
      <c r="H179" s="194">
        <v>187</v>
      </c>
      <c r="I179" s="195">
        <v>-0.11792452830188682</v>
      </c>
      <c r="J179" s="194">
        <v>2718</v>
      </c>
      <c r="K179" s="195">
        <v>1.6074766355140158E-2</v>
      </c>
      <c r="L179" s="194">
        <v>10534</v>
      </c>
      <c r="M179" s="195">
        <v>0.41263242590854232</v>
      </c>
    </row>
    <row r="180" spans="3:18" ht="30.75" customHeight="1" thickTop="1" thickBot="1" x14ac:dyDescent="0.25">
      <c r="C180" s="196" t="s">
        <v>61</v>
      </c>
      <c r="D180" s="197">
        <v>1135091</v>
      </c>
      <c r="E180" s="198">
        <v>-4.2729494491922093E-3</v>
      </c>
      <c r="F180" s="197">
        <v>23297</v>
      </c>
      <c r="G180" s="198">
        <v>-3.0037761757639725E-4</v>
      </c>
      <c r="H180" s="197">
        <v>7659</v>
      </c>
      <c r="I180" s="198">
        <v>0.11355045071241632</v>
      </c>
      <c r="J180" s="197">
        <v>165244</v>
      </c>
      <c r="K180" s="198">
        <v>9.3700980229933784E-2</v>
      </c>
      <c r="L180" s="197">
        <v>938891</v>
      </c>
      <c r="M180" s="198">
        <v>-2.0655204533672422E-2</v>
      </c>
    </row>
    <row r="181" spans="3:18" ht="24" customHeight="1" thickBot="1" x14ac:dyDescent="0.25">
      <c r="C181" s="199" t="s">
        <v>8</v>
      </c>
      <c r="D181" s="200">
        <v>1325897</v>
      </c>
      <c r="E181" s="201">
        <v>-1.464766458557365E-2</v>
      </c>
      <c r="F181" s="200">
        <v>65909</v>
      </c>
      <c r="G181" s="201">
        <v>-1.1236460739896148E-2</v>
      </c>
      <c r="H181" s="200">
        <v>12474</v>
      </c>
      <c r="I181" s="201">
        <v>7.4141048824593048E-2</v>
      </c>
      <c r="J181" s="200">
        <v>239412</v>
      </c>
      <c r="K181" s="201">
        <v>5.5561924077421665E-2</v>
      </c>
      <c r="L181" s="200">
        <v>1008102</v>
      </c>
      <c r="M181" s="201">
        <v>-3.1161162719624547E-2</v>
      </c>
    </row>
    <row r="182" spans="3:18" ht="18" customHeight="1" x14ac:dyDescent="0.2">
      <c r="C182" s="4"/>
    </row>
    <row r="183" spans="3:18" ht="17.25" hidden="1" customHeight="1" x14ac:dyDescent="0.2">
      <c r="C183" s="157"/>
      <c r="D183" s="158"/>
      <c r="E183" s="158"/>
      <c r="F183" s="158"/>
      <c r="G183" s="158"/>
      <c r="H183" s="158"/>
      <c r="I183" s="158"/>
      <c r="J183" s="158"/>
      <c r="K183" s="158"/>
      <c r="L183" s="158"/>
      <c r="M183" s="159"/>
    </row>
    <row r="184" spans="3:18" ht="21.75" hidden="1" customHeight="1" x14ac:dyDescent="0.2">
      <c r="C184" s="160"/>
      <c r="D184" s="161"/>
      <c r="E184" s="203" t="str">
        <f>$E$1</f>
        <v>INDICADORES TURÍSTICOS DE TENERIFE definitivo</v>
      </c>
      <c r="F184" s="204"/>
      <c r="G184" s="204"/>
      <c r="H184" s="204"/>
      <c r="I184" s="204"/>
      <c r="J184" s="204"/>
      <c r="K184" s="205"/>
      <c r="L184" s="161"/>
      <c r="M184" s="163"/>
    </row>
    <row r="185" spans="3:18" s="1" customFormat="1" ht="21.75" hidden="1" customHeight="1" x14ac:dyDescent="0.2">
      <c r="C185" s="160"/>
      <c r="D185" s="161"/>
      <c r="E185" s="162"/>
      <c r="F185" s="162"/>
      <c r="G185" s="162"/>
      <c r="H185" s="162"/>
      <c r="I185" s="162"/>
      <c r="J185" s="162"/>
      <c r="K185" s="162"/>
      <c r="L185" s="161"/>
      <c r="M185" s="163"/>
    </row>
    <row r="186" spans="3:18" ht="33" hidden="1" customHeight="1" x14ac:dyDescent="0.2">
      <c r="C186" s="206" t="s">
        <v>29</v>
      </c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8"/>
    </row>
    <row r="187" spans="3:18" ht="20.100000000000001" hidden="1" customHeight="1" x14ac:dyDescent="0.2">
      <c r="C187" s="209">
        <f>E3</f>
        <v>0</v>
      </c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1"/>
    </row>
    <row r="188" spans="3:18" ht="17.25" hidden="1" customHeight="1" x14ac:dyDescent="0.2">
      <c r="C188" s="211"/>
      <c r="D188" s="212" t="s">
        <v>24</v>
      </c>
      <c r="E188" s="213"/>
      <c r="F188" s="212" t="s">
        <v>23</v>
      </c>
      <c r="G188" s="213"/>
      <c r="H188" s="212" t="s">
        <v>22</v>
      </c>
      <c r="I188" s="213"/>
      <c r="J188" s="212" t="s">
        <v>21</v>
      </c>
      <c r="K188" s="213"/>
      <c r="L188" s="212" t="s">
        <v>20</v>
      </c>
      <c r="M188" s="213"/>
      <c r="N188" s="212" t="s">
        <v>63</v>
      </c>
      <c r="O188" s="213"/>
      <c r="P188" s="212" t="s">
        <v>64</v>
      </c>
      <c r="Q188" s="213"/>
    </row>
    <row r="189" spans="3:18" ht="28.5" hidden="1" customHeight="1" x14ac:dyDescent="0.2">
      <c r="C189" s="211"/>
      <c r="D189" s="214" t="s">
        <v>35</v>
      </c>
      <c r="E189" s="214" t="s">
        <v>34</v>
      </c>
      <c r="F189" s="214" t="s">
        <v>35</v>
      </c>
      <c r="G189" s="214" t="s">
        <v>34</v>
      </c>
      <c r="H189" s="214" t="s">
        <v>35</v>
      </c>
      <c r="I189" s="214" t="s">
        <v>34</v>
      </c>
      <c r="J189" s="214" t="s">
        <v>35</v>
      </c>
      <c r="K189" s="214" t="s">
        <v>34</v>
      </c>
      <c r="L189" s="214" t="s">
        <v>35</v>
      </c>
      <c r="M189" s="214" t="s">
        <v>34</v>
      </c>
      <c r="N189" s="214" t="s">
        <v>35</v>
      </c>
      <c r="O189" s="214" t="s">
        <v>34</v>
      </c>
      <c r="P189" s="214" t="s">
        <v>35</v>
      </c>
      <c r="Q189" s="214" t="s">
        <v>34</v>
      </c>
    </row>
    <row r="190" spans="3:18" ht="24" hidden="1" customHeight="1" x14ac:dyDescent="0.2">
      <c r="C190" s="215" t="s">
        <v>36</v>
      </c>
      <c r="D190" s="216" t="e">
        <f>VLOOKUP("españa",#REF!,6,FALSE)/VLOOKUP("españa",#REF!,6,FALSE)-1</f>
        <v>#REF!</v>
      </c>
      <c r="E190" s="217" t="e">
        <f>VLOOKUP("españa",#REF!,6,FALSE)</f>
        <v>#REF!</v>
      </c>
      <c r="F190" s="216" t="e">
        <f>VLOOKUP("españa",#REF!,5,FALSE)/VLOOKUP("españa",#REF!,5,FALSE)-1</f>
        <v>#REF!</v>
      </c>
      <c r="G190" s="217" t="e">
        <f>VLOOKUP("españa",#REF!,5,FALSE)</f>
        <v>#REF!</v>
      </c>
      <c r="H190" s="216" t="e">
        <f>VLOOKUP("españa",#REF!,4,FALSE)/VLOOKUP("españa",#REF!,4,FALSE)-1</f>
        <v>#REF!</v>
      </c>
      <c r="I190" s="217" t="e">
        <f>VLOOKUP("españa",#REF!,4,FALSE)</f>
        <v>#REF!</v>
      </c>
      <c r="J190" s="216" t="e">
        <f>VLOOKUP("españa",#REF!,3,FALSE)/VLOOKUP("españa",#REF!,3,FALSE)-1</f>
        <v>#REF!</v>
      </c>
      <c r="K190" s="217" t="e">
        <f>VLOOKUP("españa",#REF!,3,FALSE)</f>
        <v>#REF!</v>
      </c>
      <c r="L190" s="216" t="e">
        <f>VLOOKUP("españa",#REF!,2,FALSE)/VLOOKUP("españa",#REF!,2,FALSE)-1</f>
        <v>#REF!</v>
      </c>
      <c r="M190" s="217" t="e">
        <f>VLOOKUP("españa",#REF!,2,FALSE)</f>
        <v>#REF!</v>
      </c>
      <c r="N190" s="216" t="e">
        <f>VLOOKUP("españa",#REF!,7,FALSE)/VLOOKUP("españa",#REF!,7,FALSE)-1</f>
        <v>#REF!</v>
      </c>
      <c r="O190" s="217" t="e">
        <f>VLOOKUP("españa",#REF!,7,FALSE)</f>
        <v>#REF!</v>
      </c>
      <c r="P190" s="216" t="e">
        <f>VLOOKUP("españa",#REF!,8,FALSE)/VLOOKUP("españa",#REF!,8,FALSE)-1</f>
        <v>#REF!</v>
      </c>
      <c r="Q190" s="217" t="e">
        <f>VLOOKUP("españa",#REF!,8,FALSE)</f>
        <v>#REF!</v>
      </c>
    </row>
    <row r="191" spans="3:18" ht="24" hidden="1" customHeight="1" x14ac:dyDescent="0.2">
      <c r="C191" s="215" t="s">
        <v>41</v>
      </c>
      <c r="D191" s="216" t="e">
        <f>VLOOKUP("holanda",#REF!,6,FALSE)/VLOOKUP("holanda",#REF!,6,FALSE)-1</f>
        <v>#REF!</v>
      </c>
      <c r="E191" s="217" t="e">
        <f>VLOOKUP("holanda",#REF!,6,FALSE)</f>
        <v>#REF!</v>
      </c>
      <c r="F191" s="216" t="e">
        <f>VLOOKUP("holanda",#REF!,5,FALSE)/VLOOKUP("holanda",#REF!,5,FALSE)-1</f>
        <v>#REF!</v>
      </c>
      <c r="G191" s="217" t="e">
        <f>VLOOKUP("holanda",#REF!,5,FALSE)</f>
        <v>#REF!</v>
      </c>
      <c r="H191" s="216" t="e">
        <f>VLOOKUP("holanda",#REF!,4,FALSE)/VLOOKUP("holanda",#REF!,4,FALSE)-1</f>
        <v>#REF!</v>
      </c>
      <c r="I191" s="217" t="e">
        <f>VLOOKUP("holanda",#REF!,4,FALSE)</f>
        <v>#REF!</v>
      </c>
      <c r="J191" s="216" t="e">
        <f>VLOOKUP("holanda",#REF!,3,FALSE)/VLOOKUP("holanda",#REF!,3,FALSE)-1</f>
        <v>#REF!</v>
      </c>
      <c r="K191" s="217" t="e">
        <f>VLOOKUP("holanda",#REF!,3,FALSE)</f>
        <v>#REF!</v>
      </c>
      <c r="L191" s="216" t="e">
        <f>VLOOKUP("holanda",#REF!,2,FALSE)/VLOOKUP("holanda",#REF!,2,FALSE)-1</f>
        <v>#REF!</v>
      </c>
      <c r="M191" s="217" t="e">
        <f>VLOOKUP("holanda",#REF!,2,FALSE)</f>
        <v>#REF!</v>
      </c>
      <c r="N191" s="216" t="e">
        <f>VLOOKUP("holanda",#REF!,7,FALSE)/VLOOKUP("holanda",#REF!,7,FALSE)-1</f>
        <v>#REF!</v>
      </c>
      <c r="O191" s="217" t="e">
        <f>VLOOKUP("holanda",#REF!,7,FALSE)</f>
        <v>#REF!</v>
      </c>
      <c r="P191" s="216" t="e">
        <f>VLOOKUP("holanda",#REF!,8,FALSE)/VLOOKUP("holanda",#REF!,8,FALSE)-1</f>
        <v>#REF!</v>
      </c>
      <c r="Q191" s="217" t="e">
        <f>VLOOKUP("holanda",#REF!,8,FALSE)</f>
        <v>#REF!</v>
      </c>
    </row>
    <row r="192" spans="3:18" ht="24" hidden="1" customHeight="1" x14ac:dyDescent="0.2">
      <c r="C192" s="215" t="s">
        <v>42</v>
      </c>
      <c r="D192" s="216" t="e">
        <f>VLOOKUP("belgica",#REF!,6,FALSE)/VLOOKUP("belgica",#REF!,6,FALSE)-1</f>
        <v>#REF!</v>
      </c>
      <c r="E192" s="217" t="e">
        <f>VLOOKUP("belgica",#REF!,6,FALSE)</f>
        <v>#REF!</v>
      </c>
      <c r="F192" s="216" t="e">
        <f>VLOOKUP("belgica",#REF!,5,FALSE)/VLOOKUP("belgica",#REF!,5,FALSE)-1</f>
        <v>#REF!</v>
      </c>
      <c r="G192" s="217" t="e">
        <f>VLOOKUP("belgica",#REF!,5,FALSE)</f>
        <v>#REF!</v>
      </c>
      <c r="H192" s="216" t="e">
        <f>VLOOKUP("belgica",#REF!,4,FALSE)/VLOOKUP("belgica",#REF!,4,FALSE)-1</f>
        <v>#REF!</v>
      </c>
      <c r="I192" s="217" t="e">
        <f>VLOOKUP("belgica",#REF!,4,FALSE)</f>
        <v>#REF!</v>
      </c>
      <c r="J192" s="216" t="e">
        <f>VLOOKUP("belgica",#REF!,3,FALSE)/VLOOKUP("belgica",#REF!,3,FALSE)-1</f>
        <v>#REF!</v>
      </c>
      <c r="K192" s="217" t="e">
        <f>VLOOKUP("belgica",#REF!,3,FALSE)</f>
        <v>#REF!</v>
      </c>
      <c r="L192" s="216" t="e">
        <f>VLOOKUP("belgica",#REF!,2,FALSE)/VLOOKUP("belgica",#REF!,2,FALSE)-1</f>
        <v>#REF!</v>
      </c>
      <c r="M192" s="217" t="e">
        <f>VLOOKUP("belgica",#REF!,2,FALSE)</f>
        <v>#REF!</v>
      </c>
      <c r="N192" s="216" t="e">
        <f>VLOOKUP("belgica",#REF!,7,FALSE)/VLOOKUP("belgica",#REF!,7,FALSE)-1</f>
        <v>#REF!</v>
      </c>
      <c r="O192" s="217" t="e">
        <f>VLOOKUP("belgica",#REF!,7,FALSE)</f>
        <v>#REF!</v>
      </c>
      <c r="P192" s="216" t="e">
        <f>VLOOKUP("belgica",#REF!,8,FALSE)/VLOOKUP("belgica",#REF!,8,FALSE)-1</f>
        <v>#REF!</v>
      </c>
      <c r="Q192" s="217" t="e">
        <f>VLOOKUP("belgica",#REF!,8,FALSE)</f>
        <v>#REF!</v>
      </c>
    </row>
    <row r="193" spans="3:17" ht="24" hidden="1" customHeight="1" x14ac:dyDescent="0.2">
      <c r="C193" s="215" t="s">
        <v>43</v>
      </c>
      <c r="D193" s="216" t="e">
        <f>VLOOKUP("alemania",#REF!,6,FALSE)/VLOOKUP("alemania",#REF!,6,FALSE)-1</f>
        <v>#REF!</v>
      </c>
      <c r="E193" s="217" t="e">
        <f>VLOOKUP("alemania",#REF!,6,FALSE)</f>
        <v>#REF!</v>
      </c>
      <c r="F193" s="216" t="e">
        <f>VLOOKUP("alemania",#REF!,5,FALSE)/VLOOKUP("alemania",#REF!,5,FALSE)-1</f>
        <v>#REF!</v>
      </c>
      <c r="G193" s="217" t="e">
        <f>VLOOKUP("alemania",#REF!,5,FALSE)</f>
        <v>#REF!</v>
      </c>
      <c r="H193" s="216" t="e">
        <f>VLOOKUP("alemania",#REF!,4,FALSE)/VLOOKUP("alemania",#REF!,4,FALSE)-1</f>
        <v>#REF!</v>
      </c>
      <c r="I193" s="217" t="e">
        <f>VLOOKUP("alemania",#REF!,4,FALSE)</f>
        <v>#REF!</v>
      </c>
      <c r="J193" s="216" t="e">
        <f>VLOOKUP("alemania",#REF!,3,FALSE)/VLOOKUP("alemania",#REF!,3,FALSE)-1</f>
        <v>#REF!</v>
      </c>
      <c r="K193" s="217" t="e">
        <f>VLOOKUP("alemania",#REF!,3,FALSE)</f>
        <v>#REF!</v>
      </c>
      <c r="L193" s="216" t="e">
        <f>VLOOKUP("alemania",#REF!,2,FALSE)/VLOOKUP("alemania",#REF!,2,FALSE)-1</f>
        <v>#REF!</v>
      </c>
      <c r="M193" s="217" t="e">
        <f>VLOOKUP("alemania",#REF!,2,FALSE)</f>
        <v>#REF!</v>
      </c>
      <c r="N193" s="216" t="e">
        <f>VLOOKUP("alemania",#REF!,7,FALSE)/VLOOKUP("alemania",#REF!,7,FALSE)-1</f>
        <v>#REF!</v>
      </c>
      <c r="O193" s="217" t="e">
        <f>VLOOKUP("alemania",#REF!,7,FALSE)</f>
        <v>#REF!</v>
      </c>
      <c r="P193" s="216" t="e">
        <f>VLOOKUP("alemania",#REF!,8,FALSE)/VLOOKUP("alemania",#REF!,8,FALSE)-1</f>
        <v>#REF!</v>
      </c>
      <c r="Q193" s="217" t="e">
        <f>VLOOKUP("alemania",#REF!,8,FALSE)</f>
        <v>#REF!</v>
      </c>
    </row>
    <row r="194" spans="3:17" ht="24" hidden="1" customHeight="1" x14ac:dyDescent="0.2">
      <c r="C194" s="215" t="s">
        <v>44</v>
      </c>
      <c r="D194" s="216" t="e">
        <f>VLOOKUP("francia",#REF!,6,FALSE)/VLOOKUP("francia",#REF!,6,FALSE)-1</f>
        <v>#REF!</v>
      </c>
      <c r="E194" s="217" t="e">
        <f>VLOOKUP("francia",#REF!,6,FALSE)</f>
        <v>#REF!</v>
      </c>
      <c r="F194" s="216" t="e">
        <f>VLOOKUP("francia",#REF!,5,FALSE)/VLOOKUP("francia",#REF!,5,FALSE)-1</f>
        <v>#REF!</v>
      </c>
      <c r="G194" s="217" t="e">
        <f>VLOOKUP("francia",#REF!,5,FALSE)</f>
        <v>#REF!</v>
      </c>
      <c r="H194" s="216" t="e">
        <f>VLOOKUP("francia",#REF!,4,FALSE)/VLOOKUP("francia",#REF!,4,FALSE)-1</f>
        <v>#REF!</v>
      </c>
      <c r="I194" s="217" t="e">
        <f>VLOOKUP("francia",#REF!,4,FALSE)</f>
        <v>#REF!</v>
      </c>
      <c r="J194" s="216" t="e">
        <f>VLOOKUP("francia",#REF!,3,FALSE)/VLOOKUP("francia",#REF!,3,FALSE)-1</f>
        <v>#REF!</v>
      </c>
      <c r="K194" s="217" t="e">
        <f>VLOOKUP("francia",#REF!,3,FALSE)</f>
        <v>#REF!</v>
      </c>
      <c r="L194" s="216" t="e">
        <f>VLOOKUP("francia",#REF!,2,FALSE)/VLOOKUP("francia",#REF!,2,FALSE)-1</f>
        <v>#REF!</v>
      </c>
      <c r="M194" s="217" t="e">
        <f>VLOOKUP("francia",#REF!,2,FALSE)</f>
        <v>#REF!</v>
      </c>
      <c r="N194" s="216" t="e">
        <f>VLOOKUP("francia",#REF!,7,FALSE)/VLOOKUP("francia",#REF!,7,FALSE)-1</f>
        <v>#REF!</v>
      </c>
      <c r="O194" s="217" t="e">
        <f>VLOOKUP("francia",#REF!,7,FALSE)</f>
        <v>#REF!</v>
      </c>
      <c r="P194" s="216" t="e">
        <f>VLOOKUP("francia",#REF!,8,FALSE)/VLOOKUP("francia",#REF!,8,FALSE)-1</f>
        <v>#REF!</v>
      </c>
      <c r="Q194" s="217" t="e">
        <f>VLOOKUP("francia",#REF!,8,FALSE)</f>
        <v>#REF!</v>
      </c>
    </row>
    <row r="195" spans="3:17" ht="24" hidden="1" customHeight="1" x14ac:dyDescent="0.2">
      <c r="C195" s="215" t="s">
        <v>45</v>
      </c>
      <c r="D195" s="216" t="e">
        <f>VLOOKUP("reino unido",#REF!,6,FALSE)/VLOOKUP("reino unido",#REF!,6,FALSE)-1</f>
        <v>#REF!</v>
      </c>
      <c r="E195" s="217" t="e">
        <f>VLOOKUP("reino unido",#REF!,6,FALSE)</f>
        <v>#REF!</v>
      </c>
      <c r="F195" s="216" t="e">
        <f>VLOOKUP("reino unido",#REF!,5,FALSE)/VLOOKUP("reino unido",#REF!,5,FALSE)-1</f>
        <v>#REF!</v>
      </c>
      <c r="G195" s="217" t="e">
        <f>VLOOKUP("reino unido",#REF!,5,FALSE)</f>
        <v>#REF!</v>
      </c>
      <c r="H195" s="216" t="e">
        <f>VLOOKUP("reino unido",#REF!,4,FALSE)/VLOOKUP("reino unido",#REF!,4,FALSE)-1</f>
        <v>#REF!</v>
      </c>
      <c r="I195" s="217" t="e">
        <f>VLOOKUP("reino unido",#REF!,4,FALSE)</f>
        <v>#REF!</v>
      </c>
      <c r="J195" s="216" t="e">
        <f>VLOOKUP("reino unido",#REF!,3,FALSE)/VLOOKUP("reino unido",#REF!,3,FALSE)-1</f>
        <v>#REF!</v>
      </c>
      <c r="K195" s="217" t="e">
        <f>VLOOKUP("reino unido",#REF!,3,FALSE)</f>
        <v>#REF!</v>
      </c>
      <c r="L195" s="216" t="e">
        <f>VLOOKUP("reino unido",#REF!,2,FALSE)/VLOOKUP("reino unido",#REF!,2,FALSE)-1</f>
        <v>#REF!</v>
      </c>
      <c r="M195" s="217" t="e">
        <f>VLOOKUP("reino unido",#REF!,2,FALSE)</f>
        <v>#REF!</v>
      </c>
      <c r="N195" s="216" t="e">
        <f>VLOOKUP("reino unido",#REF!,7,FALSE)/VLOOKUP("reino unido",#REF!,7,FALSE)-1</f>
        <v>#REF!</v>
      </c>
      <c r="O195" s="217" t="e">
        <f>VLOOKUP("reino unido",#REF!,7,FALSE)</f>
        <v>#REF!</v>
      </c>
      <c r="P195" s="216" t="e">
        <f>VLOOKUP("reino unido",#REF!,8,FALSE)/VLOOKUP("reino unido",#REF!,8,FALSE)-1</f>
        <v>#REF!</v>
      </c>
      <c r="Q195" s="217" t="e">
        <f>VLOOKUP("reino unido",#REF!,8,FALSE)</f>
        <v>#REF!</v>
      </c>
    </row>
    <row r="196" spans="3:17" ht="24" hidden="1" customHeight="1" x14ac:dyDescent="0.2">
      <c r="C196" s="215" t="s">
        <v>46</v>
      </c>
      <c r="D196" s="216" t="e">
        <f>VLOOKUP("irlanda",#REF!,6,FALSE)/VLOOKUP("irlanda",#REF!,6,FALSE)-1</f>
        <v>#REF!</v>
      </c>
      <c r="E196" s="217" t="e">
        <f>VLOOKUP("irlanda",#REF!,6,FALSE)</f>
        <v>#REF!</v>
      </c>
      <c r="F196" s="216" t="e">
        <f>VLOOKUP("irlanda",#REF!,5,FALSE)/VLOOKUP("irlanda",#REF!,5,FALSE)-1</f>
        <v>#REF!</v>
      </c>
      <c r="G196" s="217" t="e">
        <f>VLOOKUP("irlanda",#REF!,5,FALSE)</f>
        <v>#REF!</v>
      </c>
      <c r="H196" s="216" t="e">
        <f>VLOOKUP("irlanda",#REF!,4,FALSE)/VLOOKUP("irlanda",#REF!,4,FALSE)-1</f>
        <v>#REF!</v>
      </c>
      <c r="I196" s="217" t="e">
        <f>VLOOKUP("irlanda",#REF!,4,FALSE)</f>
        <v>#REF!</v>
      </c>
      <c r="J196" s="216" t="e">
        <f>VLOOKUP("irlanda",#REF!,3,FALSE)/VLOOKUP("irlanda",#REF!,3,FALSE)-1</f>
        <v>#REF!</v>
      </c>
      <c r="K196" s="217" t="e">
        <f>VLOOKUP("irlanda",#REF!,3,FALSE)</f>
        <v>#REF!</v>
      </c>
      <c r="L196" s="216" t="e">
        <f>VLOOKUP("irlanda",#REF!,2,FALSE)/VLOOKUP("irlanda",#REF!,2,FALSE)-1</f>
        <v>#REF!</v>
      </c>
      <c r="M196" s="217" t="e">
        <f>VLOOKUP("irlanda",#REF!,2,FALSE)</f>
        <v>#REF!</v>
      </c>
      <c r="N196" s="216" t="e">
        <f>VLOOKUP("irlanda",#REF!,7,FALSE)/VLOOKUP("irlanda",#REF!,7,FALSE)-1</f>
        <v>#REF!</v>
      </c>
      <c r="O196" s="217" t="e">
        <f>VLOOKUP("irlanda",#REF!,7,FALSE)</f>
        <v>#REF!</v>
      </c>
      <c r="P196" s="216" t="e">
        <f>VLOOKUP("irlanda",#REF!,8,FALSE)/VLOOKUP("irlanda",#REF!,8,FALSE)-1</f>
        <v>#REF!</v>
      </c>
      <c r="Q196" s="217" t="e">
        <f>VLOOKUP("irlanda",#REF!,8,FALSE)</f>
        <v>#REF!</v>
      </c>
    </row>
    <row r="197" spans="3:17" ht="24" hidden="1" customHeight="1" x14ac:dyDescent="0.2">
      <c r="C197" s="215" t="s">
        <v>47</v>
      </c>
      <c r="D197" s="216" t="e">
        <f>VLOOKUP("italia",#REF!,6,FALSE)/VLOOKUP("italia",#REF!,6,FALSE)-1</f>
        <v>#REF!</v>
      </c>
      <c r="E197" s="217" t="e">
        <f>VLOOKUP("italia",#REF!,6,FALSE)</f>
        <v>#REF!</v>
      </c>
      <c r="F197" s="216" t="e">
        <f>VLOOKUP("italia",#REF!,5,FALSE)/VLOOKUP("italia",#REF!,5,FALSE)-1</f>
        <v>#REF!</v>
      </c>
      <c r="G197" s="217" t="e">
        <f>VLOOKUP("italia",#REF!,5,FALSE)</f>
        <v>#REF!</v>
      </c>
      <c r="H197" s="216" t="e">
        <f>VLOOKUP("italia",#REF!,4,FALSE)/VLOOKUP("italia",#REF!,4,FALSE)-1</f>
        <v>#REF!</v>
      </c>
      <c r="I197" s="217" t="e">
        <f>VLOOKUP("italia",#REF!,4,FALSE)</f>
        <v>#REF!</v>
      </c>
      <c r="J197" s="216" t="e">
        <f>VLOOKUP("italia",#REF!,3,FALSE)/VLOOKUP("italia",#REF!,3,FALSE)-1</f>
        <v>#REF!</v>
      </c>
      <c r="K197" s="217" t="e">
        <f>VLOOKUP("italia",#REF!,3,FALSE)</f>
        <v>#REF!</v>
      </c>
      <c r="L197" s="216" t="e">
        <f>VLOOKUP("italia",#REF!,2,FALSE)/VLOOKUP("italia",#REF!,2,FALSE)-1</f>
        <v>#REF!</v>
      </c>
      <c r="M197" s="217" t="e">
        <f>VLOOKUP("italia",#REF!,2,FALSE)</f>
        <v>#REF!</v>
      </c>
      <c r="N197" s="216" t="e">
        <f>VLOOKUP("italia",#REF!,7,FALSE)/VLOOKUP("italia",#REF!,7,FALSE)-1</f>
        <v>#REF!</v>
      </c>
      <c r="O197" s="217" t="e">
        <f>VLOOKUP("italia",#REF!,7,FALSE)</f>
        <v>#REF!</v>
      </c>
      <c r="P197" s="216" t="e">
        <f>VLOOKUP("italia",#REF!,8,FALSE)/VLOOKUP("italia",#REF!,8,FALSE)-1</f>
        <v>#REF!</v>
      </c>
      <c r="Q197" s="217" t="e">
        <f>VLOOKUP("italia",#REF!,8,FALSE)</f>
        <v>#REF!</v>
      </c>
    </row>
    <row r="198" spans="3:17" ht="24" hidden="1" customHeight="1" x14ac:dyDescent="0.2">
      <c r="C198" s="215" t="s">
        <v>48</v>
      </c>
      <c r="D198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217" t="e">
        <f>(VLOOKUP("suecia",#REF!,6,FALSE)+VLOOKUP("noruega",#REF!,6,FALSE)+VLOOKUP("dinamarca",#REF!,6,FALSE)+VLOOKUP("finlandia",#REF!,6,FALSE))</f>
        <v>#REF!</v>
      </c>
      <c r="F198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217" t="e">
        <f>(VLOOKUP("suecia",#REF!,5,FALSE)+VLOOKUP("noruega",#REF!,5,FALSE)+VLOOKUP("dinamarca",#REF!,5,FALSE)+VLOOKUP("finlandia",#REF!,5,FALSE))</f>
        <v>#REF!</v>
      </c>
      <c r="H198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217" t="e">
        <f>(VLOOKUP("suecia",#REF!,4,FALSE)+VLOOKUP("noruega",#REF!,4,FALSE)+VLOOKUP("dinamarca",#REF!,4,FALSE)+VLOOKUP("finlandia",#REF!,4,FALSE))</f>
        <v>#REF!</v>
      </c>
      <c r="J198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217" t="e">
        <f>(VLOOKUP("suecia",#REF!,3,FALSE)+VLOOKUP("noruega",#REF!,3,FALSE)+VLOOKUP("dinamarca",#REF!,3,FALSE)+VLOOKUP("finlandia",#REF!,3,FALSE))</f>
        <v>#REF!</v>
      </c>
      <c r="L198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217" t="e">
        <f>(VLOOKUP("suecia",#REF!,2,FALSE)+VLOOKUP("noruega",#REF!,2,FALSE)+VLOOKUP("dinamarca",#REF!,2,FALSE)+VLOOKUP("finlandia",#REF!,2,FALSE))</f>
        <v>#REF!</v>
      </c>
      <c r="N198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217" t="e">
        <f>(VLOOKUP("suecia",#REF!,7,FALSE)+VLOOKUP("noruega",#REF!,7,FALSE)+VLOOKUP("dinamarca",#REF!,7,FALSE)+VLOOKUP("finlandia",#REF!,7,FALSE))</f>
        <v>#REF!</v>
      </c>
      <c r="P198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217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218" t="s">
        <v>49</v>
      </c>
      <c r="D199" s="216" t="e">
        <f>VLOOKUP("suecia",#REF!,6,FALSE)/VLOOKUP("suecia",#REF!,6,FALSE)-1</f>
        <v>#REF!</v>
      </c>
      <c r="E199" s="217" t="e">
        <f>VLOOKUP("suecia",#REF!,6,FALSE)</f>
        <v>#REF!</v>
      </c>
      <c r="F199" s="216" t="e">
        <f>VLOOKUP("suecia",#REF!,5,FALSE)/VLOOKUP("suecia",#REF!,5,FALSE)-1</f>
        <v>#REF!</v>
      </c>
      <c r="G199" s="217" t="e">
        <f>VLOOKUP("suecia",#REF!,5,FALSE)</f>
        <v>#REF!</v>
      </c>
      <c r="H199" s="216" t="e">
        <f>VLOOKUP("suecia",#REF!,4,FALSE)/VLOOKUP("suecia",#REF!,4,FALSE)-1</f>
        <v>#REF!</v>
      </c>
      <c r="I199" s="217" t="e">
        <f>VLOOKUP("suecia",#REF!,4,FALSE)</f>
        <v>#REF!</v>
      </c>
      <c r="J199" s="216" t="e">
        <f>VLOOKUP("suecia",#REF!,3,FALSE)/VLOOKUP("suecia",#REF!,3,FALSE)-1</f>
        <v>#REF!</v>
      </c>
      <c r="K199" s="217" t="e">
        <f>VLOOKUP("suecia",#REF!,3,FALSE)</f>
        <v>#REF!</v>
      </c>
      <c r="L199" s="216" t="e">
        <f>VLOOKUP("suecia",#REF!,2,FALSE)/VLOOKUP("suecia",#REF!,2,FALSE)-1</f>
        <v>#REF!</v>
      </c>
      <c r="M199" s="217" t="e">
        <f>VLOOKUP("suecia",#REF!,2,FALSE)</f>
        <v>#REF!</v>
      </c>
      <c r="N199" s="216" t="e">
        <f>VLOOKUP("suecia",#REF!,7,FALSE)/VLOOKUP("suecia",#REF!,7,FALSE)-1</f>
        <v>#REF!</v>
      </c>
      <c r="O199" s="217" t="e">
        <f>VLOOKUP("suecia",#REF!,7,FALSE)</f>
        <v>#REF!</v>
      </c>
      <c r="P199" s="216" t="e">
        <f>VLOOKUP("suecia",#REF!,8,FALSE)/VLOOKUP("suecia",#REF!,8,FALSE)-1</f>
        <v>#REF!</v>
      </c>
      <c r="Q199" s="217" t="e">
        <f>VLOOKUP("suecia",#REF!,8,FALSE)</f>
        <v>#REF!</v>
      </c>
    </row>
    <row r="200" spans="3:17" ht="24" hidden="1" customHeight="1" x14ac:dyDescent="0.2">
      <c r="C200" s="218" t="s">
        <v>50</v>
      </c>
      <c r="D200" s="216" t="e">
        <f>VLOOKUP("noruega",#REF!,6,FALSE)/VLOOKUP("noruega",#REF!,6,FALSE)-1</f>
        <v>#REF!</v>
      </c>
      <c r="E200" s="217" t="e">
        <f>VLOOKUP("noruega",#REF!,6,FALSE)</f>
        <v>#REF!</v>
      </c>
      <c r="F200" s="216" t="e">
        <f>VLOOKUP("noruega",#REF!,5,FALSE)/VLOOKUP("noruega",#REF!,5,FALSE)-1</f>
        <v>#REF!</v>
      </c>
      <c r="G200" s="217" t="e">
        <f>VLOOKUP("noruega",#REF!,5,FALSE)</f>
        <v>#REF!</v>
      </c>
      <c r="H200" s="216" t="e">
        <f>VLOOKUP("noruega",#REF!,4,FALSE)/VLOOKUP("noruega",#REF!,4,FALSE)-1</f>
        <v>#REF!</v>
      </c>
      <c r="I200" s="217" t="e">
        <f>VLOOKUP("noruega",#REF!,4,FALSE)</f>
        <v>#REF!</v>
      </c>
      <c r="J200" s="216" t="e">
        <f>VLOOKUP("noruega",#REF!,3,FALSE)/VLOOKUP("noruega",#REF!,3,FALSE)-1</f>
        <v>#REF!</v>
      </c>
      <c r="K200" s="217" t="e">
        <f>VLOOKUP("noruega",#REF!,3,FALSE)</f>
        <v>#REF!</v>
      </c>
      <c r="L200" s="216" t="e">
        <f>VLOOKUP("noruega",#REF!,2,FALSE)/VLOOKUP("noruega",#REF!,2,FALSE)-1</f>
        <v>#REF!</v>
      </c>
      <c r="M200" s="217" t="e">
        <f>VLOOKUP("noruega",#REF!,2,FALSE)</f>
        <v>#REF!</v>
      </c>
      <c r="N200" s="216" t="e">
        <f>VLOOKUP("noruega",#REF!,7,FALSE)/VLOOKUP("noruega",#REF!,7,FALSE)-1</f>
        <v>#REF!</v>
      </c>
      <c r="O200" s="217" t="e">
        <f>VLOOKUP("noruega",#REF!,7,FALSE)</f>
        <v>#REF!</v>
      </c>
      <c r="P200" s="216" t="e">
        <f>VLOOKUP("noruega",#REF!,8,FALSE)/VLOOKUP("noruega",#REF!,8,FALSE)-1</f>
        <v>#REF!</v>
      </c>
      <c r="Q200" s="217" t="e">
        <f>VLOOKUP("noruega",#REF!,8,FALSE)</f>
        <v>#REF!</v>
      </c>
    </row>
    <row r="201" spans="3:17" ht="24" hidden="1" customHeight="1" x14ac:dyDescent="0.2">
      <c r="C201" s="218" t="s">
        <v>51</v>
      </c>
      <c r="D201" s="216" t="e">
        <f>VLOOKUP("dinamarca",#REF!,6,FALSE)/VLOOKUP("dinamarca",#REF!,6,FALSE)-1</f>
        <v>#REF!</v>
      </c>
      <c r="E201" s="217" t="e">
        <f>VLOOKUP("dinamarca",#REF!,6,FALSE)</f>
        <v>#REF!</v>
      </c>
      <c r="F201" s="216" t="e">
        <f>VLOOKUP("dinamarca",#REF!,5,FALSE)/VLOOKUP("dinamarca",#REF!,5,FALSE)-1</f>
        <v>#REF!</v>
      </c>
      <c r="G201" s="217" t="e">
        <f>VLOOKUP("dinamarca",#REF!,5,FALSE)</f>
        <v>#REF!</v>
      </c>
      <c r="H201" s="216" t="e">
        <f>VLOOKUP("dinamarca",#REF!,4,FALSE)/VLOOKUP("dinamarca",#REF!,4,FALSE)-1</f>
        <v>#REF!</v>
      </c>
      <c r="I201" s="217" t="e">
        <f>VLOOKUP("dinamarca",#REF!,4,FALSE)</f>
        <v>#REF!</v>
      </c>
      <c r="J201" s="216" t="e">
        <f>VLOOKUP("dinamarca",#REF!,3,FALSE)/VLOOKUP("dinamarca",#REF!,3,FALSE)-1</f>
        <v>#REF!</v>
      </c>
      <c r="K201" s="217" t="e">
        <f>VLOOKUP("dinamarca",#REF!,3,FALSE)</f>
        <v>#REF!</v>
      </c>
      <c r="L201" s="216" t="e">
        <f>VLOOKUP("dinamarca",#REF!,2,FALSE)/VLOOKUP("dinamarca",#REF!,2,FALSE)-1</f>
        <v>#REF!</v>
      </c>
      <c r="M201" s="217" t="e">
        <f>VLOOKUP("dinamarca",#REF!,2,FALSE)</f>
        <v>#REF!</v>
      </c>
      <c r="N201" s="216" t="e">
        <f>VLOOKUP("dinamarca",#REF!,7,FALSE)/VLOOKUP("dinamarca",#REF!,7,FALSE)-1</f>
        <v>#REF!</v>
      </c>
      <c r="O201" s="217" t="e">
        <f>VLOOKUP("dinamarca",#REF!,7,FALSE)</f>
        <v>#REF!</v>
      </c>
      <c r="P201" s="216" t="e">
        <f>VLOOKUP("dinamarca",#REF!,8,FALSE)/VLOOKUP("dinamarca",#REF!,8,FALSE)-1</f>
        <v>#REF!</v>
      </c>
      <c r="Q201" s="217" t="e">
        <f>VLOOKUP("dinamarca",#REF!,8,FALSE)</f>
        <v>#REF!</v>
      </c>
    </row>
    <row r="202" spans="3:17" ht="24" hidden="1" customHeight="1" x14ac:dyDescent="0.2">
      <c r="C202" s="218" t="s">
        <v>52</v>
      </c>
      <c r="D202" s="216" t="s">
        <v>38</v>
      </c>
      <c r="E202" s="217" t="e">
        <f>VLOOKUP("finlandia",#REF!,6,FALSE)</f>
        <v>#REF!</v>
      </c>
      <c r="F202" s="216" t="e">
        <f>VLOOKUP("finlandia",#REF!,5,FALSE)/VLOOKUP("finlandia",#REF!,5,FALSE)-1</f>
        <v>#REF!</v>
      </c>
      <c r="G202" s="217" t="e">
        <f>VLOOKUP("finlandia",#REF!,5,FALSE)</f>
        <v>#REF!</v>
      </c>
      <c r="H202" s="216" t="e">
        <f>VLOOKUP("finlandia",#REF!,4,FALSE)/VLOOKUP("finlandia",#REF!,4,FALSE)-1</f>
        <v>#REF!</v>
      </c>
      <c r="I202" s="217" t="e">
        <f>VLOOKUP("finlandia",#REF!,4,FALSE)</f>
        <v>#REF!</v>
      </c>
      <c r="J202" s="216" t="e">
        <f>VLOOKUP("finlandia",#REF!,3,FALSE)/VLOOKUP("finlandia",#REF!,3,FALSE)-1</f>
        <v>#REF!</v>
      </c>
      <c r="K202" s="217" t="e">
        <f>VLOOKUP("finlandia",#REF!,3,FALSE)</f>
        <v>#REF!</v>
      </c>
      <c r="L202" s="216" t="s">
        <v>38</v>
      </c>
      <c r="M202" s="217" t="e">
        <f>VLOOKUP("finlandia",#REF!,2,FALSE)</f>
        <v>#REF!</v>
      </c>
      <c r="N202" s="216" t="e">
        <f>VLOOKUP("finlandia",#REF!,7,FALSE)/VLOOKUP("finlandia",#REF!,7,FALSE)-1</f>
        <v>#REF!</v>
      </c>
      <c r="O202" s="217" t="e">
        <f>VLOOKUP("finlandia",#REF!,7,FALSE)</f>
        <v>#REF!</v>
      </c>
      <c r="P202" s="216" t="e">
        <f>VLOOKUP("finlandia",#REF!,8,FALSE)/VLOOKUP("finlandia",#REF!,8,FALSE)-1</f>
        <v>#REF!</v>
      </c>
      <c r="Q202" s="217" t="e">
        <f>VLOOKUP("finlandia",#REF!,8,FALSE)</f>
        <v>#REF!</v>
      </c>
    </row>
    <row r="203" spans="3:17" ht="24" hidden="1" customHeight="1" x14ac:dyDescent="0.2">
      <c r="C203" s="215" t="s">
        <v>53</v>
      </c>
      <c r="D203" s="216" t="e">
        <f>VLOOKUP("suiza",#REF!,6,FALSE)/VLOOKUP("suiza",#REF!,6,FALSE)-1</f>
        <v>#REF!</v>
      </c>
      <c r="E203" s="217" t="e">
        <f>VLOOKUP("suiza",#REF!,6,FALSE)</f>
        <v>#REF!</v>
      </c>
      <c r="F203" s="216" t="e">
        <f>VLOOKUP("suiza",#REF!,5,FALSE)/VLOOKUP("suiza",#REF!,5,FALSE)-1</f>
        <v>#REF!</v>
      </c>
      <c r="G203" s="217" t="e">
        <f>VLOOKUP("suiza",#REF!,5,FALSE)</f>
        <v>#REF!</v>
      </c>
      <c r="H203" s="216" t="e">
        <f>VLOOKUP("suiza",#REF!,4,FALSE)/VLOOKUP("suiza",#REF!,4,FALSE)-1</f>
        <v>#REF!</v>
      </c>
      <c r="I203" s="217" t="e">
        <f>VLOOKUP("suiza",#REF!,4,FALSE)</f>
        <v>#REF!</v>
      </c>
      <c r="J203" s="216" t="e">
        <f>VLOOKUP("suiza",#REF!,3,FALSE)/VLOOKUP("suiza",#REF!,3,FALSE)-1</f>
        <v>#REF!</v>
      </c>
      <c r="K203" s="217" t="e">
        <f>VLOOKUP("suiza",#REF!,3,FALSE)</f>
        <v>#REF!</v>
      </c>
      <c r="L203" s="216" t="e">
        <f>VLOOKUP("suiza",#REF!,2,FALSE)/VLOOKUP("suiza",#REF!,2,FALSE)-1</f>
        <v>#REF!</v>
      </c>
      <c r="M203" s="217" t="e">
        <f>VLOOKUP("suiza",#REF!,2,FALSE)</f>
        <v>#REF!</v>
      </c>
      <c r="N203" s="216" t="e">
        <f>VLOOKUP("suiza",#REF!,7,FALSE)/VLOOKUP("suiza",#REF!,7,FALSE)-1</f>
        <v>#REF!</v>
      </c>
      <c r="O203" s="217" t="e">
        <f>VLOOKUP("suiza",#REF!,7,FALSE)</f>
        <v>#REF!</v>
      </c>
      <c r="P203" s="216" t="e">
        <f>VLOOKUP("suiza",#REF!,8,FALSE)/VLOOKUP("suiza",#REF!,8,FALSE)-1</f>
        <v>#REF!</v>
      </c>
      <c r="Q203" s="217" t="e">
        <f>VLOOKUP("suiza",#REF!,8,FALSE)</f>
        <v>#REF!</v>
      </c>
    </row>
    <row r="204" spans="3:17" ht="24" hidden="1" customHeight="1" x14ac:dyDescent="0.2">
      <c r="C204" s="215" t="s">
        <v>54</v>
      </c>
      <c r="D204" s="216" t="e">
        <f>VLOOKUP("austria",#REF!,6,FALSE)/VLOOKUP("austria",#REF!,6,FALSE)-1</f>
        <v>#REF!</v>
      </c>
      <c r="E204" s="217" t="e">
        <f>VLOOKUP("austria",#REF!,6,FALSE)</f>
        <v>#REF!</v>
      </c>
      <c r="F204" s="216" t="e">
        <f>VLOOKUP("austria",#REF!,5,FALSE)/VLOOKUP("austria",#REF!,5,FALSE)-1</f>
        <v>#REF!</v>
      </c>
      <c r="G204" s="217" t="e">
        <f>VLOOKUP("austria",#REF!,5,FALSE)</f>
        <v>#REF!</v>
      </c>
      <c r="H204" s="216" t="e">
        <f>VLOOKUP("austria",#REF!,4,FALSE)/VLOOKUP("austria",#REF!,4,FALSE)-1</f>
        <v>#REF!</v>
      </c>
      <c r="I204" s="217" t="e">
        <f>VLOOKUP("austria",#REF!,4,FALSE)</f>
        <v>#REF!</v>
      </c>
      <c r="J204" s="216" t="e">
        <f>VLOOKUP("austria",#REF!,3,FALSE)/VLOOKUP("austria",#REF!,3,FALSE)-1</f>
        <v>#REF!</v>
      </c>
      <c r="K204" s="217" t="e">
        <f>VLOOKUP("austria",#REF!,3,FALSE)</f>
        <v>#REF!</v>
      </c>
      <c r="L204" s="216" t="e">
        <f>VLOOKUP("austria",#REF!,2,FALSE)/VLOOKUP("austria",#REF!,2,FALSE)-1</f>
        <v>#REF!</v>
      </c>
      <c r="M204" s="217" t="e">
        <f>VLOOKUP("austria",#REF!,2,FALSE)</f>
        <v>#REF!</v>
      </c>
      <c r="N204" s="216" t="e">
        <f>VLOOKUP("austria",#REF!,7,FALSE)/VLOOKUP("austria",#REF!,7,FALSE)-1</f>
        <v>#REF!</v>
      </c>
      <c r="O204" s="217" t="e">
        <f>VLOOKUP("austria",#REF!,7,FALSE)</f>
        <v>#REF!</v>
      </c>
      <c r="P204" s="216" t="e">
        <f>VLOOKUP("austria",#REF!,8,FALSE)/VLOOKUP("austria",#REF!,8,FALSE)-1</f>
        <v>#REF!</v>
      </c>
      <c r="Q204" s="217" t="e">
        <f>VLOOKUP("austria",#REF!,8,FALSE)</f>
        <v>#REF!</v>
      </c>
    </row>
    <row r="205" spans="3:17" ht="24" hidden="1" customHeight="1" x14ac:dyDescent="0.2">
      <c r="C205" s="215" t="s">
        <v>55</v>
      </c>
      <c r="D205" s="216" t="e">
        <f>VLOOKUP("rusia",#REF!,6,FALSE)/VLOOKUP("rusia",#REF!,6,FALSE)-1</f>
        <v>#REF!</v>
      </c>
      <c r="E205" s="217" t="e">
        <f>VLOOKUP("rusia",#REF!,6,FALSE)</f>
        <v>#REF!</v>
      </c>
      <c r="F205" s="216" t="e">
        <f>VLOOKUP("rusia",#REF!,5,FALSE)/VLOOKUP("rusia",#REF!,5,FALSE)-1</f>
        <v>#REF!</v>
      </c>
      <c r="G205" s="217" t="e">
        <f>VLOOKUP("rusia",#REF!,5,FALSE)</f>
        <v>#REF!</v>
      </c>
      <c r="H205" s="216" t="e">
        <f>VLOOKUP("rusia",#REF!,4,FALSE)/VLOOKUP("rusia",#REF!,4,FALSE)-1</f>
        <v>#REF!</v>
      </c>
      <c r="I205" s="217" t="e">
        <f>VLOOKUP("rusia",#REF!,4,FALSE)</f>
        <v>#REF!</v>
      </c>
      <c r="J205" s="216" t="e">
        <f>VLOOKUP("rusia",#REF!,3,FALSE)/VLOOKUP("rusia",#REF!,3,FALSE)-1</f>
        <v>#REF!</v>
      </c>
      <c r="K205" s="217" t="e">
        <f>VLOOKUP("rusia",#REF!,3,FALSE)</f>
        <v>#REF!</v>
      </c>
      <c r="L205" s="216" t="e">
        <f>VLOOKUP("rusia",#REF!,2,FALSE)/VLOOKUP("rusia",#REF!,2,FALSE)-1</f>
        <v>#REF!</v>
      </c>
      <c r="M205" s="217" t="e">
        <f>VLOOKUP("rusia",#REF!,2,FALSE)</f>
        <v>#REF!</v>
      </c>
      <c r="N205" s="216" t="e">
        <f>VLOOKUP("rusia",#REF!,7,FALSE)/VLOOKUP("rusia",#REF!,7,FALSE)-1</f>
        <v>#REF!</v>
      </c>
      <c r="O205" s="217" t="e">
        <f>VLOOKUP("rusia",#REF!,7,FALSE)</f>
        <v>#REF!</v>
      </c>
      <c r="P205" s="216" t="e">
        <f>VLOOKUP("rusia",#REF!,8,FALSE)/VLOOKUP("rusia",#REF!,8,FALSE)-1</f>
        <v>#REF!</v>
      </c>
      <c r="Q205" s="217" t="e">
        <f>VLOOKUP("rusia",#REF!,8,FALSE)</f>
        <v>#REF!</v>
      </c>
    </row>
    <row r="206" spans="3:17" ht="24" hidden="1" customHeight="1" x14ac:dyDescent="0.2">
      <c r="C206" s="215" t="s">
        <v>56</v>
      </c>
      <c r="D206" s="216" t="e">
        <f>VLOOKUP("paises del este",#REF!,6,FALSE)/VLOOKUP("paises del este",#REF!,6,FALSE)-1</f>
        <v>#REF!</v>
      </c>
      <c r="E206" s="217" t="e">
        <f>VLOOKUP("paises del este",#REF!,6,FALSE)</f>
        <v>#REF!</v>
      </c>
      <c r="F206" s="216" t="e">
        <f>VLOOKUP("paises del este",#REF!,5,FALSE)/VLOOKUP("paises del este",#REF!,5,FALSE)-1</f>
        <v>#REF!</v>
      </c>
      <c r="G206" s="217" t="e">
        <f>VLOOKUP("paises del este",#REF!,5,FALSE)</f>
        <v>#REF!</v>
      </c>
      <c r="H206" s="216" t="e">
        <f>VLOOKUP("paises del este",#REF!,4,FALSE)/VLOOKUP("paises del este",#REF!,4,FALSE)-1</f>
        <v>#REF!</v>
      </c>
      <c r="I206" s="217" t="e">
        <f>VLOOKUP("paises del este",#REF!,4,FALSE)</f>
        <v>#REF!</v>
      </c>
      <c r="J206" s="216" t="e">
        <f>VLOOKUP("paises del este",#REF!,3,FALSE)/VLOOKUP("paises del este",#REF!,3,FALSE)-1</f>
        <v>#REF!</v>
      </c>
      <c r="K206" s="217" t="e">
        <f>VLOOKUP("paises del este",#REF!,3,FALSE)</f>
        <v>#REF!</v>
      </c>
      <c r="L206" s="216" t="e">
        <f>VLOOKUP("paises del este",#REF!,2,FALSE)/VLOOKUP("paises del este",#REF!,2,FALSE)-1</f>
        <v>#REF!</v>
      </c>
      <c r="M206" s="217" t="e">
        <f>VLOOKUP("paises del este",#REF!,2,FALSE)</f>
        <v>#REF!</v>
      </c>
      <c r="N206" s="216" t="e">
        <f>VLOOKUP("paises del este",#REF!,7,FALSE)/VLOOKUP("paises del este",#REF!,7,FALSE)-1</f>
        <v>#REF!</v>
      </c>
      <c r="O206" s="217" t="e">
        <f>VLOOKUP("paises del este",#REF!,7,FALSE)</f>
        <v>#REF!</v>
      </c>
      <c r="P206" s="216" t="e">
        <f>VLOOKUP("paises del este",#REF!,8,FALSE)/VLOOKUP("paises del este",#REF!,8,FALSE)-1</f>
        <v>#REF!</v>
      </c>
      <c r="Q206" s="217" t="e">
        <f>VLOOKUP("paises del este",#REF!,8,FALSE)</f>
        <v>#REF!</v>
      </c>
    </row>
    <row r="207" spans="3:17" ht="24" hidden="1" customHeight="1" x14ac:dyDescent="0.2">
      <c r="C207" s="215" t="s">
        <v>57</v>
      </c>
      <c r="D207" s="216" t="e">
        <f>VLOOKUP("resto de europa",#REF!,6,FALSE)/VLOOKUP("resto de europa",#REF!,6,FALSE)-1</f>
        <v>#REF!</v>
      </c>
      <c r="E207" s="217" t="e">
        <f>VLOOKUP("resto de europa",#REF!,6,FALSE)</f>
        <v>#REF!</v>
      </c>
      <c r="F207" s="216" t="e">
        <f>VLOOKUP("resto de europa",#REF!,5,FALSE)/VLOOKUP("resto de europa",#REF!,5,FALSE)-1</f>
        <v>#REF!</v>
      </c>
      <c r="G207" s="217" t="e">
        <f>VLOOKUP("resto de europa",#REF!,5,FALSE)</f>
        <v>#REF!</v>
      </c>
      <c r="H207" s="216" t="e">
        <f>VLOOKUP("resto de europa",#REF!,4,FALSE)/VLOOKUP("resto de europa",#REF!,4,FALSE)-1</f>
        <v>#REF!</v>
      </c>
      <c r="I207" s="217" t="e">
        <f>VLOOKUP("resto de europa",#REF!,4,FALSE)</f>
        <v>#REF!</v>
      </c>
      <c r="J207" s="216" t="e">
        <f>VLOOKUP("resto de europa",#REF!,3,FALSE)/VLOOKUP("resto de europa",#REF!,3,FALSE)-1</f>
        <v>#REF!</v>
      </c>
      <c r="K207" s="217" t="e">
        <f>VLOOKUP("resto de europa",#REF!,3,FALSE)</f>
        <v>#REF!</v>
      </c>
      <c r="L207" s="216" t="e">
        <f>VLOOKUP("resto de europa",#REF!,2,FALSE)/VLOOKUP("resto de europa",#REF!,2,FALSE)-1</f>
        <v>#REF!</v>
      </c>
      <c r="M207" s="217" t="e">
        <f>VLOOKUP("resto de europa",#REF!,2,FALSE)</f>
        <v>#REF!</v>
      </c>
      <c r="N207" s="216" t="e">
        <f>VLOOKUP("resto de europa",#REF!,7,FALSE)/VLOOKUP("resto de europa",#REF!,7,FALSE)-1</f>
        <v>#REF!</v>
      </c>
      <c r="O207" s="217" t="e">
        <f>VLOOKUP("resto de europa",#REF!,7,FALSE)</f>
        <v>#REF!</v>
      </c>
      <c r="P207" s="216" t="e">
        <f>VLOOKUP("resto de europa",#REF!,8,FALSE)/VLOOKUP("resto de europa",#REF!,8,FALSE)-1</f>
        <v>#REF!</v>
      </c>
      <c r="Q207" s="217" t="e">
        <f>VLOOKUP("resto de europa",#REF!,8,FALSE)</f>
        <v>#REF!</v>
      </c>
    </row>
    <row r="208" spans="3:17" ht="24" hidden="1" customHeight="1" x14ac:dyDescent="0.2">
      <c r="C208" s="215" t="s">
        <v>58</v>
      </c>
      <c r="D208" s="216" t="e">
        <f>VLOOKUP("usa",#REF!,6,FALSE)/VLOOKUP("usa",#REF!,6,FALSE)-1</f>
        <v>#REF!</v>
      </c>
      <c r="E208" s="217" t="e">
        <f>VLOOKUP("usa",#REF!,6,FALSE)</f>
        <v>#REF!</v>
      </c>
      <c r="F208" s="216" t="e">
        <f>VLOOKUP("usa",#REF!,5,FALSE)/VLOOKUP("usa",#REF!,5,FALSE)-1</f>
        <v>#REF!</v>
      </c>
      <c r="G208" s="217" t="e">
        <f>VLOOKUP("usa",#REF!,5,FALSE)</f>
        <v>#REF!</v>
      </c>
      <c r="H208" s="216" t="e">
        <f>VLOOKUP("usa",#REF!,4,FALSE)/VLOOKUP("usa",#REF!,4,FALSE)-1</f>
        <v>#REF!</v>
      </c>
      <c r="I208" s="217" t="e">
        <f>VLOOKUP("usa",#REF!,4,FALSE)</f>
        <v>#REF!</v>
      </c>
      <c r="J208" s="216" t="e">
        <f>VLOOKUP("usa",#REF!,3,FALSE)/VLOOKUP("usa",#REF!,3,FALSE)-1</f>
        <v>#REF!</v>
      </c>
      <c r="K208" s="217" t="e">
        <f>VLOOKUP("usa",#REF!,3,FALSE)</f>
        <v>#REF!</v>
      </c>
      <c r="L208" s="216" t="e">
        <f>VLOOKUP("usa",#REF!,2,FALSE)/VLOOKUP("usa",#REF!,2,FALSE)-1</f>
        <v>#REF!</v>
      </c>
      <c r="M208" s="217" t="e">
        <f>VLOOKUP("usa",#REF!,2,FALSE)</f>
        <v>#REF!</v>
      </c>
      <c r="N208" s="216" t="e">
        <f>VLOOKUP("usa",#REF!,7,FALSE)/VLOOKUP("usa",#REF!,7,FALSE)-1</f>
        <v>#REF!</v>
      </c>
      <c r="O208" s="217" t="e">
        <f>VLOOKUP("usa",#REF!,7,FALSE)</f>
        <v>#REF!</v>
      </c>
      <c r="P208" s="216" t="e">
        <f>VLOOKUP("usa",#REF!,8,FALSE)/VLOOKUP("usa",#REF!,8,FALSE)-1</f>
        <v>#REF!</v>
      </c>
      <c r="Q208" s="217" t="e">
        <f>VLOOKUP("usa",#REF!,8,FALSE)</f>
        <v>#REF!</v>
      </c>
    </row>
    <row r="209" spans="3:18" ht="24" hidden="1" customHeight="1" x14ac:dyDescent="0.2">
      <c r="C209" s="215" t="s">
        <v>59</v>
      </c>
      <c r="D209" s="216" t="e">
        <f>VLOOKUP("resto de america",#REF!,6,FALSE)/VLOOKUP("resto de america",#REF!,6,FALSE)-1</f>
        <v>#REF!</v>
      </c>
      <c r="E209" s="217" t="e">
        <f>VLOOKUP("resto de america",#REF!,6,FALSE)</f>
        <v>#REF!</v>
      </c>
      <c r="F209" s="216" t="e">
        <f>VLOOKUP("resto de america",#REF!,5,FALSE)/VLOOKUP("resto de america",#REF!,5,FALSE)-1</f>
        <v>#REF!</v>
      </c>
      <c r="G209" s="217" t="e">
        <f>VLOOKUP("resto de america",#REF!,5,FALSE)</f>
        <v>#REF!</v>
      </c>
      <c r="H209" s="216" t="e">
        <f>VLOOKUP("resto de america",#REF!,4,FALSE)/VLOOKUP("resto de america",#REF!,4,FALSE)-1</f>
        <v>#REF!</v>
      </c>
      <c r="I209" s="217" t="e">
        <f>VLOOKUP("resto de america",#REF!,4,FALSE)</f>
        <v>#REF!</v>
      </c>
      <c r="J209" s="216" t="e">
        <f>VLOOKUP("resto de america",#REF!,3,FALSE)/VLOOKUP("resto de america",#REF!,3,FALSE)-1</f>
        <v>#REF!</v>
      </c>
      <c r="K209" s="217" t="e">
        <f>VLOOKUP("resto de america",#REF!,3,FALSE)</f>
        <v>#REF!</v>
      </c>
      <c r="L209" s="216" t="e">
        <f>VLOOKUP("resto de america",#REF!,2,FALSE)/VLOOKUP("resto de america",#REF!,2,FALSE)-1</f>
        <v>#REF!</v>
      </c>
      <c r="M209" s="217" t="e">
        <f>VLOOKUP("resto de america",#REF!,2,FALSE)</f>
        <v>#REF!</v>
      </c>
      <c r="N209" s="216" t="e">
        <f>VLOOKUP("resto de america",#REF!,7,FALSE)/VLOOKUP("resto de america",#REF!,7,FALSE)-1</f>
        <v>#REF!</v>
      </c>
      <c r="O209" s="217" t="e">
        <f>VLOOKUP("resto de america",#REF!,7,FALSE)</f>
        <v>#REF!</v>
      </c>
      <c r="P209" s="216" t="e">
        <f>VLOOKUP("resto de america",#REF!,8,FALSE)/VLOOKUP("resto de america",#REF!,8,FALSE)-1</f>
        <v>#REF!</v>
      </c>
      <c r="Q209" s="217" t="e">
        <f>VLOOKUP("resto de america",#REF!,8,FALSE)</f>
        <v>#REF!</v>
      </c>
    </row>
    <row r="210" spans="3:18" ht="24" hidden="1" customHeight="1" x14ac:dyDescent="0.2">
      <c r="C210" s="215" t="s">
        <v>60</v>
      </c>
      <c r="D210" s="216" t="e">
        <f>VLOOKUP("resto del mundo",#REF!,6,FALSE)/VLOOKUP("resto del mundo",#REF!,6,FALSE)-1</f>
        <v>#REF!</v>
      </c>
      <c r="E210" s="217" t="e">
        <f>VLOOKUP("resto del mundo",#REF!,6,FALSE)</f>
        <v>#REF!</v>
      </c>
      <c r="F210" s="216" t="e">
        <f>VLOOKUP("resto del mundo",#REF!,5,FALSE)/VLOOKUP("resto del mundo",#REF!,5,FALSE)-1</f>
        <v>#REF!</v>
      </c>
      <c r="G210" s="217" t="e">
        <f>VLOOKUP("resto del mundo",#REF!,5,FALSE)</f>
        <v>#REF!</v>
      </c>
      <c r="H210" s="216" t="e">
        <f>VLOOKUP("resto del mundo",#REF!,4,FALSE)/VLOOKUP("resto del mundo",#REF!,4,FALSE)-1</f>
        <v>#REF!</v>
      </c>
      <c r="I210" s="217" t="e">
        <f>VLOOKUP("resto del mundo",#REF!,4,FALSE)</f>
        <v>#REF!</v>
      </c>
      <c r="J210" s="216" t="e">
        <f>VLOOKUP("resto del mundo",#REF!,3,FALSE)/VLOOKUP("resto del mundo",#REF!,3,FALSE)-1</f>
        <v>#REF!</v>
      </c>
      <c r="K210" s="217" t="e">
        <f>VLOOKUP("resto del mundo",#REF!,3,FALSE)</f>
        <v>#REF!</v>
      </c>
      <c r="L210" s="216" t="e">
        <f>VLOOKUP("resto del mundo",#REF!,2,FALSE)/VLOOKUP("resto del mundo",#REF!,2,FALSE)-1</f>
        <v>#REF!</v>
      </c>
      <c r="M210" s="217" t="e">
        <f>VLOOKUP("resto del mundo",#REF!,2,FALSE)</f>
        <v>#REF!</v>
      </c>
      <c r="N210" s="216" t="e">
        <f>VLOOKUP("resto del mundo",#REF!,7,FALSE)/VLOOKUP("resto del mundo",#REF!,7,FALSE)-1</f>
        <v>#REF!</v>
      </c>
      <c r="O210" s="217" t="e">
        <f>VLOOKUP("resto del mundo",#REF!,7,FALSE)</f>
        <v>#REF!</v>
      </c>
      <c r="P210" s="216" t="e">
        <f>VLOOKUP("resto del mundo",#REF!,8,FALSE)/VLOOKUP("resto del mundo",#REF!,8,FALSE)-1</f>
        <v>#REF!</v>
      </c>
      <c r="Q210" s="217" t="e">
        <f>VLOOKUP("resto del mundo",#REF!,8,FALSE)</f>
        <v>#REF!</v>
      </c>
    </row>
    <row r="211" spans="3:18" ht="24" hidden="1" customHeight="1" x14ac:dyDescent="0.2">
      <c r="C211" s="215" t="s">
        <v>61</v>
      </c>
      <c r="D211" s="216" t="e">
        <f>(VLOOKUP("total",#REF!,6,FALSE)-VLOOKUP("españa",#REF!,6,FALSE))/(VLOOKUP("total",#REF!,6,FALSE)-VLOOKUP("españa",#REF!,6,FALSE))-1</f>
        <v>#REF!</v>
      </c>
      <c r="E211" s="217" t="e">
        <f>VLOOKUP("total",#REF!,6,FALSE)-VLOOKUP("españa",#REF!,6,FALSE)</f>
        <v>#REF!</v>
      </c>
      <c r="F211" s="216" t="e">
        <f>(VLOOKUP("total",#REF!,5,FALSE)-VLOOKUP("españa",#REF!,5,FALSE))/(VLOOKUP("total",#REF!,5,FALSE)-VLOOKUP("españa",#REF!,5,FALSE))-1</f>
        <v>#REF!</v>
      </c>
      <c r="G211" s="217" t="e">
        <f>VLOOKUP("total",#REF!,5,FALSE)-VLOOKUP("españa",#REF!,5,FALSE)</f>
        <v>#REF!</v>
      </c>
      <c r="H211" s="216" t="e">
        <f>(VLOOKUP("total",#REF!,4,FALSE)-VLOOKUP("españa",#REF!,4,FALSE))/(VLOOKUP("total",#REF!,4,FALSE)-VLOOKUP("españa",#REF!,4,FALSE))-1</f>
        <v>#REF!</v>
      </c>
      <c r="I211" s="217" t="e">
        <f>VLOOKUP("total",#REF!,4,FALSE)-VLOOKUP("españa",#REF!,4,FALSE)</f>
        <v>#REF!</v>
      </c>
      <c r="J211" s="216" t="e">
        <f>(VLOOKUP("total",#REF!,3,FALSE)-VLOOKUP("españa",#REF!,3,FALSE))/(VLOOKUP("total",#REF!,3,FALSE)-VLOOKUP("españa",#REF!,3,FALSE))-1</f>
        <v>#REF!</v>
      </c>
      <c r="K211" s="217" t="e">
        <f>VLOOKUP("total",#REF!,3,FALSE)-VLOOKUP("españa",#REF!,3,FALSE)</f>
        <v>#REF!</v>
      </c>
      <c r="L211" s="216" t="e">
        <f>(VLOOKUP("total",#REF!,2,FALSE)-VLOOKUP("españa",#REF!,2,FALSE))/(VLOOKUP("total",#REF!,2,FALSE)-VLOOKUP("españa",#REF!,2,FALSE))-1</f>
        <v>#REF!</v>
      </c>
      <c r="M211" s="217" t="e">
        <f>VLOOKUP("total",#REF!,2,FALSE)-VLOOKUP("españa",#REF!,2,FALSE)</f>
        <v>#REF!</v>
      </c>
      <c r="N211" s="216" t="e">
        <f>(VLOOKUP("total",#REF!,7,FALSE)-VLOOKUP("españa",#REF!,7,FALSE))/(VLOOKUP("total",#REF!,7,FALSE)-VLOOKUP("españa",#REF!,7,FALSE))-1</f>
        <v>#REF!</v>
      </c>
      <c r="O211" s="217" t="e">
        <f>VLOOKUP("total",#REF!,7,FALSE)-VLOOKUP("españa",#REF!,7,FALSE)</f>
        <v>#REF!</v>
      </c>
      <c r="P211" s="216" t="e">
        <f>(VLOOKUP("total",#REF!,8,FALSE)-VLOOKUP("españa",#REF!,8,FALSE))/(VLOOKUP("total",#REF!,8,FALSE)-VLOOKUP("españa",#REF!,8,FALSE))-1</f>
        <v>#REF!</v>
      </c>
      <c r="Q211" s="217" t="e">
        <f>VLOOKUP("total",#REF!,8,FALSE)-VLOOKUP("españa",#REF!,8,FALSE)</f>
        <v>#REF!</v>
      </c>
    </row>
    <row r="212" spans="3:18" ht="24" hidden="1" customHeight="1" x14ac:dyDescent="0.2">
      <c r="C212" s="215" t="s">
        <v>8</v>
      </c>
      <c r="D212" s="216" t="e">
        <f>VLOOKUP("total",#REF!,6,FALSE)/VLOOKUP("total",#REF!,6,FALSE)-1</f>
        <v>#REF!</v>
      </c>
      <c r="E212" s="217" t="e">
        <f>VLOOKUP("total",#REF!,6,FALSE)</f>
        <v>#REF!</v>
      </c>
      <c r="F212" s="216" t="e">
        <f>VLOOKUP("total",#REF!,5,FALSE)/VLOOKUP("total",#REF!,5,FALSE)-1</f>
        <v>#REF!</v>
      </c>
      <c r="G212" s="217" t="e">
        <f>VLOOKUP("total",#REF!,5,FALSE)</f>
        <v>#REF!</v>
      </c>
      <c r="H212" s="216" t="e">
        <f>VLOOKUP("total",#REF!,4,FALSE)/VLOOKUP("total",#REF!,4,FALSE)-1</f>
        <v>#REF!</v>
      </c>
      <c r="I212" s="217" t="e">
        <f>VLOOKUP("total",#REF!,4,FALSE)</f>
        <v>#REF!</v>
      </c>
      <c r="J212" s="216" t="e">
        <f>VLOOKUP("total",#REF!,3,FALSE)/VLOOKUP("total",#REF!,3,FALSE)-1</f>
        <v>#REF!</v>
      </c>
      <c r="K212" s="217" t="e">
        <f>VLOOKUP("total",#REF!,3,FALSE)</f>
        <v>#REF!</v>
      </c>
      <c r="L212" s="216" t="e">
        <f>VLOOKUP("total",#REF!,2,FALSE)/VLOOKUP("total",#REF!,2,FALSE)-1</f>
        <v>#REF!</v>
      </c>
      <c r="M212" s="217" t="e">
        <f>VLOOKUP("total",#REF!,2,FALSE)</f>
        <v>#REF!</v>
      </c>
      <c r="N212" s="216" t="e">
        <f>VLOOKUP("total",#REF!,7,FALSE)/VLOOKUP("total",#REF!,7,FALSE)-1</f>
        <v>#REF!</v>
      </c>
      <c r="O212" s="217" t="e">
        <f>VLOOKUP("total",#REF!,7,FALSE)</f>
        <v>#REF!</v>
      </c>
      <c r="P212" s="216" t="e">
        <f>VLOOKUP("total",#REF!,8,FALSE)/VLOOKUP("total",#REF!,8,FALSE)-1</f>
        <v>#REF!</v>
      </c>
      <c r="Q212" s="217" t="e">
        <f>VLOOKUP("total",#REF!,8,FALSE)</f>
        <v>#REF!</v>
      </c>
    </row>
    <row r="213" spans="3:18" hidden="1" x14ac:dyDescent="0.2">
      <c r="C213" s="160"/>
      <c r="D213" s="161"/>
      <c r="E213" s="161"/>
      <c r="F213" s="161"/>
      <c r="G213" s="161"/>
      <c r="H213" s="161"/>
      <c r="I213" s="161"/>
      <c r="J213" s="161"/>
      <c r="K213" s="161"/>
      <c r="L213" s="161"/>
      <c r="M213" s="163"/>
    </row>
    <row r="214" spans="3:18" ht="35.25" hidden="1" customHeight="1" x14ac:dyDescent="0.2">
      <c r="C214" s="206" t="s">
        <v>29</v>
      </c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8"/>
    </row>
    <row r="215" spans="3:18" ht="20.100000000000001" hidden="1" customHeight="1" x14ac:dyDescent="0.2">
      <c r="C215" s="219" t="str">
        <f>I2</f>
        <v>acumulado marzo 2017</v>
      </c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1"/>
    </row>
    <row r="216" spans="3:18" ht="13.5" hidden="1" thickBot="1" x14ac:dyDescent="0.25">
      <c r="C216" s="211"/>
      <c r="D216" s="212" t="s">
        <v>24</v>
      </c>
      <c r="E216" s="213"/>
      <c r="F216" s="212" t="s">
        <v>23</v>
      </c>
      <c r="G216" s="213"/>
      <c r="H216" s="212" t="s">
        <v>22</v>
      </c>
      <c r="I216" s="213"/>
      <c r="J216" s="212" t="s">
        <v>21</v>
      </c>
      <c r="K216" s="213"/>
      <c r="L216" s="212" t="s">
        <v>20</v>
      </c>
      <c r="M216" s="213"/>
      <c r="N216" s="212" t="s">
        <v>63</v>
      </c>
      <c r="O216" s="213"/>
      <c r="P216" s="212" t="s">
        <v>64</v>
      </c>
      <c r="Q216" s="213"/>
    </row>
    <row r="217" spans="3:18" ht="28.5" hidden="1" customHeight="1" x14ac:dyDescent="0.2">
      <c r="C217" s="211"/>
      <c r="D217" s="214" t="s">
        <v>65</v>
      </c>
      <c r="E217" s="214" t="s">
        <v>66</v>
      </c>
      <c r="F217" s="214" t="s">
        <v>65</v>
      </c>
      <c r="G217" s="214" t="s">
        <v>66</v>
      </c>
      <c r="H217" s="214" t="s">
        <v>65</v>
      </c>
      <c r="I217" s="214" t="s">
        <v>66</v>
      </c>
      <c r="J217" s="214" t="s">
        <v>65</v>
      </c>
      <c r="K217" s="214" t="s">
        <v>66</v>
      </c>
      <c r="L217" s="214" t="s">
        <v>65</v>
      </c>
      <c r="M217" s="214" t="s">
        <v>66</v>
      </c>
      <c r="N217" s="214" t="s">
        <v>65</v>
      </c>
      <c r="O217" s="214" t="s">
        <v>66</v>
      </c>
      <c r="P217" s="214" t="s">
        <v>65</v>
      </c>
      <c r="Q217" s="214" t="s">
        <v>66</v>
      </c>
    </row>
    <row r="218" spans="3:18" ht="24" hidden="1" customHeight="1" x14ac:dyDescent="0.2">
      <c r="C218" s="215" t="s">
        <v>36</v>
      </c>
      <c r="D218" s="216" t="e">
        <f>VLOOKUP("españa",#REF!,6,FALSE)/VLOOKUP("españa",#REF!,6,FALSE)-1</f>
        <v>#REF!</v>
      </c>
      <c r="E218" s="217" t="e">
        <f>VLOOKUP("españa",#REF!,6,FALSE)</f>
        <v>#REF!</v>
      </c>
      <c r="F218" s="216" t="e">
        <f>VLOOKUP("españa",#REF!,5,FALSE)/VLOOKUP("españa",#REF!,5,FALSE)-1</f>
        <v>#REF!</v>
      </c>
      <c r="G218" s="217" t="e">
        <f>VLOOKUP("españa",#REF!,5,FALSE)</f>
        <v>#REF!</v>
      </c>
      <c r="H218" s="216" t="e">
        <f>VLOOKUP("españa",#REF!,4,FALSE)/VLOOKUP("españa",#REF!,4,FALSE)-1</f>
        <v>#REF!</v>
      </c>
      <c r="I218" s="217" t="e">
        <f>VLOOKUP("españa",#REF!,4,FALSE)</f>
        <v>#REF!</v>
      </c>
      <c r="J218" s="216" t="e">
        <f>VLOOKUP("españa",#REF!,3,FALSE)/VLOOKUP("españa",#REF!,3,FALSE)-1</f>
        <v>#REF!</v>
      </c>
      <c r="K218" s="217" t="e">
        <f>VLOOKUP("españa",#REF!,3,FALSE)</f>
        <v>#REF!</v>
      </c>
      <c r="L218" s="216" t="e">
        <f>VLOOKUP("españa",#REF!,2,FALSE)/VLOOKUP("españa",#REF!,2,FALSE)-1</f>
        <v>#REF!</v>
      </c>
      <c r="M218" s="217" t="e">
        <f>VLOOKUP("españa",#REF!,2,FALSE)</f>
        <v>#REF!</v>
      </c>
      <c r="N218" s="216" t="e">
        <f>VLOOKUP("españa",#REF!,7,FALSE)/VLOOKUP("españa",#REF!,7,FALSE)-1</f>
        <v>#REF!</v>
      </c>
      <c r="O218" s="217" t="e">
        <f>VLOOKUP("españa",#REF!,7,FALSE)</f>
        <v>#REF!</v>
      </c>
      <c r="P218" s="216" t="e">
        <f>VLOOKUP("españa",#REF!,8,FALSE)/VLOOKUP("españa",#REF!,8,FALSE)-1</f>
        <v>#REF!</v>
      </c>
      <c r="Q218" s="217" t="e">
        <f>VLOOKUP("españa",#REF!,8,FALSE)</f>
        <v>#REF!</v>
      </c>
    </row>
    <row r="219" spans="3:18" ht="24" hidden="1" customHeight="1" x14ac:dyDescent="0.2">
      <c r="C219" s="215" t="s">
        <v>41</v>
      </c>
      <c r="D219" s="216" t="e">
        <f>VLOOKUP("holanda",#REF!,6,FALSE)/VLOOKUP("holanda",#REF!,6,FALSE)-1</f>
        <v>#REF!</v>
      </c>
      <c r="E219" s="217" t="e">
        <f>VLOOKUP("holanda",#REF!,6,FALSE)</f>
        <v>#REF!</v>
      </c>
      <c r="F219" s="216" t="e">
        <f>VLOOKUP("holanda",#REF!,5,FALSE)/VLOOKUP("holanda",#REF!,5,FALSE)-1</f>
        <v>#REF!</v>
      </c>
      <c r="G219" s="217" t="e">
        <f>VLOOKUP("holanda",#REF!,5,FALSE)</f>
        <v>#REF!</v>
      </c>
      <c r="H219" s="216" t="e">
        <f>VLOOKUP("holanda",#REF!,4,FALSE)/VLOOKUP("holanda",#REF!,4,FALSE)-1</f>
        <v>#REF!</v>
      </c>
      <c r="I219" s="217" t="e">
        <f>VLOOKUP("holanda",#REF!,4,FALSE)</f>
        <v>#REF!</v>
      </c>
      <c r="J219" s="216" t="e">
        <f>VLOOKUP("holanda",#REF!,3,FALSE)/VLOOKUP("holanda",#REF!,3,FALSE)-1</f>
        <v>#REF!</v>
      </c>
      <c r="K219" s="217" t="e">
        <f>VLOOKUP("holanda",#REF!,3,FALSE)</f>
        <v>#REF!</v>
      </c>
      <c r="L219" s="216" t="e">
        <f>VLOOKUP("holanda",#REF!,2,FALSE)/VLOOKUP("holanda",#REF!,2,FALSE)-1</f>
        <v>#REF!</v>
      </c>
      <c r="M219" s="217" t="e">
        <f>VLOOKUP("holanda",#REF!,2,FALSE)</f>
        <v>#REF!</v>
      </c>
      <c r="N219" s="216" t="e">
        <f>VLOOKUP("holanda",#REF!,7,FALSE)/VLOOKUP("holanda",#REF!,7,FALSE)-1</f>
        <v>#REF!</v>
      </c>
      <c r="O219" s="217" t="e">
        <f>VLOOKUP("holanda",#REF!,7,FALSE)</f>
        <v>#REF!</v>
      </c>
      <c r="P219" s="216" t="e">
        <f>VLOOKUP("holanda",#REF!,8,FALSE)/VLOOKUP("holanda",#REF!,8,FALSE)-1</f>
        <v>#REF!</v>
      </c>
      <c r="Q219" s="217" t="e">
        <f>VLOOKUP("holanda",#REF!,8,FALSE)</f>
        <v>#REF!</v>
      </c>
    </row>
    <row r="220" spans="3:18" ht="24" hidden="1" customHeight="1" x14ac:dyDescent="0.2">
      <c r="C220" s="215" t="s">
        <v>42</v>
      </c>
      <c r="D220" s="216" t="e">
        <f>VLOOKUP("belgica",#REF!,6,FALSE)/VLOOKUP("belgica",#REF!,6,FALSE)-1</f>
        <v>#REF!</v>
      </c>
      <c r="E220" s="217" t="e">
        <f>VLOOKUP("belgica",#REF!,6,FALSE)</f>
        <v>#REF!</v>
      </c>
      <c r="F220" s="216" t="e">
        <f>VLOOKUP("belgica",#REF!,5,FALSE)/VLOOKUP("belgica",#REF!,5,FALSE)-1</f>
        <v>#REF!</v>
      </c>
      <c r="G220" s="217" t="e">
        <f>VLOOKUP("belgica",#REF!,5,FALSE)</f>
        <v>#REF!</v>
      </c>
      <c r="H220" s="216" t="e">
        <f>VLOOKUP("belgica",#REF!,4,FALSE)/VLOOKUP("belgica",#REF!,4,FALSE)-1</f>
        <v>#REF!</v>
      </c>
      <c r="I220" s="217" t="e">
        <f>VLOOKUP("belgica",#REF!,4,FALSE)</f>
        <v>#REF!</v>
      </c>
      <c r="J220" s="216" t="e">
        <f>VLOOKUP("belgica",#REF!,3,FALSE)/VLOOKUP("belgica",#REF!,3,FALSE)-1</f>
        <v>#REF!</v>
      </c>
      <c r="K220" s="217" t="e">
        <f>VLOOKUP("belgica",#REF!,3,FALSE)</f>
        <v>#REF!</v>
      </c>
      <c r="L220" s="216" t="e">
        <f>VLOOKUP("belgica",#REF!,2,FALSE)/VLOOKUP("belgica",#REF!,2,FALSE)-1</f>
        <v>#REF!</v>
      </c>
      <c r="M220" s="217" t="e">
        <f>VLOOKUP("belgica",#REF!,2,FALSE)</f>
        <v>#REF!</v>
      </c>
      <c r="N220" s="216" t="e">
        <f>VLOOKUP("belgica",#REF!,7,FALSE)/VLOOKUP("belgica",#REF!,7,FALSE)-1</f>
        <v>#REF!</v>
      </c>
      <c r="O220" s="217" t="e">
        <f>VLOOKUP("belgica",#REF!,7,FALSE)</f>
        <v>#REF!</v>
      </c>
      <c r="P220" s="216" t="e">
        <f>VLOOKUP("belgica",#REF!,8,FALSE)/VLOOKUP("belgica",#REF!,8,FALSE)-1</f>
        <v>#REF!</v>
      </c>
      <c r="Q220" s="217" t="e">
        <f>VLOOKUP("belgica",#REF!,8,FALSE)</f>
        <v>#REF!</v>
      </c>
    </row>
    <row r="221" spans="3:18" ht="24" hidden="1" customHeight="1" x14ac:dyDescent="0.2">
      <c r="C221" s="215" t="s">
        <v>43</v>
      </c>
      <c r="D221" s="216" t="e">
        <f>VLOOKUP("alemania",#REF!,6,FALSE)/VLOOKUP("alemania",#REF!,6,FALSE)-1</f>
        <v>#REF!</v>
      </c>
      <c r="E221" s="217" t="e">
        <f>VLOOKUP("alemania",#REF!,6,FALSE)</f>
        <v>#REF!</v>
      </c>
      <c r="F221" s="216" t="e">
        <f>VLOOKUP("alemania",#REF!,5,FALSE)/VLOOKUP("alemania",#REF!,5,FALSE)-1</f>
        <v>#REF!</v>
      </c>
      <c r="G221" s="217" t="e">
        <f>VLOOKUP("alemania",#REF!,5,FALSE)</f>
        <v>#REF!</v>
      </c>
      <c r="H221" s="216" t="e">
        <f>VLOOKUP("alemania",#REF!,4,FALSE)/VLOOKUP("alemania",#REF!,4,FALSE)-1</f>
        <v>#REF!</v>
      </c>
      <c r="I221" s="217" t="e">
        <f>VLOOKUP("alemania",#REF!,4,FALSE)</f>
        <v>#REF!</v>
      </c>
      <c r="J221" s="216" t="e">
        <f>VLOOKUP("alemania",#REF!,3,FALSE)/VLOOKUP("alemania",#REF!,3,FALSE)-1</f>
        <v>#REF!</v>
      </c>
      <c r="K221" s="217" t="e">
        <f>VLOOKUP("alemania",#REF!,3,FALSE)</f>
        <v>#REF!</v>
      </c>
      <c r="L221" s="216" t="e">
        <f>VLOOKUP("alemania",#REF!,2,FALSE)/VLOOKUP("alemania",#REF!,2,FALSE)-1</f>
        <v>#REF!</v>
      </c>
      <c r="M221" s="217" t="e">
        <f>VLOOKUP("alemania",#REF!,2,FALSE)</f>
        <v>#REF!</v>
      </c>
      <c r="N221" s="216" t="e">
        <f>VLOOKUP("alemania",#REF!,7,FALSE)/VLOOKUP("alemania",#REF!,7,FALSE)-1</f>
        <v>#REF!</v>
      </c>
      <c r="O221" s="217" t="e">
        <f>VLOOKUP("alemania",#REF!,7,FALSE)</f>
        <v>#REF!</v>
      </c>
      <c r="P221" s="216" t="e">
        <f>VLOOKUP("alemania",#REF!,8,FALSE)/VLOOKUP("alemania",#REF!,8,FALSE)-1</f>
        <v>#REF!</v>
      </c>
      <c r="Q221" s="217" t="e">
        <f>VLOOKUP("alemania",#REF!,8,FALSE)</f>
        <v>#REF!</v>
      </c>
    </row>
    <row r="222" spans="3:18" ht="24" hidden="1" customHeight="1" x14ac:dyDescent="0.2">
      <c r="C222" s="215" t="s">
        <v>44</v>
      </c>
      <c r="D222" s="216" t="e">
        <f>VLOOKUP("francia",#REF!,6,FALSE)/VLOOKUP("francia",#REF!,6,FALSE)-1</f>
        <v>#REF!</v>
      </c>
      <c r="E222" s="217" t="e">
        <f>VLOOKUP("francia",#REF!,6,FALSE)</f>
        <v>#REF!</v>
      </c>
      <c r="F222" s="216" t="e">
        <f>VLOOKUP("francia",#REF!,5,FALSE)/VLOOKUP("francia",#REF!,5,FALSE)-1</f>
        <v>#REF!</v>
      </c>
      <c r="G222" s="217" t="e">
        <f>VLOOKUP("francia",#REF!,5,FALSE)</f>
        <v>#REF!</v>
      </c>
      <c r="H222" s="216" t="e">
        <f>VLOOKUP("francia",#REF!,4,FALSE)/VLOOKUP("francia",#REF!,4,FALSE)-1</f>
        <v>#REF!</v>
      </c>
      <c r="I222" s="217" t="e">
        <f>VLOOKUP("francia",#REF!,4,FALSE)</f>
        <v>#REF!</v>
      </c>
      <c r="J222" s="216" t="e">
        <f>VLOOKUP("francia",#REF!,3,FALSE)/VLOOKUP("francia",#REF!,3,FALSE)-1</f>
        <v>#REF!</v>
      </c>
      <c r="K222" s="217" t="e">
        <f>VLOOKUP("francia",#REF!,3,FALSE)</f>
        <v>#REF!</v>
      </c>
      <c r="L222" s="216" t="e">
        <f>VLOOKUP("francia",#REF!,2,FALSE)/VLOOKUP("francia",#REF!,2,FALSE)-1</f>
        <v>#REF!</v>
      </c>
      <c r="M222" s="217" t="e">
        <f>VLOOKUP("francia",#REF!,2,FALSE)</f>
        <v>#REF!</v>
      </c>
      <c r="N222" s="216" t="e">
        <f>VLOOKUP("francia",#REF!,7,FALSE)/VLOOKUP("francia",#REF!,7,FALSE)-1</f>
        <v>#REF!</v>
      </c>
      <c r="O222" s="217" t="e">
        <f>VLOOKUP("francia",#REF!,7,FALSE)</f>
        <v>#REF!</v>
      </c>
      <c r="P222" s="216" t="e">
        <f>VLOOKUP("francia",#REF!,8,FALSE)/VLOOKUP("francia",#REF!,8,FALSE)-1</f>
        <v>#REF!</v>
      </c>
      <c r="Q222" s="217" t="e">
        <f>VLOOKUP("francia",#REF!,8,FALSE)</f>
        <v>#REF!</v>
      </c>
    </row>
    <row r="223" spans="3:18" ht="24" hidden="1" customHeight="1" x14ac:dyDescent="0.2">
      <c r="C223" s="215" t="s">
        <v>45</v>
      </c>
      <c r="D223" s="216" t="e">
        <f>VLOOKUP("reino unido",#REF!,6,FALSE)/VLOOKUP("reino unido",#REF!,6,FALSE)-1</f>
        <v>#REF!</v>
      </c>
      <c r="E223" s="217" t="e">
        <f>VLOOKUP("reino unido",#REF!,6,FALSE)</f>
        <v>#REF!</v>
      </c>
      <c r="F223" s="216" t="e">
        <f>VLOOKUP("reino unido",#REF!,5,FALSE)/VLOOKUP("reino unido",#REF!,5,FALSE)-1</f>
        <v>#REF!</v>
      </c>
      <c r="G223" s="217" t="e">
        <f>VLOOKUP("reino unido",#REF!,5,FALSE)</f>
        <v>#REF!</v>
      </c>
      <c r="H223" s="216" t="e">
        <f>VLOOKUP("reino unido",#REF!,4,FALSE)/VLOOKUP("reino unido",#REF!,4,FALSE)-1</f>
        <v>#REF!</v>
      </c>
      <c r="I223" s="217" t="e">
        <f>VLOOKUP("reino unido",#REF!,4,FALSE)</f>
        <v>#REF!</v>
      </c>
      <c r="J223" s="216" t="e">
        <f>VLOOKUP("reino unido",#REF!,3,FALSE)/VLOOKUP("reino unido",#REF!,3,FALSE)-1</f>
        <v>#REF!</v>
      </c>
      <c r="K223" s="217" t="e">
        <f>VLOOKUP("reino unido",#REF!,3,FALSE)</f>
        <v>#REF!</v>
      </c>
      <c r="L223" s="216" t="e">
        <f>VLOOKUP("reino unido",#REF!,2,FALSE)/VLOOKUP("reino unido",#REF!,2,FALSE)-1</f>
        <v>#REF!</v>
      </c>
      <c r="M223" s="217" t="e">
        <f>VLOOKUP("reino unido",#REF!,2,FALSE)</f>
        <v>#REF!</v>
      </c>
      <c r="N223" s="216" t="e">
        <f>VLOOKUP("reino unido",#REF!,7,FALSE)/VLOOKUP("reino unido",#REF!,7,FALSE)-1</f>
        <v>#REF!</v>
      </c>
      <c r="O223" s="217" t="e">
        <f>VLOOKUP("reino unido",#REF!,7,FALSE)</f>
        <v>#REF!</v>
      </c>
      <c r="P223" s="216" t="e">
        <f>VLOOKUP("reino unido",#REF!,8,FALSE)/VLOOKUP("reino unido",#REF!,8,FALSE)-1</f>
        <v>#REF!</v>
      </c>
      <c r="Q223" s="217" t="e">
        <f>VLOOKUP("reino unido",#REF!,8,FALSE)</f>
        <v>#REF!</v>
      </c>
    </row>
    <row r="224" spans="3:18" ht="24" hidden="1" customHeight="1" x14ac:dyDescent="0.2">
      <c r="C224" s="215" t="s">
        <v>46</v>
      </c>
      <c r="D224" s="216" t="e">
        <f>VLOOKUP("irlanda",#REF!,6,FALSE)/VLOOKUP("irlanda",#REF!,6,FALSE)-1</f>
        <v>#REF!</v>
      </c>
      <c r="E224" s="217" t="e">
        <f>VLOOKUP("irlanda",#REF!,6,FALSE)</f>
        <v>#REF!</v>
      </c>
      <c r="F224" s="216" t="e">
        <f>VLOOKUP("irlanda",#REF!,5,FALSE)/VLOOKUP("irlanda",#REF!,5,FALSE)-1</f>
        <v>#REF!</v>
      </c>
      <c r="G224" s="217" t="e">
        <f>VLOOKUP("irlanda",#REF!,5,FALSE)</f>
        <v>#REF!</v>
      </c>
      <c r="H224" s="216" t="e">
        <f>VLOOKUP("irlanda",#REF!,4,FALSE)/VLOOKUP("irlanda",#REF!,4,FALSE)-1</f>
        <v>#REF!</v>
      </c>
      <c r="I224" s="217" t="e">
        <f>VLOOKUP("irlanda",#REF!,4,FALSE)</f>
        <v>#REF!</v>
      </c>
      <c r="J224" s="216" t="e">
        <f>VLOOKUP("irlanda",#REF!,3,FALSE)/VLOOKUP("irlanda",#REF!,3,FALSE)-1</f>
        <v>#REF!</v>
      </c>
      <c r="K224" s="217" t="e">
        <f>VLOOKUP("irlanda",#REF!,3,FALSE)</f>
        <v>#REF!</v>
      </c>
      <c r="L224" s="216" t="e">
        <f>VLOOKUP("irlanda",#REF!,2,FALSE)/VLOOKUP("irlanda",#REF!,2,FALSE)-1</f>
        <v>#REF!</v>
      </c>
      <c r="M224" s="217" t="e">
        <f>VLOOKUP("irlanda",#REF!,2,FALSE)</f>
        <v>#REF!</v>
      </c>
      <c r="N224" s="216" t="e">
        <f>VLOOKUP("irlanda",#REF!,7,FALSE)/VLOOKUP("irlanda",#REF!,7,FALSE)-1</f>
        <v>#REF!</v>
      </c>
      <c r="O224" s="217" t="e">
        <f>VLOOKUP("irlanda",#REF!,7,FALSE)</f>
        <v>#REF!</v>
      </c>
      <c r="P224" s="216" t="e">
        <f>VLOOKUP("irlanda",#REF!,8,FALSE)/VLOOKUP("irlanda",#REF!,8,FALSE)-1</f>
        <v>#REF!</v>
      </c>
      <c r="Q224" s="217" t="e">
        <f>VLOOKUP("irlanda",#REF!,8,FALSE)</f>
        <v>#REF!</v>
      </c>
    </row>
    <row r="225" spans="3:17" ht="24" hidden="1" customHeight="1" x14ac:dyDescent="0.2">
      <c r="C225" s="215" t="s">
        <v>47</v>
      </c>
      <c r="D225" s="216" t="e">
        <f>VLOOKUP("italia",#REF!,6,FALSE)/VLOOKUP("italia",#REF!,6,FALSE)-1</f>
        <v>#REF!</v>
      </c>
      <c r="E225" s="217" t="e">
        <f>VLOOKUP("italia",#REF!,6,FALSE)</f>
        <v>#REF!</v>
      </c>
      <c r="F225" s="216" t="e">
        <f>VLOOKUP("italia",#REF!,5,FALSE)/VLOOKUP("italia",#REF!,5,FALSE)-1</f>
        <v>#REF!</v>
      </c>
      <c r="G225" s="217" t="e">
        <f>VLOOKUP("italia",#REF!,5,FALSE)</f>
        <v>#REF!</v>
      </c>
      <c r="H225" s="216" t="e">
        <f>VLOOKUP("italia",#REF!,4,FALSE)/VLOOKUP("italia",#REF!,4,FALSE)-1</f>
        <v>#REF!</v>
      </c>
      <c r="I225" s="217" t="e">
        <f>VLOOKUP("italia",#REF!,4,FALSE)</f>
        <v>#REF!</v>
      </c>
      <c r="J225" s="216" t="e">
        <f>VLOOKUP("italia",#REF!,3,FALSE)/VLOOKUP("italia",#REF!,3,FALSE)-1</f>
        <v>#REF!</v>
      </c>
      <c r="K225" s="217" t="e">
        <f>VLOOKUP("italia",#REF!,3,FALSE)</f>
        <v>#REF!</v>
      </c>
      <c r="L225" s="216" t="e">
        <f>VLOOKUP("italia",#REF!,2,FALSE)/VLOOKUP("italia",#REF!,2,FALSE)-1</f>
        <v>#REF!</v>
      </c>
      <c r="M225" s="217" t="e">
        <f>VLOOKUP("italia",#REF!,2,FALSE)</f>
        <v>#REF!</v>
      </c>
      <c r="N225" s="216" t="e">
        <f>VLOOKUP("italia",#REF!,7,FALSE)/VLOOKUP("italia",#REF!,7,FALSE)-1</f>
        <v>#REF!</v>
      </c>
      <c r="O225" s="217" t="e">
        <f>VLOOKUP("italia",#REF!,7,FALSE)</f>
        <v>#REF!</v>
      </c>
      <c r="P225" s="216" t="e">
        <f>VLOOKUP("italia",#REF!,8,FALSE)/VLOOKUP("italia",#REF!,8,FALSE)-1</f>
        <v>#REF!</v>
      </c>
      <c r="Q225" s="217" t="e">
        <f>VLOOKUP("italia",#REF!,8,FALSE)</f>
        <v>#REF!</v>
      </c>
    </row>
    <row r="226" spans="3:17" ht="24" hidden="1" customHeight="1" x14ac:dyDescent="0.2">
      <c r="C226" s="215" t="s">
        <v>48</v>
      </c>
      <c r="D226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217" t="e">
        <f>(VLOOKUP("suecia",#REF!,6,FALSE)+VLOOKUP("noruega",#REF!,6,FALSE)+VLOOKUP("dinamarca",#REF!,6,FALSE)+VLOOKUP("finlandia",#REF!,6,FALSE))</f>
        <v>#REF!</v>
      </c>
      <c r="F226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217" t="e">
        <f>(VLOOKUP("suecia",#REF!,5,FALSE)+VLOOKUP("noruega",#REF!,5,FALSE)+VLOOKUP("dinamarca",#REF!,5,FALSE)+VLOOKUP("finlandia",#REF!,5,FALSE))</f>
        <v>#REF!</v>
      </c>
      <c r="H226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217" t="e">
        <f>(VLOOKUP("suecia",#REF!,4,FALSE)+VLOOKUP("noruega",#REF!,4,FALSE)+VLOOKUP("dinamarca",#REF!,4,FALSE)+VLOOKUP("finlandia",#REF!,4,FALSE))</f>
        <v>#REF!</v>
      </c>
      <c r="J226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217" t="e">
        <f>(VLOOKUP("suecia",#REF!,3,FALSE)+VLOOKUP("noruega",#REF!,3,FALSE)+VLOOKUP("dinamarca",#REF!,3,FALSE)+VLOOKUP("finlandia",#REF!,3,FALSE))</f>
        <v>#REF!</v>
      </c>
      <c r="L226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217" t="e">
        <f>(VLOOKUP("suecia",#REF!,2,FALSE)+VLOOKUP("noruega",#REF!,2,FALSE)+VLOOKUP("dinamarca",#REF!,2,FALSE)+VLOOKUP("finlandia",#REF!,2,FALSE))</f>
        <v>#REF!</v>
      </c>
      <c r="N226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217" t="e">
        <f>(VLOOKUP("suecia",#REF!,7,FALSE)+VLOOKUP("noruega",#REF!,7,FALSE)+VLOOKUP("dinamarca",#REF!,7,FALSE)+VLOOKUP("finlandia",#REF!,7,FALSE))</f>
        <v>#REF!</v>
      </c>
      <c r="P226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217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218" t="s">
        <v>49</v>
      </c>
      <c r="D227" s="216" t="e">
        <f>VLOOKUP("suecia",#REF!,6,FALSE)/VLOOKUP("suecia",#REF!,6,FALSE)-1</f>
        <v>#REF!</v>
      </c>
      <c r="E227" s="217" t="e">
        <f>VLOOKUP("suecia",#REF!,6,FALSE)</f>
        <v>#REF!</v>
      </c>
      <c r="F227" s="216" t="e">
        <f>VLOOKUP("suecia",#REF!,5,FALSE)/VLOOKUP("suecia",#REF!,5,FALSE)-1</f>
        <v>#REF!</v>
      </c>
      <c r="G227" s="217" t="e">
        <f>VLOOKUP("suecia",#REF!,5,FALSE)</f>
        <v>#REF!</v>
      </c>
      <c r="H227" s="216" t="e">
        <f>VLOOKUP("suecia",#REF!,4,FALSE)/VLOOKUP("suecia",#REF!,4,FALSE)-1</f>
        <v>#REF!</v>
      </c>
      <c r="I227" s="217" t="e">
        <f>VLOOKUP("suecia",#REF!,4,FALSE)</f>
        <v>#REF!</v>
      </c>
      <c r="J227" s="216" t="e">
        <f>VLOOKUP("suecia",#REF!,3,FALSE)/VLOOKUP("suecia",#REF!,3,FALSE)-1</f>
        <v>#REF!</v>
      </c>
      <c r="K227" s="217" t="e">
        <f>VLOOKUP("suecia",#REF!,3,FALSE)</f>
        <v>#REF!</v>
      </c>
      <c r="L227" s="216" t="e">
        <f>VLOOKUP("suecia",#REF!,2,FALSE)/VLOOKUP("suecia",#REF!,2,FALSE)-1</f>
        <v>#REF!</v>
      </c>
      <c r="M227" s="217" t="e">
        <f>VLOOKUP("suecia",#REF!,2,FALSE)</f>
        <v>#REF!</v>
      </c>
      <c r="N227" s="216" t="e">
        <f>VLOOKUP("suecia",#REF!,7,FALSE)/VLOOKUP("suecia",#REF!,7,FALSE)-1</f>
        <v>#REF!</v>
      </c>
      <c r="O227" s="217" t="e">
        <f>VLOOKUP("suecia",#REF!,7,FALSE)</f>
        <v>#REF!</v>
      </c>
      <c r="P227" s="216" t="e">
        <f>VLOOKUP("suecia",#REF!,8,FALSE)/VLOOKUP("suecia",#REF!,8,FALSE)-1</f>
        <v>#REF!</v>
      </c>
      <c r="Q227" s="217" t="e">
        <f>VLOOKUP("suecia",#REF!,8,FALSE)</f>
        <v>#REF!</v>
      </c>
    </row>
    <row r="228" spans="3:17" ht="24" hidden="1" customHeight="1" x14ac:dyDescent="0.2">
      <c r="C228" s="218" t="s">
        <v>50</v>
      </c>
      <c r="D228" s="216" t="e">
        <f>VLOOKUP("noruega",#REF!,6,FALSE)/VLOOKUP("noruega",#REF!,6,FALSE)-1</f>
        <v>#REF!</v>
      </c>
      <c r="E228" s="217" t="e">
        <f>VLOOKUP("noruega",#REF!,6,FALSE)</f>
        <v>#REF!</v>
      </c>
      <c r="F228" s="216" t="e">
        <f>VLOOKUP("noruega",#REF!,5,FALSE)/VLOOKUP("noruega",#REF!,5,FALSE)-1</f>
        <v>#REF!</v>
      </c>
      <c r="G228" s="217" t="e">
        <f>VLOOKUP("noruega",#REF!,5,FALSE)</f>
        <v>#REF!</v>
      </c>
      <c r="H228" s="216" t="e">
        <f>VLOOKUP("noruega",#REF!,4,FALSE)/VLOOKUP("noruega",#REF!,4,FALSE)-1</f>
        <v>#REF!</v>
      </c>
      <c r="I228" s="217" t="e">
        <f>VLOOKUP("noruega",#REF!,4,FALSE)</f>
        <v>#REF!</v>
      </c>
      <c r="J228" s="216" t="e">
        <f>VLOOKUP("noruega",#REF!,3,FALSE)/VLOOKUP("noruega",#REF!,3,FALSE)-1</f>
        <v>#REF!</v>
      </c>
      <c r="K228" s="217" t="e">
        <f>VLOOKUP("noruega",#REF!,3,FALSE)</f>
        <v>#REF!</v>
      </c>
      <c r="L228" s="216" t="e">
        <f>VLOOKUP("noruega",#REF!,2,FALSE)/VLOOKUP("noruega",#REF!,2,FALSE)-1</f>
        <v>#REF!</v>
      </c>
      <c r="M228" s="217" t="e">
        <f>VLOOKUP("noruega",#REF!,2,FALSE)</f>
        <v>#REF!</v>
      </c>
      <c r="N228" s="216" t="e">
        <f>VLOOKUP("noruega",#REF!,7,FALSE)/VLOOKUP("noruega",#REF!,7,FALSE)-1</f>
        <v>#REF!</v>
      </c>
      <c r="O228" s="217" t="e">
        <f>VLOOKUP("noruega",#REF!,7,FALSE)</f>
        <v>#REF!</v>
      </c>
      <c r="P228" s="216" t="e">
        <f>VLOOKUP("noruega",#REF!,8,FALSE)/VLOOKUP("noruega",#REF!,8,FALSE)-1</f>
        <v>#REF!</v>
      </c>
      <c r="Q228" s="217" t="e">
        <f>VLOOKUP("noruega",#REF!,8,FALSE)</f>
        <v>#REF!</v>
      </c>
    </row>
    <row r="229" spans="3:17" ht="24" hidden="1" customHeight="1" x14ac:dyDescent="0.2">
      <c r="C229" s="218" t="s">
        <v>51</v>
      </c>
      <c r="D229" s="216" t="e">
        <f>VLOOKUP("dinamarca",#REF!,6,FALSE)/VLOOKUP("dinamarca",#REF!,6,FALSE)-1</f>
        <v>#REF!</v>
      </c>
      <c r="E229" s="217" t="e">
        <f>VLOOKUP("dinamarca",#REF!,6,FALSE)</f>
        <v>#REF!</v>
      </c>
      <c r="F229" s="216" t="e">
        <f>VLOOKUP("dinamarca",#REF!,5,FALSE)/VLOOKUP("dinamarca",#REF!,5,FALSE)-1</f>
        <v>#REF!</v>
      </c>
      <c r="G229" s="217" t="e">
        <f>VLOOKUP("dinamarca",#REF!,5,FALSE)</f>
        <v>#REF!</v>
      </c>
      <c r="H229" s="216" t="e">
        <f>VLOOKUP("dinamarca",#REF!,4,FALSE)/VLOOKUP("dinamarca",#REF!,4,FALSE)-1</f>
        <v>#REF!</v>
      </c>
      <c r="I229" s="217" t="e">
        <f>VLOOKUP("dinamarca",#REF!,4,FALSE)</f>
        <v>#REF!</v>
      </c>
      <c r="J229" s="216" t="e">
        <f>VLOOKUP("dinamarca",#REF!,3,FALSE)/VLOOKUP("dinamarca",#REF!,3,FALSE)-1</f>
        <v>#REF!</v>
      </c>
      <c r="K229" s="217" t="e">
        <f>VLOOKUP("dinamarca",#REF!,3,FALSE)</f>
        <v>#REF!</v>
      </c>
      <c r="L229" s="216" t="e">
        <f>VLOOKUP("dinamarca",#REF!,2,FALSE)/VLOOKUP("dinamarca",#REF!,2,FALSE)-1</f>
        <v>#REF!</v>
      </c>
      <c r="M229" s="217" t="e">
        <f>VLOOKUP("dinamarca",#REF!,2,FALSE)</f>
        <v>#REF!</v>
      </c>
      <c r="N229" s="216" t="e">
        <f>VLOOKUP("dinamarca",#REF!,7,FALSE)/VLOOKUP("dinamarca",#REF!,7,FALSE)-1</f>
        <v>#REF!</v>
      </c>
      <c r="O229" s="217" t="e">
        <f>VLOOKUP("dinamarca",#REF!,7,FALSE)</f>
        <v>#REF!</v>
      </c>
      <c r="P229" s="216" t="e">
        <f>VLOOKUP("dinamarca",#REF!,8,FALSE)/VLOOKUP("dinamarca",#REF!,8,FALSE)-1</f>
        <v>#REF!</v>
      </c>
      <c r="Q229" s="217" t="e">
        <f>VLOOKUP("dinamarca",#REF!,8,FALSE)</f>
        <v>#REF!</v>
      </c>
    </row>
    <row r="230" spans="3:17" ht="24" hidden="1" customHeight="1" x14ac:dyDescent="0.2">
      <c r="C230" s="218" t="s">
        <v>52</v>
      </c>
      <c r="D230" s="216" t="s">
        <v>38</v>
      </c>
      <c r="E230" s="217" t="e">
        <f>VLOOKUP("finlandia",#REF!,6,FALSE)</f>
        <v>#REF!</v>
      </c>
      <c r="F230" s="216" t="e">
        <f>VLOOKUP("finlandia",#REF!,5,FALSE)/VLOOKUP("finlandia",#REF!,5,FALSE)-1</f>
        <v>#REF!</v>
      </c>
      <c r="G230" s="217" t="e">
        <f>VLOOKUP("finlandia",#REF!,5,FALSE)</f>
        <v>#REF!</v>
      </c>
      <c r="H230" s="216" t="e">
        <f>VLOOKUP("finlandia",#REF!,4,FALSE)/VLOOKUP("finlandia",#REF!,4,FALSE)-1</f>
        <v>#REF!</v>
      </c>
      <c r="I230" s="217" t="e">
        <f>VLOOKUP("finlandia",#REF!,4,FALSE)</f>
        <v>#REF!</v>
      </c>
      <c r="J230" s="216" t="e">
        <f>VLOOKUP("finlandia",#REF!,3,FALSE)/VLOOKUP("finlandia",#REF!,3,FALSE)-1</f>
        <v>#REF!</v>
      </c>
      <c r="K230" s="217" t="e">
        <f>VLOOKUP("finlandia",#REF!,3,FALSE)</f>
        <v>#REF!</v>
      </c>
      <c r="L230" s="216" t="s">
        <v>38</v>
      </c>
      <c r="M230" s="217" t="e">
        <f>VLOOKUP("finlandia",#REF!,2,FALSE)</f>
        <v>#REF!</v>
      </c>
      <c r="N230" s="216" t="e">
        <f>VLOOKUP("finlandia",#REF!,7,FALSE)/VLOOKUP("finlandia",#REF!,7,FALSE)-1</f>
        <v>#REF!</v>
      </c>
      <c r="O230" s="217" t="e">
        <f>VLOOKUP("finlandia",#REF!,7,FALSE)</f>
        <v>#REF!</v>
      </c>
      <c r="P230" s="216" t="e">
        <f>VLOOKUP("finlandia",#REF!,8,FALSE)/VLOOKUP("finlandia",#REF!,8,FALSE)-1</f>
        <v>#REF!</v>
      </c>
      <c r="Q230" s="217" t="e">
        <f>VLOOKUP("finlandia",#REF!,8,FALSE)</f>
        <v>#REF!</v>
      </c>
    </row>
    <row r="231" spans="3:17" ht="24" hidden="1" customHeight="1" x14ac:dyDescent="0.2">
      <c r="C231" s="215" t="s">
        <v>53</v>
      </c>
      <c r="D231" s="216" t="e">
        <f>VLOOKUP("suiza",#REF!,6,FALSE)/VLOOKUP("suiza",#REF!,6,FALSE)-1</f>
        <v>#REF!</v>
      </c>
      <c r="E231" s="217" t="e">
        <f>VLOOKUP("suiza",#REF!,6,FALSE)</f>
        <v>#REF!</v>
      </c>
      <c r="F231" s="216" t="e">
        <f>VLOOKUP("suiza",#REF!,5,FALSE)/VLOOKUP("suiza",#REF!,5,FALSE)-1</f>
        <v>#REF!</v>
      </c>
      <c r="G231" s="217" t="e">
        <f>VLOOKUP("suiza",#REF!,5,FALSE)</f>
        <v>#REF!</v>
      </c>
      <c r="H231" s="216" t="e">
        <f>VLOOKUP("suiza",#REF!,4,FALSE)/VLOOKUP("suiza",#REF!,4,FALSE)-1</f>
        <v>#REF!</v>
      </c>
      <c r="I231" s="217" t="e">
        <f>VLOOKUP("suiza",#REF!,4,FALSE)</f>
        <v>#REF!</v>
      </c>
      <c r="J231" s="216" t="e">
        <f>VLOOKUP("suiza",#REF!,3,FALSE)/VLOOKUP("suiza",#REF!,3,FALSE)-1</f>
        <v>#REF!</v>
      </c>
      <c r="K231" s="217" t="e">
        <f>VLOOKUP("suiza",#REF!,3,FALSE)</f>
        <v>#REF!</v>
      </c>
      <c r="L231" s="216" t="e">
        <f>VLOOKUP("suiza",#REF!,2,FALSE)/VLOOKUP("suiza",#REF!,2,FALSE)-1</f>
        <v>#REF!</v>
      </c>
      <c r="M231" s="217" t="e">
        <f>VLOOKUP("suiza",#REF!,2,FALSE)</f>
        <v>#REF!</v>
      </c>
      <c r="N231" s="216" t="e">
        <f>VLOOKUP("suiza",#REF!,7,FALSE)/VLOOKUP("suiza",#REF!,7,FALSE)-1</f>
        <v>#REF!</v>
      </c>
      <c r="O231" s="217" t="e">
        <f>VLOOKUP("suiza",#REF!,7,FALSE)</f>
        <v>#REF!</v>
      </c>
      <c r="P231" s="216" t="e">
        <f>VLOOKUP("suiza",#REF!,8,FALSE)/VLOOKUP("suiza",#REF!,8,FALSE)-1</f>
        <v>#REF!</v>
      </c>
      <c r="Q231" s="217" t="e">
        <f>VLOOKUP("suiza",#REF!,8,FALSE)</f>
        <v>#REF!</v>
      </c>
    </row>
    <row r="232" spans="3:17" ht="24" hidden="1" customHeight="1" x14ac:dyDescent="0.2">
      <c r="C232" s="215" t="s">
        <v>54</v>
      </c>
      <c r="D232" s="216" t="e">
        <f>VLOOKUP("austria",#REF!,6,FALSE)/VLOOKUP("austria",#REF!,6,FALSE)-1</f>
        <v>#REF!</v>
      </c>
      <c r="E232" s="217" t="e">
        <f>VLOOKUP("austria",#REF!,6,FALSE)</f>
        <v>#REF!</v>
      </c>
      <c r="F232" s="216" t="e">
        <f>VLOOKUP("austria",#REF!,5,FALSE)/VLOOKUP("austria",#REF!,5,FALSE)-1</f>
        <v>#REF!</v>
      </c>
      <c r="G232" s="217" t="e">
        <f>VLOOKUP("austria",#REF!,5,FALSE)</f>
        <v>#REF!</v>
      </c>
      <c r="H232" s="216" t="e">
        <f>VLOOKUP("austria",#REF!,4,FALSE)/VLOOKUP("austria",#REF!,4,FALSE)-1</f>
        <v>#REF!</v>
      </c>
      <c r="I232" s="217" t="e">
        <f>VLOOKUP("austria",#REF!,4,FALSE)</f>
        <v>#REF!</v>
      </c>
      <c r="J232" s="216" t="e">
        <f>VLOOKUP("austria",#REF!,3,FALSE)/VLOOKUP("austria",#REF!,3,FALSE)-1</f>
        <v>#REF!</v>
      </c>
      <c r="K232" s="217" t="e">
        <f>VLOOKUP("austria",#REF!,3,FALSE)</f>
        <v>#REF!</v>
      </c>
      <c r="L232" s="216" t="e">
        <f>VLOOKUP("austria",#REF!,2,FALSE)/VLOOKUP("austria",#REF!,2,FALSE)-1</f>
        <v>#REF!</v>
      </c>
      <c r="M232" s="217" t="e">
        <f>VLOOKUP("austria",#REF!,2,FALSE)</f>
        <v>#REF!</v>
      </c>
      <c r="N232" s="216" t="e">
        <f>VLOOKUP("austria",#REF!,7,FALSE)/VLOOKUP("austria",#REF!,7,FALSE)-1</f>
        <v>#REF!</v>
      </c>
      <c r="O232" s="217" t="e">
        <f>VLOOKUP("austria",#REF!,7,FALSE)</f>
        <v>#REF!</v>
      </c>
      <c r="P232" s="216" t="e">
        <f>VLOOKUP("austria",#REF!,8,FALSE)/VLOOKUP("austria",#REF!,8,FALSE)-1</f>
        <v>#REF!</v>
      </c>
      <c r="Q232" s="217" t="e">
        <f>VLOOKUP("austria",#REF!,8,FALSE)</f>
        <v>#REF!</v>
      </c>
    </row>
    <row r="233" spans="3:17" ht="24" hidden="1" customHeight="1" x14ac:dyDescent="0.2">
      <c r="C233" s="215" t="s">
        <v>55</v>
      </c>
      <c r="D233" s="216" t="e">
        <f>VLOOKUP("rusia",#REF!,6,FALSE)/VLOOKUP("rusia",#REF!,6,FALSE)-1</f>
        <v>#REF!</v>
      </c>
      <c r="E233" s="217" t="e">
        <f>VLOOKUP("rusia",#REF!,6,FALSE)</f>
        <v>#REF!</v>
      </c>
      <c r="F233" s="216" t="e">
        <f>VLOOKUP("rusia",#REF!,5,FALSE)/VLOOKUP("rusia",#REF!,5,FALSE)-1</f>
        <v>#REF!</v>
      </c>
      <c r="G233" s="217" t="e">
        <f>VLOOKUP("rusia",#REF!,5,FALSE)</f>
        <v>#REF!</v>
      </c>
      <c r="H233" s="216" t="e">
        <f>VLOOKUP("rusia",#REF!,4,FALSE)/VLOOKUP("rusia",#REF!,4,FALSE)-1</f>
        <v>#REF!</v>
      </c>
      <c r="I233" s="217" t="e">
        <f>VLOOKUP("rusia",#REF!,4,FALSE)</f>
        <v>#REF!</v>
      </c>
      <c r="J233" s="216" t="e">
        <f>VLOOKUP("rusia",#REF!,3,FALSE)/VLOOKUP("rusia",#REF!,3,FALSE)-1</f>
        <v>#REF!</v>
      </c>
      <c r="K233" s="217" t="e">
        <f>VLOOKUP("rusia",#REF!,3,FALSE)</f>
        <v>#REF!</v>
      </c>
      <c r="L233" s="216" t="e">
        <f>VLOOKUP("rusia",#REF!,2,FALSE)/VLOOKUP("rusia",#REF!,2,FALSE)-1</f>
        <v>#REF!</v>
      </c>
      <c r="M233" s="217" t="e">
        <f>VLOOKUP("rusia",#REF!,2,FALSE)</f>
        <v>#REF!</v>
      </c>
      <c r="N233" s="216" t="e">
        <f>VLOOKUP("rusia",#REF!,7,FALSE)/VLOOKUP("rusia",#REF!,7,FALSE)-1</f>
        <v>#REF!</v>
      </c>
      <c r="O233" s="217" t="e">
        <f>VLOOKUP("rusia",#REF!,7,FALSE)</f>
        <v>#REF!</v>
      </c>
      <c r="P233" s="216" t="e">
        <f>VLOOKUP("rusia",#REF!,8,FALSE)/VLOOKUP("rusia",#REF!,8,FALSE)-1</f>
        <v>#REF!</v>
      </c>
      <c r="Q233" s="217" t="e">
        <f>VLOOKUP("rusia",#REF!,8,FALSE)</f>
        <v>#REF!</v>
      </c>
    </row>
    <row r="234" spans="3:17" ht="24" hidden="1" customHeight="1" x14ac:dyDescent="0.2">
      <c r="C234" s="215" t="s">
        <v>56</v>
      </c>
      <c r="D234" s="216" t="e">
        <f>VLOOKUP("paises del este",#REF!,6,FALSE)/VLOOKUP("paises del este",#REF!,6,FALSE)-1</f>
        <v>#REF!</v>
      </c>
      <c r="E234" s="217" t="e">
        <f>VLOOKUP("paises del este",#REF!,6,FALSE)</f>
        <v>#REF!</v>
      </c>
      <c r="F234" s="216" t="e">
        <f>VLOOKUP("paises del este",#REF!,5,FALSE)/VLOOKUP("paises del este",#REF!,5,FALSE)-1</f>
        <v>#REF!</v>
      </c>
      <c r="G234" s="217" t="e">
        <f>VLOOKUP("paises del este",#REF!,5,FALSE)</f>
        <v>#REF!</v>
      </c>
      <c r="H234" s="216" t="e">
        <f>VLOOKUP("paises del este",#REF!,4,FALSE)/VLOOKUP("paises del este",#REF!,4,FALSE)-1</f>
        <v>#REF!</v>
      </c>
      <c r="I234" s="217" t="e">
        <f>VLOOKUP("paises del este",#REF!,4,FALSE)</f>
        <v>#REF!</v>
      </c>
      <c r="J234" s="216" t="e">
        <f>VLOOKUP("paises del este",#REF!,3,FALSE)/VLOOKUP("paises del este",#REF!,3,FALSE)-1</f>
        <v>#REF!</v>
      </c>
      <c r="K234" s="217" t="e">
        <f>VLOOKUP("paises del este",#REF!,3,FALSE)</f>
        <v>#REF!</v>
      </c>
      <c r="L234" s="216" t="e">
        <f>VLOOKUP("paises del este",#REF!,2,FALSE)/VLOOKUP("paises del este",#REF!,2,FALSE)-1</f>
        <v>#REF!</v>
      </c>
      <c r="M234" s="217" t="e">
        <f>VLOOKUP("paises del este",#REF!,2,FALSE)</f>
        <v>#REF!</v>
      </c>
      <c r="N234" s="216" t="e">
        <f>VLOOKUP("paises del este",#REF!,7,FALSE)/VLOOKUP("paises del este",#REF!,7,FALSE)-1</f>
        <v>#REF!</v>
      </c>
      <c r="O234" s="217" t="e">
        <f>VLOOKUP("paises del este",#REF!,7,FALSE)</f>
        <v>#REF!</v>
      </c>
      <c r="P234" s="216" t="e">
        <f>VLOOKUP("paises del este",#REF!,8,FALSE)/VLOOKUP("paises del este",#REF!,8,FALSE)-1</f>
        <v>#REF!</v>
      </c>
      <c r="Q234" s="217" t="e">
        <f>VLOOKUP("paises del este",#REF!,8,FALSE)</f>
        <v>#REF!</v>
      </c>
    </row>
    <row r="235" spans="3:17" ht="24" hidden="1" customHeight="1" x14ac:dyDescent="0.2">
      <c r="C235" s="215" t="s">
        <v>57</v>
      </c>
      <c r="D235" s="216" t="e">
        <f>VLOOKUP("resto de europa",#REF!,6,FALSE)/VLOOKUP("resto de europa",#REF!,6,FALSE)-1</f>
        <v>#REF!</v>
      </c>
      <c r="E235" s="217" t="e">
        <f>VLOOKUP("resto de europa",#REF!,6,FALSE)</f>
        <v>#REF!</v>
      </c>
      <c r="F235" s="216" t="e">
        <f>VLOOKUP("resto de europa",#REF!,5,FALSE)/VLOOKUP("resto de europa",#REF!,5,FALSE)-1</f>
        <v>#REF!</v>
      </c>
      <c r="G235" s="217" t="e">
        <f>VLOOKUP("resto de europa",#REF!,5,FALSE)</f>
        <v>#REF!</v>
      </c>
      <c r="H235" s="216" t="e">
        <f>VLOOKUP("resto de europa",#REF!,4,FALSE)/VLOOKUP("resto de europa",#REF!,4,FALSE)-1</f>
        <v>#REF!</v>
      </c>
      <c r="I235" s="217" t="e">
        <f>VLOOKUP("resto de europa",#REF!,4,FALSE)</f>
        <v>#REF!</v>
      </c>
      <c r="J235" s="216" t="e">
        <f>VLOOKUP("resto de europa",#REF!,3,FALSE)/VLOOKUP("resto de europa",#REF!,3,FALSE)-1</f>
        <v>#REF!</v>
      </c>
      <c r="K235" s="217" t="e">
        <f>VLOOKUP("resto de europa",#REF!,3,FALSE)</f>
        <v>#REF!</v>
      </c>
      <c r="L235" s="216" t="e">
        <f>VLOOKUP("resto de europa",#REF!,2,FALSE)/VLOOKUP("resto de europa",#REF!,2,FALSE)-1</f>
        <v>#REF!</v>
      </c>
      <c r="M235" s="217" t="e">
        <f>VLOOKUP("resto de europa",#REF!,2,FALSE)</f>
        <v>#REF!</v>
      </c>
      <c r="N235" s="216" t="e">
        <f>VLOOKUP("resto de europa",#REF!,7,FALSE)/VLOOKUP("resto de europa",#REF!,7,FALSE)-1</f>
        <v>#REF!</v>
      </c>
      <c r="O235" s="217" t="e">
        <f>VLOOKUP("resto de europa",#REF!,7,FALSE)</f>
        <v>#REF!</v>
      </c>
      <c r="P235" s="216" t="e">
        <f>VLOOKUP("resto de europa",#REF!,8,FALSE)/VLOOKUP("resto de europa",#REF!,8,FALSE)-1</f>
        <v>#REF!</v>
      </c>
      <c r="Q235" s="217" t="e">
        <f>VLOOKUP("resto de europa",#REF!,8,FALSE)</f>
        <v>#REF!</v>
      </c>
    </row>
    <row r="236" spans="3:17" ht="24" hidden="1" customHeight="1" x14ac:dyDescent="0.2">
      <c r="C236" s="215" t="s">
        <v>58</v>
      </c>
      <c r="D236" s="216" t="e">
        <f>VLOOKUP("usa",#REF!,6,FALSE)/VLOOKUP("usa",#REF!,6,FALSE)-1</f>
        <v>#REF!</v>
      </c>
      <c r="E236" s="217" t="e">
        <f>VLOOKUP("usa",#REF!,6,FALSE)</f>
        <v>#REF!</v>
      </c>
      <c r="F236" s="216" t="e">
        <f>VLOOKUP("usa",#REF!,5,FALSE)/VLOOKUP("usa",#REF!,5,FALSE)-1</f>
        <v>#REF!</v>
      </c>
      <c r="G236" s="217" t="e">
        <f>VLOOKUP("usa",#REF!,5,FALSE)</f>
        <v>#REF!</v>
      </c>
      <c r="H236" s="216" t="e">
        <f>VLOOKUP("usa",#REF!,4,FALSE)/VLOOKUP("usa",#REF!,4,FALSE)-1</f>
        <v>#REF!</v>
      </c>
      <c r="I236" s="217" t="e">
        <f>VLOOKUP("usa",#REF!,4,FALSE)</f>
        <v>#REF!</v>
      </c>
      <c r="J236" s="216" t="e">
        <f>VLOOKUP("usa",#REF!,3,FALSE)/VLOOKUP("usa",#REF!,3,FALSE)-1</f>
        <v>#REF!</v>
      </c>
      <c r="K236" s="217" t="e">
        <f>VLOOKUP("usa",#REF!,3,FALSE)</f>
        <v>#REF!</v>
      </c>
      <c r="L236" s="216" t="e">
        <f>VLOOKUP("usa",#REF!,2,FALSE)/VLOOKUP("usa",#REF!,2,FALSE)-1</f>
        <v>#REF!</v>
      </c>
      <c r="M236" s="217" t="e">
        <f>VLOOKUP("usa",#REF!,2,FALSE)</f>
        <v>#REF!</v>
      </c>
      <c r="N236" s="216" t="e">
        <f>VLOOKUP("usa",#REF!,7,FALSE)/VLOOKUP("usa",#REF!,7,FALSE)-1</f>
        <v>#REF!</v>
      </c>
      <c r="O236" s="217" t="e">
        <f>VLOOKUP("usa",#REF!,7,FALSE)</f>
        <v>#REF!</v>
      </c>
      <c r="P236" s="216" t="e">
        <f>VLOOKUP("usa",#REF!,8,FALSE)/VLOOKUP("usa",#REF!,8,FALSE)-1</f>
        <v>#REF!</v>
      </c>
      <c r="Q236" s="217" t="e">
        <f>VLOOKUP("usa",#REF!,8,FALSE)</f>
        <v>#REF!</v>
      </c>
    </row>
    <row r="237" spans="3:17" ht="24" hidden="1" customHeight="1" x14ac:dyDescent="0.2">
      <c r="C237" s="215" t="s">
        <v>59</v>
      </c>
      <c r="D237" s="216" t="e">
        <f>VLOOKUP("resto de america",#REF!,6,FALSE)/VLOOKUP("resto de america",#REF!,6,FALSE)-1</f>
        <v>#REF!</v>
      </c>
      <c r="E237" s="217" t="e">
        <f>VLOOKUP("resto de america",#REF!,6,FALSE)</f>
        <v>#REF!</v>
      </c>
      <c r="F237" s="216" t="e">
        <f>VLOOKUP("resto de america",#REF!,5,FALSE)/VLOOKUP("resto de america",#REF!,5,FALSE)-1</f>
        <v>#REF!</v>
      </c>
      <c r="G237" s="217" t="e">
        <f>VLOOKUP("resto de america",#REF!,5,FALSE)</f>
        <v>#REF!</v>
      </c>
      <c r="H237" s="216" t="e">
        <f>VLOOKUP("resto de america",#REF!,4,FALSE)/VLOOKUP("resto de america",#REF!,4,FALSE)-1</f>
        <v>#REF!</v>
      </c>
      <c r="I237" s="217" t="e">
        <f>VLOOKUP("resto de america",#REF!,4,FALSE)</f>
        <v>#REF!</v>
      </c>
      <c r="J237" s="216" t="e">
        <f>VLOOKUP("resto de america",#REF!,3,FALSE)/VLOOKUP("resto de america",#REF!,3,FALSE)-1</f>
        <v>#REF!</v>
      </c>
      <c r="K237" s="217" t="e">
        <f>VLOOKUP("resto de america",#REF!,3,FALSE)</f>
        <v>#REF!</v>
      </c>
      <c r="L237" s="216" t="e">
        <f>VLOOKUP("resto de america",#REF!,2,FALSE)/VLOOKUP("resto de america",#REF!,2,FALSE)-1</f>
        <v>#REF!</v>
      </c>
      <c r="M237" s="217" t="e">
        <f>VLOOKUP("resto de america",#REF!,2,FALSE)</f>
        <v>#REF!</v>
      </c>
      <c r="N237" s="216" t="e">
        <f>VLOOKUP("resto de america",#REF!,7,FALSE)/VLOOKUP("resto de america",#REF!,7,FALSE)-1</f>
        <v>#REF!</v>
      </c>
      <c r="O237" s="217" t="e">
        <f>VLOOKUP("resto de america",#REF!,7,FALSE)</f>
        <v>#REF!</v>
      </c>
      <c r="P237" s="216" t="e">
        <f>VLOOKUP("resto de america",#REF!,8,FALSE)/VLOOKUP("resto de america",#REF!,8,FALSE)-1</f>
        <v>#REF!</v>
      </c>
      <c r="Q237" s="217" t="e">
        <f>VLOOKUP("resto de america",#REF!,8,FALSE)</f>
        <v>#REF!</v>
      </c>
    </row>
    <row r="238" spans="3:17" ht="24" hidden="1" customHeight="1" x14ac:dyDescent="0.2">
      <c r="C238" s="215" t="s">
        <v>60</v>
      </c>
      <c r="D238" s="216" t="e">
        <f>VLOOKUP("resto del mundo",#REF!,6,FALSE)/VLOOKUP("resto del mundo",#REF!,6,FALSE)-1</f>
        <v>#REF!</v>
      </c>
      <c r="E238" s="217" t="e">
        <f>VLOOKUP("resto del mundo",#REF!,6,FALSE)</f>
        <v>#REF!</v>
      </c>
      <c r="F238" s="216" t="e">
        <f>VLOOKUP("resto del mundo",#REF!,5,FALSE)/VLOOKUP("resto del mundo",#REF!,5,FALSE)-1</f>
        <v>#REF!</v>
      </c>
      <c r="G238" s="217" t="e">
        <f>VLOOKUP("resto del mundo",#REF!,5,FALSE)</f>
        <v>#REF!</v>
      </c>
      <c r="H238" s="216" t="e">
        <f>VLOOKUP("resto del mundo",#REF!,4,FALSE)/VLOOKUP("resto del mundo",#REF!,4,FALSE)-1</f>
        <v>#REF!</v>
      </c>
      <c r="I238" s="217" t="e">
        <f>VLOOKUP("resto del mundo",#REF!,4,FALSE)</f>
        <v>#REF!</v>
      </c>
      <c r="J238" s="216" t="e">
        <f>VLOOKUP("resto del mundo",#REF!,3,FALSE)/VLOOKUP("resto del mundo",#REF!,3,FALSE)-1</f>
        <v>#REF!</v>
      </c>
      <c r="K238" s="217" t="e">
        <f>VLOOKUP("resto del mundo",#REF!,3,FALSE)</f>
        <v>#REF!</v>
      </c>
      <c r="L238" s="216" t="e">
        <f>VLOOKUP("resto del mundo",#REF!,2,FALSE)/VLOOKUP("resto del mundo",#REF!,2,FALSE)-1</f>
        <v>#REF!</v>
      </c>
      <c r="M238" s="217" t="e">
        <f>VLOOKUP("resto del mundo",#REF!,2,FALSE)</f>
        <v>#REF!</v>
      </c>
      <c r="N238" s="216" t="e">
        <f>VLOOKUP("resto del mundo",#REF!,7,FALSE)/VLOOKUP("resto del mundo",#REF!,7,FALSE)-1</f>
        <v>#REF!</v>
      </c>
      <c r="O238" s="217" t="e">
        <f>VLOOKUP("resto del mundo",#REF!,7,FALSE)</f>
        <v>#REF!</v>
      </c>
      <c r="P238" s="216" t="e">
        <f>VLOOKUP("resto del mundo",#REF!,8,FALSE)/VLOOKUP("resto del mundo",#REF!,8,FALSE)-1</f>
        <v>#REF!</v>
      </c>
      <c r="Q238" s="217" t="e">
        <f>VLOOKUP("resto del mundo",#REF!,8,FALSE)</f>
        <v>#REF!</v>
      </c>
    </row>
    <row r="239" spans="3:17" ht="24" hidden="1" customHeight="1" x14ac:dyDescent="0.2">
      <c r="C239" s="215" t="s">
        <v>61</v>
      </c>
      <c r="D239" s="216" t="e">
        <f>(VLOOKUP("total",#REF!,6,FALSE)-VLOOKUP("españa",#REF!,6,FALSE))/(VLOOKUP("total",#REF!,6,FALSE)-VLOOKUP("españa",#REF!,6,FALSE))-1</f>
        <v>#REF!</v>
      </c>
      <c r="E239" s="217" t="e">
        <f>VLOOKUP("total",#REF!,6,FALSE)-VLOOKUP("españa",#REF!,6,FALSE)</f>
        <v>#REF!</v>
      </c>
      <c r="F239" s="216" t="e">
        <f>(VLOOKUP("total",#REF!,5,FALSE)-VLOOKUP("españa",#REF!,5,FALSE))/(VLOOKUP("total",#REF!,5,FALSE)-VLOOKUP("españa",#REF!,5,FALSE))-1</f>
        <v>#REF!</v>
      </c>
      <c r="G239" s="217" t="e">
        <f>VLOOKUP("total",#REF!,5,FALSE)-VLOOKUP("españa",#REF!,5,FALSE)</f>
        <v>#REF!</v>
      </c>
      <c r="H239" s="216" t="e">
        <f>(VLOOKUP("total",#REF!,4,FALSE)-VLOOKUP("españa",#REF!,4,FALSE))/(VLOOKUP("total",#REF!,4,FALSE)-VLOOKUP("españa",#REF!,4,FALSE))-1</f>
        <v>#REF!</v>
      </c>
      <c r="I239" s="217" t="e">
        <f>VLOOKUP("total",#REF!,4,FALSE)-VLOOKUP("españa",#REF!,4,FALSE)</f>
        <v>#REF!</v>
      </c>
      <c r="J239" s="216" t="e">
        <f>(VLOOKUP("total",#REF!,3,FALSE)-VLOOKUP("españa",#REF!,3,FALSE))/(VLOOKUP("total",#REF!,3,FALSE)-VLOOKUP("españa",#REF!,3,FALSE))-1</f>
        <v>#REF!</v>
      </c>
      <c r="K239" s="217" t="e">
        <f>VLOOKUP("total",#REF!,3,FALSE)-VLOOKUP("españa",#REF!,3,FALSE)</f>
        <v>#REF!</v>
      </c>
      <c r="L239" s="216" t="e">
        <f>(VLOOKUP("total",#REF!,2,FALSE)-VLOOKUP("españa",#REF!,2,FALSE))/(VLOOKUP("total",#REF!,2,FALSE)-VLOOKUP("españa",#REF!,2,FALSE))-1</f>
        <v>#REF!</v>
      </c>
      <c r="M239" s="217" t="e">
        <f>VLOOKUP("total",#REF!,2,FALSE)-VLOOKUP("españa",#REF!,2,FALSE)</f>
        <v>#REF!</v>
      </c>
      <c r="N239" s="216" t="e">
        <f>(VLOOKUP("total",#REF!,7,FALSE)-VLOOKUP("españa",#REF!,7,FALSE))/(VLOOKUP("total",#REF!,7,FALSE)-VLOOKUP("españa",#REF!,7,FALSE))-1</f>
        <v>#REF!</v>
      </c>
      <c r="O239" s="217" t="e">
        <f>VLOOKUP("total",#REF!,7,FALSE)-VLOOKUP("españa",#REF!,7,FALSE)</f>
        <v>#REF!</v>
      </c>
      <c r="P239" s="216" t="e">
        <f>(VLOOKUP("total",#REF!,8,FALSE)-VLOOKUP("españa",#REF!,8,FALSE))/(VLOOKUP("total",#REF!,8,FALSE)-VLOOKUP("españa",#REF!,8,FALSE))-1</f>
        <v>#REF!</v>
      </c>
      <c r="Q239" s="217" t="e">
        <f>VLOOKUP("total",#REF!,8,FALSE)-VLOOKUP("españa",#REF!,8,FALSE)</f>
        <v>#REF!</v>
      </c>
    </row>
    <row r="240" spans="3:17" ht="24" hidden="1" customHeight="1" x14ac:dyDescent="0.2">
      <c r="C240" s="215" t="s">
        <v>8</v>
      </c>
      <c r="D240" s="216" t="e">
        <f>VLOOKUP("total",#REF!,6,FALSE)/VLOOKUP("total",#REF!,6,FALSE)-1</f>
        <v>#REF!</v>
      </c>
      <c r="E240" s="217" t="e">
        <f>VLOOKUP("total",#REF!,6,FALSE)</f>
        <v>#REF!</v>
      </c>
      <c r="F240" s="216" t="e">
        <f>VLOOKUP("total",#REF!,5,FALSE)/VLOOKUP("total",#REF!,5,FALSE)-1</f>
        <v>#REF!</v>
      </c>
      <c r="G240" s="217" t="e">
        <f>VLOOKUP("total",#REF!,5,FALSE)</f>
        <v>#REF!</v>
      </c>
      <c r="H240" s="216" t="e">
        <f>VLOOKUP("total",#REF!,4,FALSE)/VLOOKUP("total",#REF!,4,FALSE)-1</f>
        <v>#REF!</v>
      </c>
      <c r="I240" s="217" t="e">
        <f>VLOOKUP("total",#REF!,4,FALSE)</f>
        <v>#REF!</v>
      </c>
      <c r="J240" s="216" t="e">
        <f>VLOOKUP("total",#REF!,3,FALSE)/VLOOKUP("total",#REF!,3,FALSE)-1</f>
        <v>#REF!</v>
      </c>
      <c r="K240" s="217" t="e">
        <f>VLOOKUP("total",#REF!,3,FALSE)</f>
        <v>#REF!</v>
      </c>
      <c r="L240" s="216" t="e">
        <f>VLOOKUP("total",#REF!,2,FALSE)/VLOOKUP("total",#REF!,2,FALSE)-1</f>
        <v>#REF!</v>
      </c>
      <c r="M240" s="217" t="e">
        <f>VLOOKUP("total",#REF!,2,FALSE)</f>
        <v>#REF!</v>
      </c>
      <c r="N240" s="216" t="e">
        <f>VLOOKUP("total",#REF!,7,FALSE)/VLOOKUP("total",#REF!,7,FALSE)-1</f>
        <v>#REF!</v>
      </c>
      <c r="O240" s="217" t="e">
        <f>VLOOKUP("total",#REF!,7,FALSE)</f>
        <v>#REF!</v>
      </c>
      <c r="P240" s="216" t="e">
        <f>VLOOKUP("total",#REF!,8,FALSE)/VLOOKUP("total",#REF!,8,FALSE)-1</f>
        <v>#REF!</v>
      </c>
      <c r="Q240" s="217" t="e">
        <f>VLOOKUP("total",#REF!,8,FALSE)</f>
        <v>#REF!</v>
      </c>
    </row>
    <row r="241" spans="3:13" ht="18" customHeight="1" thickBot="1" x14ac:dyDescent="0.25">
      <c r="C241" s="4"/>
    </row>
    <row r="242" spans="3:13" ht="50.25" customHeight="1" thickBot="1" x14ac:dyDescent="0.25">
      <c r="C242" s="2"/>
      <c r="D242" s="2"/>
      <c r="E242" s="3" t="str">
        <f>$E$1</f>
        <v>INDICADORES TURÍSTICOS DE TENERIFE definitivo</v>
      </c>
      <c r="F242" s="3"/>
      <c r="G242" s="3"/>
      <c r="H242" s="3"/>
      <c r="I242" s="3"/>
      <c r="J242" s="3"/>
      <c r="K242" s="3"/>
      <c r="L242" s="2"/>
      <c r="M242" s="2"/>
    </row>
    <row r="243" spans="3:13" ht="5.25" customHeight="1" thickBot="1" x14ac:dyDescent="0.25">
      <c r="C243" s="4"/>
    </row>
    <row r="244" spans="3:13" ht="28.5" customHeight="1" thickBot="1" x14ac:dyDescent="0.25">
      <c r="C244" s="222" t="s">
        <v>67</v>
      </c>
      <c r="D244" s="223"/>
      <c r="E244" s="223"/>
      <c r="F244" s="223"/>
      <c r="G244" s="223"/>
      <c r="H244" s="223"/>
      <c r="I244" s="223"/>
      <c r="J244" s="223"/>
      <c r="K244" s="223"/>
      <c r="L244" s="223"/>
      <c r="M244" s="224"/>
    </row>
    <row r="245" spans="3:13" ht="5.25" customHeight="1" thickBot="1" x14ac:dyDescent="0.25">
      <c r="C245" s="225"/>
      <c r="D245" s="226"/>
      <c r="E245" s="226"/>
      <c r="F245" s="226"/>
      <c r="G245" s="227"/>
      <c r="H245" s="227"/>
      <c r="I245" s="227"/>
      <c r="J245" s="226"/>
      <c r="K245" s="226"/>
      <c r="L245" s="226"/>
      <c r="M245" s="228"/>
    </row>
    <row r="246" spans="3:13" ht="32.25" customHeight="1" thickTop="1" thickBot="1" x14ac:dyDescent="0.25">
      <c r="C246" s="175"/>
      <c r="D246" s="176" t="s">
        <v>7</v>
      </c>
      <c r="E246" s="177"/>
      <c r="F246" s="176" t="s">
        <v>30</v>
      </c>
      <c r="G246" s="177"/>
      <c r="H246" s="176" t="s">
        <v>31</v>
      </c>
      <c r="I246" s="177"/>
      <c r="J246" s="176" t="s">
        <v>32</v>
      </c>
      <c r="K246" s="177"/>
      <c r="L246" s="176" t="s">
        <v>33</v>
      </c>
      <c r="M246" s="229"/>
    </row>
    <row r="247" spans="3:13" ht="31.5" customHeight="1" thickBot="1" x14ac:dyDescent="0.25">
      <c r="C247" s="178"/>
      <c r="D247" s="230" t="s">
        <v>68</v>
      </c>
      <c r="E247" s="231" t="s">
        <v>69</v>
      </c>
      <c r="F247" s="230" t="s">
        <v>68</v>
      </c>
      <c r="G247" s="231" t="s">
        <v>69</v>
      </c>
      <c r="H247" s="230" t="s">
        <v>68</v>
      </c>
      <c r="I247" s="231" t="s">
        <v>69</v>
      </c>
      <c r="J247" s="230" t="s">
        <v>68</v>
      </c>
      <c r="K247" s="231" t="s">
        <v>69</v>
      </c>
      <c r="L247" s="230" t="s">
        <v>68</v>
      </c>
      <c r="M247" s="232" t="s">
        <v>69</v>
      </c>
    </row>
    <row r="248" spans="3:13" ht="18.75" thickBot="1" x14ac:dyDescent="0.25">
      <c r="C248" s="181" t="s">
        <v>36</v>
      </c>
      <c r="D248" s="233">
        <v>0.15295210543506385</v>
      </c>
      <c r="E248" s="234">
        <v>0.14390710590641656</v>
      </c>
      <c r="F248" s="233">
        <v>0.68098650927487347</v>
      </c>
      <c r="G248" s="234">
        <v>0.64652778831419078</v>
      </c>
      <c r="H248" s="233">
        <v>0.34168241965973534</v>
      </c>
      <c r="I248" s="234">
        <v>0.38600288600288601</v>
      </c>
      <c r="J248" s="233">
        <v>0.33762741470253621</v>
      </c>
      <c r="K248" s="234">
        <v>0.30979232452842798</v>
      </c>
      <c r="L248" s="233">
        <v>7.0505970161812842E-2</v>
      </c>
      <c r="M248" s="235">
        <v>6.8654759141436081E-2</v>
      </c>
    </row>
    <row r="249" spans="3:13" ht="26.25" thickBot="1" x14ac:dyDescent="0.25">
      <c r="C249" s="236" t="s">
        <v>70</v>
      </c>
      <c r="D249" s="237">
        <v>3.5764694484186128E-2</v>
      </c>
      <c r="E249" s="238">
        <v>3.4301987045612929E-2</v>
      </c>
      <c r="F249" s="237"/>
      <c r="G249" s="238"/>
      <c r="H249" s="237"/>
      <c r="I249" s="238"/>
      <c r="J249" s="237"/>
      <c r="K249" s="238"/>
      <c r="L249" s="237"/>
      <c r="M249" s="239"/>
    </row>
    <row r="250" spans="3:13" ht="26.25" thickBot="1" x14ac:dyDescent="0.25">
      <c r="C250" s="236" t="s">
        <v>39</v>
      </c>
      <c r="D250" s="237">
        <v>1.9761014395680794E-2</v>
      </c>
      <c r="E250" s="238">
        <v>1.7747477396889002E-2</v>
      </c>
      <c r="F250" s="237"/>
      <c r="G250" s="238"/>
      <c r="H250" s="237"/>
      <c r="I250" s="238"/>
      <c r="J250" s="237"/>
      <c r="K250" s="238"/>
      <c r="L250" s="237"/>
      <c r="M250" s="239"/>
    </row>
    <row r="251" spans="3:13" ht="18.75" thickBot="1" x14ac:dyDescent="0.25">
      <c r="C251" s="236" t="s">
        <v>40</v>
      </c>
      <c r="D251" s="237">
        <v>9.7426396555349903E-2</v>
      </c>
      <c r="E251" s="238">
        <v>9.1857641463969034E-2</v>
      </c>
      <c r="F251" s="237"/>
      <c r="G251" s="238"/>
      <c r="H251" s="237"/>
      <c r="I251" s="238"/>
      <c r="J251" s="237"/>
      <c r="K251" s="238"/>
      <c r="L251" s="237"/>
      <c r="M251" s="239"/>
    </row>
    <row r="252" spans="3:13" ht="18.75" thickBot="1" x14ac:dyDescent="0.25">
      <c r="C252" s="240" t="s">
        <v>41</v>
      </c>
      <c r="D252" s="241">
        <v>2.484655159980827E-2</v>
      </c>
      <c r="E252" s="242">
        <v>2.8153770617174636E-2</v>
      </c>
      <c r="F252" s="241">
        <v>7.1247892074198984E-3</v>
      </c>
      <c r="G252" s="242">
        <v>9.7103582211837541E-3</v>
      </c>
      <c r="H252" s="241">
        <v>2.8591682419659734E-2</v>
      </c>
      <c r="I252" s="242">
        <v>2.8539361872695207E-2</v>
      </c>
      <c r="J252" s="241">
        <v>1.0974614739309807E-2</v>
      </c>
      <c r="K252" s="242">
        <v>1.2647653417539638E-2</v>
      </c>
      <c r="L252" s="241">
        <v>2.9366969311937798E-2</v>
      </c>
      <c r="M252" s="243">
        <v>3.3037331539864025E-2</v>
      </c>
    </row>
    <row r="253" spans="3:13" ht="24" customHeight="1" thickBot="1" x14ac:dyDescent="0.25">
      <c r="C253" s="244" t="s">
        <v>42</v>
      </c>
      <c r="D253" s="237">
        <v>2.8242140939227223E-2</v>
      </c>
      <c r="E253" s="238">
        <v>3.0435999176406613E-2</v>
      </c>
      <c r="F253" s="237">
        <v>6.0286677908937608E-3</v>
      </c>
      <c r="G253" s="238">
        <v>7.555872490858608E-3</v>
      </c>
      <c r="H253" s="237">
        <v>1.3232514177693762E-2</v>
      </c>
      <c r="I253" s="238">
        <v>1.6193682860349529E-2</v>
      </c>
      <c r="J253" s="237">
        <v>9.7794734483273773E-3</v>
      </c>
      <c r="K253" s="238">
        <v>9.460678662723673E-3</v>
      </c>
      <c r="L253" s="237">
        <v>3.4404512471846137E-2</v>
      </c>
      <c r="M253" s="239">
        <v>3.7089500863999876E-2</v>
      </c>
    </row>
    <row r="254" spans="3:13" ht="24" customHeight="1" thickBot="1" x14ac:dyDescent="0.25">
      <c r="C254" s="240" t="s">
        <v>43</v>
      </c>
      <c r="D254" s="241">
        <v>0.12650426092378694</v>
      </c>
      <c r="E254" s="242">
        <v>0.12191218473229821</v>
      </c>
      <c r="F254" s="241">
        <v>4.2580101180438451E-2</v>
      </c>
      <c r="G254" s="242">
        <v>4.4273164514709674E-2</v>
      </c>
      <c r="H254" s="241">
        <v>0.30458412098298676</v>
      </c>
      <c r="I254" s="242">
        <v>0.24178290844957512</v>
      </c>
      <c r="J254" s="241">
        <v>0.26738988037095346</v>
      </c>
      <c r="K254" s="242">
        <v>0.26924297863097923</v>
      </c>
      <c r="L254" s="241">
        <v>9.5587100972447783E-2</v>
      </c>
      <c r="M254" s="243">
        <v>9.0515642266357971E-2</v>
      </c>
    </row>
    <row r="255" spans="3:13" ht="24" customHeight="1" thickBot="1" x14ac:dyDescent="0.25">
      <c r="C255" s="244" t="s">
        <v>44</v>
      </c>
      <c r="D255" s="237">
        <v>3.2454283617607008E-2</v>
      </c>
      <c r="E255" s="238">
        <v>3.4845089776958542E-2</v>
      </c>
      <c r="F255" s="237">
        <v>2.3355817875210794E-2</v>
      </c>
      <c r="G255" s="238">
        <v>2.641520884856393E-2</v>
      </c>
      <c r="H255" s="237">
        <v>9.3100189035916825E-2</v>
      </c>
      <c r="I255" s="238">
        <v>9.1951258617925288E-2</v>
      </c>
      <c r="J255" s="237">
        <v>3.3498431377055583E-2</v>
      </c>
      <c r="K255" s="238">
        <v>3.3273185972298801E-2</v>
      </c>
      <c r="L255" s="237">
        <v>3.2084886529059838E-2</v>
      </c>
      <c r="M255" s="239">
        <v>3.5062920220374529E-2</v>
      </c>
    </row>
    <row r="256" spans="3:13" ht="24" customHeight="1" thickBot="1" x14ac:dyDescent="0.25">
      <c r="C256" s="240" t="s">
        <v>45</v>
      </c>
      <c r="D256" s="241">
        <v>0.36913301123662229</v>
      </c>
      <c r="E256" s="242">
        <v>0.34848182023188828</v>
      </c>
      <c r="F256" s="241">
        <v>5.4215851602023607E-2</v>
      </c>
      <c r="G256" s="242">
        <v>5.8368356370146715E-2</v>
      </c>
      <c r="H256" s="241">
        <v>7.4669187145557661E-2</v>
      </c>
      <c r="I256" s="242">
        <v>7.2150072150072145E-2</v>
      </c>
      <c r="J256" s="241">
        <v>0.12871901538744412</v>
      </c>
      <c r="K256" s="242">
        <v>0.12093796468013299</v>
      </c>
      <c r="L256" s="241">
        <v>0.45225974200822949</v>
      </c>
      <c r="M256" s="243">
        <v>0.42490740024322937</v>
      </c>
    </row>
    <row r="257" spans="3:13" ht="24" customHeight="1" thickBot="1" x14ac:dyDescent="0.25">
      <c r="C257" s="244" t="s">
        <v>46</v>
      </c>
      <c r="D257" s="237">
        <v>1.5300300746138869E-2</v>
      </c>
      <c r="E257" s="238">
        <v>1.5624893939725333E-2</v>
      </c>
      <c r="F257" s="237">
        <v>5.1011804384485668E-3</v>
      </c>
      <c r="G257" s="238">
        <v>5.9475944104750485E-3</v>
      </c>
      <c r="H257" s="237">
        <v>4.4896030245746696E-3</v>
      </c>
      <c r="I257" s="238">
        <v>6.8943402276735611E-3</v>
      </c>
      <c r="J257" s="237">
        <v>5.2172514048656037E-3</v>
      </c>
      <c r="K257" s="238">
        <v>5.5803384959818222E-3</v>
      </c>
      <c r="L257" s="237">
        <v>1.8568227014806898E-2</v>
      </c>
      <c r="M257" s="239">
        <v>1.8751078759887393E-2</v>
      </c>
    </row>
    <row r="258" spans="3:13" ht="24" customHeight="1" thickBot="1" x14ac:dyDescent="0.25">
      <c r="C258" s="240" t="s">
        <v>47</v>
      </c>
      <c r="D258" s="241">
        <v>2.5650379432187898E-2</v>
      </c>
      <c r="E258" s="242">
        <v>3.0105656774244153E-2</v>
      </c>
      <c r="F258" s="241">
        <v>3.0438448566610456E-2</v>
      </c>
      <c r="G258" s="242">
        <v>3.4229012729672728E-2</v>
      </c>
      <c r="H258" s="241">
        <v>2.6701323251417771E-2</v>
      </c>
      <c r="I258" s="242">
        <v>2.9982363315696647E-2</v>
      </c>
      <c r="J258" s="241">
        <v>1.461749732816971E-2</v>
      </c>
      <c r="K258" s="242">
        <v>1.6603177785574658E-2</v>
      </c>
      <c r="L258" s="241">
        <v>2.801221800557047E-2</v>
      </c>
      <c r="M258" s="243">
        <v>3.3044275281667923E-2</v>
      </c>
    </row>
    <row r="259" spans="3:13" ht="24" customHeight="1" thickBot="1" x14ac:dyDescent="0.25">
      <c r="C259" s="244" t="s">
        <v>48</v>
      </c>
      <c r="D259" s="237">
        <v>0.12651910734813168</v>
      </c>
      <c r="E259" s="238">
        <v>0.14654154885334231</v>
      </c>
      <c r="F259" s="237">
        <v>5.2192242833052266E-2</v>
      </c>
      <c r="G259" s="238">
        <v>5.7943528197969926E-2</v>
      </c>
      <c r="H259" s="237">
        <v>1.2759924385633271E-2</v>
      </c>
      <c r="I259" s="238">
        <v>2.1003687670354338E-2</v>
      </c>
      <c r="J259" s="237">
        <v>9.82544042105747E-2</v>
      </c>
      <c r="K259" s="238">
        <v>0.12352346582460362</v>
      </c>
      <c r="L259" s="237">
        <v>0.13971328637984087</v>
      </c>
      <c r="M259" s="239">
        <v>0.15935391458404011</v>
      </c>
    </row>
    <row r="260" spans="3:13" ht="24" customHeight="1" thickBot="1" x14ac:dyDescent="0.25">
      <c r="C260" s="245" t="s">
        <v>49</v>
      </c>
      <c r="D260" s="241">
        <v>4.5383398304114156E-2</v>
      </c>
      <c r="E260" s="242">
        <v>5.3475496211244158E-2</v>
      </c>
      <c r="F260" s="241">
        <v>1.8929173693086002E-2</v>
      </c>
      <c r="G260" s="242">
        <v>2.2257961735119635E-2</v>
      </c>
      <c r="H260" s="241">
        <v>2.5992438563327033E-3</v>
      </c>
      <c r="I260" s="242">
        <v>7.4555074555074556E-3</v>
      </c>
      <c r="J260" s="241">
        <v>2.6097748767510545E-2</v>
      </c>
      <c r="K260" s="242">
        <v>3.4826992799024278E-2</v>
      </c>
      <c r="L260" s="241">
        <v>5.2358473366374683E-2</v>
      </c>
      <c r="M260" s="243">
        <v>6.0514709821030015E-2</v>
      </c>
    </row>
    <row r="261" spans="3:13" ht="24" customHeight="1" thickBot="1" x14ac:dyDescent="0.25">
      <c r="C261" s="236" t="s">
        <v>50</v>
      </c>
      <c r="D261" s="237">
        <v>2.2579290510589742E-2</v>
      </c>
      <c r="E261" s="238">
        <v>2.5837602770049258E-2</v>
      </c>
      <c r="F261" s="237">
        <v>1.5935919055649242E-2</v>
      </c>
      <c r="G261" s="238">
        <v>1.4125536724878242E-2</v>
      </c>
      <c r="H261" s="237">
        <v>1.6540642722117202E-3</v>
      </c>
      <c r="I261" s="238">
        <v>2.6455026455026454E-3</v>
      </c>
      <c r="J261" s="237">
        <v>1.1388317493880647E-2</v>
      </c>
      <c r="K261" s="238">
        <v>1.3971730740313769E-2</v>
      </c>
      <c r="L261" s="237">
        <v>2.600112755698791E-2</v>
      </c>
      <c r="M261" s="239">
        <v>2.9708303326449109E-2</v>
      </c>
    </row>
    <row r="262" spans="3:13" ht="24" customHeight="1" thickBot="1" x14ac:dyDescent="0.25">
      <c r="C262" s="245" t="s">
        <v>51</v>
      </c>
      <c r="D262" s="241">
        <v>2.8585729616919832E-2</v>
      </c>
      <c r="E262" s="242">
        <v>3.349128929321056E-2</v>
      </c>
      <c r="F262" s="241">
        <v>5.438448566610455E-3</v>
      </c>
      <c r="G262" s="242">
        <v>8.0413904019177966E-3</v>
      </c>
      <c r="H262" s="241">
        <v>7.0888468809073724E-3</v>
      </c>
      <c r="I262" s="242">
        <v>7.6158409491742822E-3</v>
      </c>
      <c r="J262" s="241">
        <v>1.7134189085142325E-2</v>
      </c>
      <c r="K262" s="242">
        <v>2.2329707784070976E-2</v>
      </c>
      <c r="L262" s="241">
        <v>3.3175980231289426E-2</v>
      </c>
      <c r="M262" s="243">
        <v>3.8126102319011368E-2</v>
      </c>
    </row>
    <row r="263" spans="3:13" ht="24" customHeight="1" thickBot="1" x14ac:dyDescent="0.25">
      <c r="C263" s="236" t="s">
        <v>52</v>
      </c>
      <c r="D263" s="237">
        <v>2.9970688916507952E-2</v>
      </c>
      <c r="E263" s="238">
        <v>3.3737160578838327E-2</v>
      </c>
      <c r="F263" s="237">
        <v>1.1888701517706577E-2</v>
      </c>
      <c r="G263" s="238">
        <v>1.3518639336054256E-2</v>
      </c>
      <c r="H263" s="237">
        <v>1.4177693761814746E-3</v>
      </c>
      <c r="I263" s="238">
        <v>3.2868366201699536E-3</v>
      </c>
      <c r="J263" s="237">
        <v>4.3634148864041183E-2</v>
      </c>
      <c r="K263" s="238">
        <v>5.2395034501194593E-2</v>
      </c>
      <c r="L263" s="237">
        <v>2.8177705225188837E-2</v>
      </c>
      <c r="M263" s="239">
        <v>3.1004799117549612E-2</v>
      </c>
    </row>
    <row r="264" spans="3:13" ht="24" customHeight="1" thickBot="1" x14ac:dyDescent="0.25">
      <c r="C264" s="240" t="s">
        <v>53</v>
      </c>
      <c r="D264" s="241">
        <v>8.9884494818597907E-3</v>
      </c>
      <c r="E264" s="242">
        <v>9.2548667053323139E-3</v>
      </c>
      <c r="F264" s="241">
        <v>4.4266441821247896E-3</v>
      </c>
      <c r="G264" s="242">
        <v>6.4331123215342362E-3</v>
      </c>
      <c r="H264" s="241">
        <v>1.8667296786389415E-2</v>
      </c>
      <c r="I264" s="242">
        <v>2.0683020683020682E-2</v>
      </c>
      <c r="J264" s="241">
        <v>8.5613486709799017E-3</v>
      </c>
      <c r="K264" s="242">
        <v>9.8867224700516267E-3</v>
      </c>
      <c r="L264" s="241">
        <v>9.2813086392743247E-3</v>
      </c>
      <c r="M264" s="243">
        <v>9.1478838450871035E-3</v>
      </c>
    </row>
    <row r="265" spans="3:13" ht="24" customHeight="1" thickBot="1" x14ac:dyDescent="0.25">
      <c r="C265" s="244" t="s">
        <v>54</v>
      </c>
      <c r="D265" s="237">
        <v>6.0361319550195757E-3</v>
      </c>
      <c r="E265" s="238">
        <v>7.4817274645013901E-3</v>
      </c>
      <c r="F265" s="237">
        <v>2.5295109612141651E-3</v>
      </c>
      <c r="G265" s="238">
        <v>3.7172465065469056E-3</v>
      </c>
      <c r="H265" s="237">
        <v>1.0396975425330813E-2</v>
      </c>
      <c r="I265" s="238">
        <v>1.2425845759179092E-2</v>
      </c>
      <c r="J265" s="237">
        <v>6.8375871936013971E-3</v>
      </c>
      <c r="K265" s="238">
        <v>9.3437254607120785E-3</v>
      </c>
      <c r="L265" s="237">
        <v>6.0220518732311797E-3</v>
      </c>
      <c r="M265" s="239">
        <v>7.2244673654054846E-3</v>
      </c>
    </row>
    <row r="266" spans="3:13" ht="24" customHeight="1" thickBot="1" x14ac:dyDescent="0.25">
      <c r="C266" s="240" t="s">
        <v>55</v>
      </c>
      <c r="D266" s="241">
        <v>1.2214365400195973E-2</v>
      </c>
      <c r="E266" s="242">
        <v>1.340224768590622E-2</v>
      </c>
      <c r="F266" s="241">
        <v>4.9325463743676223E-3</v>
      </c>
      <c r="G266" s="242">
        <v>8.2841493574473887E-3</v>
      </c>
      <c r="H266" s="241">
        <v>7.5614366729678641E-3</v>
      </c>
      <c r="I266" s="242">
        <v>7.2951739618406283E-3</v>
      </c>
      <c r="J266" s="241">
        <v>7.5270917845527991E-3</v>
      </c>
      <c r="K266" s="242">
        <v>7.7272651329089604E-3</v>
      </c>
      <c r="L266" s="241">
        <v>1.3898121579813925E-2</v>
      </c>
      <c r="M266" s="243">
        <v>1.5160172284153787E-2</v>
      </c>
    </row>
    <row r="267" spans="3:13" ht="24" customHeight="1" thickBot="1" x14ac:dyDescent="0.25">
      <c r="C267" s="244" t="s">
        <v>56</v>
      </c>
      <c r="D267" s="237">
        <v>2.45729532083123E-2</v>
      </c>
      <c r="E267" s="238">
        <v>2.4802077386101636E-2</v>
      </c>
      <c r="F267" s="237">
        <v>1.1593591905564924E-2</v>
      </c>
      <c r="G267" s="238">
        <v>1.2729672730583076E-2</v>
      </c>
      <c r="H267" s="237">
        <v>8.9792060491493391E-3</v>
      </c>
      <c r="I267" s="238">
        <v>1.0421677088343755E-2</v>
      </c>
      <c r="J267" s="237">
        <v>1.6651535871476345E-2</v>
      </c>
      <c r="K267" s="238">
        <v>1.7426027099727667E-2</v>
      </c>
      <c r="L267" s="237">
        <v>2.7555024500523106E-2</v>
      </c>
      <c r="M267" s="239">
        <v>2.7521024658219109E-2</v>
      </c>
    </row>
    <row r="268" spans="3:13" ht="24" customHeight="1" thickBot="1" x14ac:dyDescent="0.25">
      <c r="C268" s="240" t="s">
        <v>57</v>
      </c>
      <c r="D268" s="241">
        <v>2.7406499340394574E-2</v>
      </c>
      <c r="E268" s="242">
        <v>2.7056400308621258E-2</v>
      </c>
      <c r="F268" s="241">
        <v>2.5801011804384485E-2</v>
      </c>
      <c r="G268" s="242">
        <v>3.1422112306361799E-2</v>
      </c>
      <c r="H268" s="241">
        <v>1.1578449905482041E-2</v>
      </c>
      <c r="I268" s="242">
        <v>1.5392015392015393E-2</v>
      </c>
      <c r="J268" s="241">
        <v>3.6176007538583528E-2</v>
      </c>
      <c r="K268" s="242">
        <v>3.5979817218852857E-2</v>
      </c>
      <c r="L268" s="241">
        <v>2.5560763260715297E-2</v>
      </c>
      <c r="M268" s="243">
        <v>2.4796101981743909E-2</v>
      </c>
    </row>
    <row r="269" spans="3:13" ht="24" customHeight="1" thickBot="1" x14ac:dyDescent="0.25">
      <c r="C269" s="244" t="s">
        <v>58</v>
      </c>
      <c r="D269" s="237">
        <v>4.3712115106448865E-3</v>
      </c>
      <c r="E269" s="238">
        <v>3.5990729294960318E-3</v>
      </c>
      <c r="F269" s="237">
        <v>1.2731871838111298E-2</v>
      </c>
      <c r="G269" s="238">
        <v>9.9834620461545457E-3</v>
      </c>
      <c r="H269" s="237">
        <v>1.7013232514177693E-2</v>
      </c>
      <c r="I269" s="238">
        <v>1.4830848164181497E-2</v>
      </c>
      <c r="J269" s="237">
        <v>5.056367000310277E-3</v>
      </c>
      <c r="K269" s="238">
        <v>3.7007334636526158E-3</v>
      </c>
      <c r="L269" s="237">
        <v>3.4976705570187619E-3</v>
      </c>
      <c r="M269" s="239">
        <v>3.0185437584688852E-3</v>
      </c>
    </row>
    <row r="270" spans="3:13" ht="24" customHeight="1" thickBot="1" x14ac:dyDescent="0.25">
      <c r="C270" s="240" t="s">
        <v>59</v>
      </c>
      <c r="D270" s="241">
        <v>3.134716454504193E-3</v>
      </c>
      <c r="E270" s="242">
        <v>3.1269397245789077E-3</v>
      </c>
      <c r="F270" s="241">
        <v>1.2984822934232716E-2</v>
      </c>
      <c r="G270" s="242">
        <v>1.3670363683260254E-2</v>
      </c>
      <c r="H270" s="241">
        <v>1.1342155009451797E-2</v>
      </c>
      <c r="I270" s="242">
        <v>9.4596761263427923E-3</v>
      </c>
      <c r="J270" s="241">
        <v>3.3555890092968202E-3</v>
      </c>
      <c r="K270" s="242">
        <v>3.5211267605633804E-3</v>
      </c>
      <c r="L270" s="241">
        <v>2.3280405471736748E-3</v>
      </c>
      <c r="M270" s="243">
        <v>2.2656437543026402E-3</v>
      </c>
    </row>
    <row r="271" spans="3:13" ht="24" customHeight="1" thickBot="1" x14ac:dyDescent="0.25">
      <c r="C271" s="244" t="s">
        <v>60</v>
      </c>
      <c r="D271" s="237">
        <v>1.1673531370494641E-2</v>
      </c>
      <c r="E271" s="238">
        <v>1.1268597787007588E-2</v>
      </c>
      <c r="F271" s="237">
        <v>2.2976391231028667E-2</v>
      </c>
      <c r="G271" s="238">
        <v>2.2788996950340621E-2</v>
      </c>
      <c r="H271" s="237">
        <v>1.4650283553875236E-2</v>
      </c>
      <c r="I271" s="238">
        <v>1.4991181657848324E-2</v>
      </c>
      <c r="J271" s="237">
        <v>9.7564899619623294E-3</v>
      </c>
      <c r="K271" s="238">
        <v>1.1352814395268408E-2</v>
      </c>
      <c r="L271" s="237">
        <v>1.1354106186697632E-2</v>
      </c>
      <c r="M271" s="239">
        <v>1.0449339451761826E-2</v>
      </c>
    </row>
    <row r="272" spans="3:13" ht="30.75" customHeight="1" thickBot="1" x14ac:dyDescent="0.25">
      <c r="C272" s="246" t="s">
        <v>61</v>
      </c>
      <c r="D272" s="247">
        <v>0.84704789456493612</v>
      </c>
      <c r="E272" s="248">
        <v>0.85609289409358347</v>
      </c>
      <c r="F272" s="247">
        <v>0.31901349072512653</v>
      </c>
      <c r="G272" s="248">
        <v>0.35347221168580922</v>
      </c>
      <c r="H272" s="247">
        <v>0.65831758034026466</v>
      </c>
      <c r="I272" s="248">
        <v>0.61399711399711399</v>
      </c>
      <c r="J272" s="247">
        <v>0.66237258529746379</v>
      </c>
      <c r="K272" s="248">
        <v>0.69020767547157202</v>
      </c>
      <c r="L272" s="247">
        <v>0.92949402983818719</v>
      </c>
      <c r="M272" s="249">
        <v>0.93134524085856396</v>
      </c>
    </row>
    <row r="273" spans="3:18" ht="24" customHeight="1" thickBot="1" x14ac:dyDescent="0.25">
      <c r="C273" s="250" t="s">
        <v>8</v>
      </c>
      <c r="D273" s="251">
        <v>1</v>
      </c>
      <c r="E273" s="252">
        <v>1</v>
      </c>
      <c r="F273" s="251">
        <v>1</v>
      </c>
      <c r="G273" s="252">
        <v>1</v>
      </c>
      <c r="H273" s="251">
        <v>1</v>
      </c>
      <c r="I273" s="252">
        <v>1</v>
      </c>
      <c r="J273" s="251">
        <v>1</v>
      </c>
      <c r="K273" s="252">
        <v>1</v>
      </c>
      <c r="L273" s="251">
        <v>1</v>
      </c>
      <c r="M273" s="253">
        <v>1</v>
      </c>
    </row>
    <row r="274" spans="3:18" ht="18" customHeight="1" x14ac:dyDescent="0.2">
      <c r="C274" s="254"/>
      <c r="D274" s="255"/>
      <c r="E274" s="256"/>
      <c r="F274" s="255"/>
      <c r="G274" s="256"/>
      <c r="H274" s="255"/>
      <c r="I274" s="256"/>
      <c r="J274" s="255"/>
      <c r="K274" s="256"/>
      <c r="L274" s="255"/>
      <c r="M274" s="256"/>
      <c r="N274" s="257"/>
    </row>
    <row r="275" spans="3:18" ht="5.25" customHeight="1" thickBot="1" x14ac:dyDescent="0.25"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</row>
    <row r="276" spans="3:18" ht="20.100000000000001" customHeight="1" thickBot="1" x14ac:dyDescent="0.25">
      <c r="C276" s="27" t="s">
        <v>71</v>
      </c>
      <c r="D276" s="28"/>
      <c r="E276" s="28"/>
      <c r="F276" s="28"/>
      <c r="G276" s="28"/>
      <c r="H276" s="28"/>
      <c r="I276" s="28"/>
      <c r="J276" s="28"/>
      <c r="K276" s="28"/>
      <c r="L276" s="28"/>
      <c r="M276" s="29"/>
    </row>
    <row r="277" spans="3:18" ht="5.25" customHeight="1" x14ac:dyDescent="0.2"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151"/>
    </row>
    <row r="278" spans="3:18" ht="45.75" customHeight="1" x14ac:dyDescent="0.2">
      <c r="C278" s="258" t="s">
        <v>7</v>
      </c>
      <c r="D278" s="259" t="s">
        <v>72</v>
      </c>
      <c r="E278" s="260" t="s">
        <v>73</v>
      </c>
      <c r="F278" s="261">
        <v>1125.1486422527528</v>
      </c>
      <c r="G278" s="262">
        <v>5.7854971766462482E-2</v>
      </c>
      <c r="H278" s="263" t="s">
        <v>96</v>
      </c>
      <c r="I278" s="263"/>
      <c r="J278" s="263"/>
      <c r="K278" s="263"/>
      <c r="L278" s="264"/>
      <c r="M278" s="265" t="s">
        <v>100</v>
      </c>
      <c r="O278" s="145"/>
      <c r="R278" s="145"/>
    </row>
    <row r="279" spans="3:18" ht="45.75" customHeight="1" x14ac:dyDescent="0.2">
      <c r="C279" s="258"/>
      <c r="D279" s="266"/>
      <c r="E279" s="267" t="s">
        <v>74</v>
      </c>
      <c r="F279" s="268">
        <v>740.38139475498474</v>
      </c>
      <c r="G279" s="269">
        <v>6.036874797643943E-2</v>
      </c>
      <c r="H279" s="270" t="s">
        <v>97</v>
      </c>
      <c r="I279" s="271"/>
      <c r="J279" s="271"/>
      <c r="K279" s="271"/>
      <c r="L279" s="272"/>
      <c r="M279" s="265"/>
      <c r="O279" s="145"/>
      <c r="R279" s="145"/>
    </row>
    <row r="280" spans="3:18" ht="45.75" customHeight="1" thickBot="1" x14ac:dyDescent="0.25">
      <c r="C280" s="258"/>
      <c r="D280" s="273"/>
      <c r="E280" s="274" t="s">
        <v>75</v>
      </c>
      <c r="F280" s="275">
        <v>387.67482844824917</v>
      </c>
      <c r="G280" s="276">
        <v>5.5110229475464179E-2</v>
      </c>
      <c r="H280" s="277" t="str">
        <f>CONCATENATE("El gasto medio por turista en destino ascendió a ",FIXED(F280,1),"€. Experimenta un ",IF(G280&gt;0,"incremento del ","descenso del "),FIXED(G280*100,1),"% respecto al miso periodo del año anterior.")</f>
        <v>El gasto medio por turista en destino ascendió a 387,7€. Experimenta un incremento del 5,5% respecto al miso periodo del año anterior.</v>
      </c>
      <c r="I280" s="278"/>
      <c r="J280" s="278"/>
      <c r="K280" s="278"/>
      <c r="L280" s="279"/>
      <c r="M280" s="265"/>
      <c r="O280" s="145"/>
      <c r="R280" s="145"/>
    </row>
    <row r="281" spans="3:18" ht="45.75" customHeight="1" thickTop="1" x14ac:dyDescent="0.2">
      <c r="C281" s="258"/>
      <c r="D281" s="280" t="s">
        <v>76</v>
      </c>
      <c r="E281" s="281" t="s">
        <v>73</v>
      </c>
      <c r="F281" s="282">
        <v>116.05498752962366</v>
      </c>
      <c r="G281" s="283">
        <v>2.8921260303419905E-2</v>
      </c>
      <c r="H281" s="284" t="s">
        <v>98</v>
      </c>
      <c r="I281" s="285"/>
      <c r="J281" s="285"/>
      <c r="K281" s="285"/>
      <c r="L281" s="286"/>
      <c r="M281" s="265"/>
      <c r="O281" s="145"/>
      <c r="R281" s="145"/>
    </row>
    <row r="282" spans="3:18" ht="45.75" customHeight="1" x14ac:dyDescent="0.2">
      <c r="C282" s="258"/>
      <c r="D282" s="287"/>
      <c r="E282" s="288" t="s">
        <v>74</v>
      </c>
      <c r="F282" s="289">
        <v>76.380484610325709</v>
      </c>
      <c r="G282" s="269">
        <v>3.2007171130422396E-2</v>
      </c>
      <c r="H282" s="290" t="str">
        <f>CONCATENATE("La media del gasto diario por turista en origen fue de ",FIXED(F282,1),"€, ",IF(G282&gt;0,"aumentando un ","disminuyendo un "),FIXED(G282*100,1),"% respecto al mismo período del año anterior.")</f>
        <v>La media del gasto diario por turista en origen fue de 76,4€, aumentando un 3,2% respecto al mismo período del año anterior.</v>
      </c>
      <c r="I282" s="271"/>
      <c r="J282" s="271"/>
      <c r="K282" s="271"/>
      <c r="L282" s="272"/>
      <c r="M282" s="265"/>
      <c r="O282" s="145"/>
      <c r="R282" s="145"/>
    </row>
    <row r="283" spans="3:18" ht="45.75" customHeight="1" x14ac:dyDescent="0.2">
      <c r="C283" s="258"/>
      <c r="D283" s="291"/>
      <c r="E283" s="292" t="s">
        <v>75</v>
      </c>
      <c r="F283" s="293">
        <v>39.805978530376997</v>
      </c>
      <c r="G283" s="294">
        <v>1.9418089374815706E-2</v>
      </c>
      <c r="H283" s="295" t="s">
        <v>99</v>
      </c>
      <c r="I283" s="296"/>
      <c r="J283" s="296"/>
      <c r="K283" s="296"/>
      <c r="L283" s="297"/>
      <c r="M283" s="265"/>
      <c r="O283" s="145"/>
      <c r="R283" s="145"/>
    </row>
    <row r="284" spans="3:18" ht="5.25" customHeight="1" thickBot="1" x14ac:dyDescent="0.25">
      <c r="C284" s="298"/>
      <c r="D284" s="298"/>
      <c r="E284" s="298"/>
      <c r="F284" s="298"/>
      <c r="G284" s="298"/>
      <c r="H284" s="298"/>
      <c r="I284" s="298"/>
      <c r="J284" s="298"/>
      <c r="K284" s="298"/>
      <c r="L284" s="298"/>
      <c r="M284" s="299"/>
      <c r="N284" s="257"/>
      <c r="O284" s="145"/>
      <c r="R284" s="145"/>
    </row>
    <row r="285" spans="3:18" ht="19.5" customHeight="1" thickBot="1" x14ac:dyDescent="0.25">
      <c r="C285" s="27" t="s">
        <v>77</v>
      </c>
      <c r="D285" s="28"/>
      <c r="E285" s="28"/>
      <c r="F285" s="28"/>
      <c r="G285" s="28"/>
      <c r="H285" s="28"/>
      <c r="I285" s="28"/>
      <c r="J285" s="28"/>
      <c r="K285" s="28"/>
      <c r="L285" s="28"/>
      <c r="M285" s="29"/>
      <c r="N285" s="257"/>
      <c r="O285" s="145"/>
      <c r="P285" s="145"/>
      <c r="Q285" s="145"/>
    </row>
    <row r="286" spans="3:18" ht="5.25" customHeight="1" x14ac:dyDescent="0.2"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151"/>
      <c r="N286" s="257"/>
      <c r="O286" s="145"/>
      <c r="P286" s="145"/>
      <c r="Q286" s="145"/>
    </row>
    <row r="287" spans="3:18" s="145" customFormat="1" ht="47.25" customHeight="1" thickBot="1" x14ac:dyDescent="0.25">
      <c r="C287" s="258" t="s">
        <v>7</v>
      </c>
      <c r="D287" s="300"/>
      <c r="E287" s="301" t="s">
        <v>8</v>
      </c>
      <c r="F287" s="302">
        <v>137188</v>
      </c>
      <c r="G287" s="303">
        <v>4.5030862615598188E-3</v>
      </c>
      <c r="H287" s="304" t="s">
        <v>101</v>
      </c>
      <c r="I287" s="304"/>
      <c r="J287" s="304"/>
      <c r="K287" s="304"/>
      <c r="L287" s="305"/>
      <c r="M287" s="265" t="s">
        <v>78</v>
      </c>
      <c r="Q287" s="306"/>
    </row>
    <row r="288" spans="3:18" s="145" customFormat="1" ht="47.25" customHeight="1" thickTop="1" thickBot="1" x14ac:dyDescent="0.25">
      <c r="C288" s="258"/>
      <c r="D288" s="300"/>
      <c r="E288" s="307" t="s">
        <v>79</v>
      </c>
      <c r="F288" s="308">
        <v>84679</v>
      </c>
      <c r="G288" s="309">
        <v>1.3362344204526089E-3</v>
      </c>
      <c r="H288" s="310" t="s">
        <v>102</v>
      </c>
      <c r="I288" s="311"/>
      <c r="J288" s="311"/>
      <c r="K288" s="311"/>
      <c r="L288" s="312"/>
      <c r="M288" s="265"/>
      <c r="O288" s="313"/>
      <c r="Q288" s="306"/>
    </row>
    <row r="289" spans="3:20" s="145" customFormat="1" ht="47.25" customHeight="1" thickTop="1" thickBot="1" x14ac:dyDescent="0.25">
      <c r="C289" s="258"/>
      <c r="D289" s="300"/>
      <c r="E289" s="314" t="s">
        <v>80</v>
      </c>
      <c r="F289" s="315">
        <v>51046</v>
      </c>
      <c r="G289" s="309">
        <v>9.8919795829541801E-3</v>
      </c>
      <c r="H289" s="316" t="s">
        <v>103</v>
      </c>
      <c r="I289" s="311"/>
      <c r="J289" s="311"/>
      <c r="K289" s="311"/>
      <c r="L289" s="312"/>
      <c r="M289" s="265"/>
      <c r="O289" s="313"/>
      <c r="Q289" s="306"/>
    </row>
    <row r="290" spans="3:20" s="145" customFormat="1" ht="47.25" customHeight="1" thickTop="1" thickBot="1" x14ac:dyDescent="0.25">
      <c r="C290" s="258"/>
      <c r="D290" s="300"/>
      <c r="E290" s="307" t="s">
        <v>81</v>
      </c>
      <c r="F290" s="308">
        <v>557</v>
      </c>
      <c r="G290" s="309">
        <v>0</v>
      </c>
      <c r="H290" s="310" t="s">
        <v>104</v>
      </c>
      <c r="I290" s="311"/>
      <c r="J290" s="311"/>
      <c r="K290" s="311"/>
      <c r="L290" s="312"/>
      <c r="M290" s="265"/>
      <c r="O290" s="313"/>
      <c r="Q290" s="306"/>
    </row>
    <row r="291" spans="3:20" s="145" customFormat="1" ht="47.25" customHeight="1" thickTop="1" x14ac:dyDescent="0.2">
      <c r="C291" s="258"/>
      <c r="D291" s="300"/>
      <c r="E291" s="317" t="s">
        <v>82</v>
      </c>
      <c r="F291" s="318">
        <v>906</v>
      </c>
      <c r="G291" s="319">
        <v>2.2123893805310324E-3</v>
      </c>
      <c r="H291" s="320" t="s">
        <v>105</v>
      </c>
      <c r="I291" s="321"/>
      <c r="J291" s="321"/>
      <c r="K291" s="321"/>
      <c r="L291" s="322"/>
      <c r="M291" s="265"/>
      <c r="O291" s="313"/>
      <c r="Q291" s="306"/>
    </row>
    <row r="292" spans="3:20" ht="5.25" customHeight="1" x14ac:dyDescent="0.2">
      <c r="C292" s="96" t="s">
        <v>83</v>
      </c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323"/>
      <c r="P292" s="145"/>
      <c r="Q292" s="145"/>
      <c r="R292" s="145"/>
    </row>
    <row r="293" spans="3:20" s="1" customFormat="1" ht="18.75" customHeight="1" thickBot="1" x14ac:dyDescent="0.25"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323"/>
      <c r="P293" s="324"/>
      <c r="Q293" s="324"/>
      <c r="R293" s="324"/>
    </row>
    <row r="294" spans="3:20" ht="50.25" customHeight="1" thickBot="1" x14ac:dyDescent="0.25">
      <c r="C294" s="2"/>
      <c r="D294" s="2"/>
      <c r="E294" s="3" t="str">
        <f>E242</f>
        <v>INDICADORES TURÍSTICOS DE TENERIFE definitivo</v>
      </c>
      <c r="F294" s="3"/>
      <c r="G294" s="3"/>
      <c r="H294" s="3"/>
      <c r="I294" s="3"/>
      <c r="J294" s="3"/>
      <c r="K294" s="3"/>
      <c r="L294" s="2"/>
      <c r="M294" s="2"/>
      <c r="O294" s="145"/>
      <c r="P294" s="145"/>
      <c r="Q294" s="145"/>
      <c r="R294" s="145"/>
      <c r="S294" s="145"/>
      <c r="T294" s="145"/>
    </row>
    <row r="295" spans="3:20" ht="5.25" customHeight="1" thickBot="1" x14ac:dyDescent="0.25">
      <c r="C295" s="4"/>
      <c r="O295" s="145"/>
      <c r="P295" s="145"/>
      <c r="Q295" s="145"/>
      <c r="R295" s="145"/>
      <c r="S295" s="145"/>
      <c r="T295" s="145"/>
    </row>
    <row r="296" spans="3:20" ht="18" customHeight="1" thickBot="1" x14ac:dyDescent="0.25">
      <c r="C296" s="222" t="s">
        <v>84</v>
      </c>
      <c r="D296" s="223"/>
      <c r="E296" s="223"/>
      <c r="F296" s="223"/>
      <c r="G296" s="223"/>
      <c r="H296" s="223"/>
      <c r="I296" s="223"/>
      <c r="J296" s="223"/>
      <c r="K296" s="223"/>
      <c r="L296" s="223"/>
      <c r="M296" s="224"/>
      <c r="O296" s="145"/>
      <c r="P296" s="145"/>
      <c r="Q296" s="145"/>
      <c r="R296" s="145"/>
      <c r="S296" s="145"/>
      <c r="T296" s="145"/>
    </row>
    <row r="297" spans="3:20" ht="5.25" customHeight="1" x14ac:dyDescent="0.2"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151"/>
      <c r="N297" s="257"/>
      <c r="O297" s="145"/>
      <c r="P297" s="145"/>
      <c r="Q297" s="145"/>
      <c r="R297" s="145"/>
      <c r="S297" s="145"/>
      <c r="T297" s="145"/>
    </row>
    <row r="298" spans="3:20" ht="27.75" customHeight="1" x14ac:dyDescent="0.2">
      <c r="C298" s="325" t="s">
        <v>7</v>
      </c>
      <c r="D298" s="326"/>
      <c r="E298" s="327" t="s">
        <v>8</v>
      </c>
      <c r="F298" s="35">
        <v>159070</v>
      </c>
      <c r="G298" s="328">
        <v>4.7753199338025354E-3</v>
      </c>
      <c r="H298" s="329" t="s">
        <v>106</v>
      </c>
      <c r="I298" s="329"/>
      <c r="J298" s="329"/>
      <c r="K298" s="329"/>
      <c r="L298" s="330"/>
      <c r="M298" s="265" t="s">
        <v>9</v>
      </c>
      <c r="O298" s="145"/>
      <c r="P298" s="145"/>
      <c r="Q298" s="145"/>
      <c r="R298" s="145"/>
      <c r="S298" s="145"/>
      <c r="T298" s="145"/>
    </row>
    <row r="299" spans="3:20" ht="34.5" customHeight="1" x14ac:dyDescent="0.2">
      <c r="C299" s="331"/>
      <c r="D299" s="332"/>
      <c r="E299" s="333" t="s">
        <v>85</v>
      </c>
      <c r="F299" s="46">
        <v>92778</v>
      </c>
      <c r="G299" s="140">
        <v>2.5718608169440493E-3</v>
      </c>
      <c r="H299" s="334" t="str">
        <f>CONCATENATE("La oferta hotelera estimada por el STDE del Cabildo de Tenerife se sitúa en ",FIXED(F299,0)," plazas, un ",FIXED(F299/F298*100,1),"% del total de plazas. ",IF(G299&gt;0,"Aumentan un ","Disminuyen un"),FIXED(G299*100,1),"% respecto al mismo periodo del año anterior.")</f>
        <v>La oferta hotelera estimada por el STDE del Cabildo de Tenerife se sitúa en 92.778 plazas, un 58,3% del total de plazas. Aumentan un 0,3% respecto al mismo periodo del año anterior.</v>
      </c>
      <c r="I299" s="334"/>
      <c r="J299" s="334"/>
      <c r="K299" s="334"/>
      <c r="L299" s="335"/>
      <c r="M299" s="265"/>
      <c r="O299" s="145"/>
      <c r="P299" s="145"/>
      <c r="Q299" s="145"/>
      <c r="R299" s="145"/>
      <c r="S299" s="145"/>
      <c r="T299" s="145"/>
    </row>
    <row r="300" spans="3:20" ht="41.25" customHeight="1" thickBot="1" x14ac:dyDescent="0.25">
      <c r="C300" s="336"/>
      <c r="D300" s="337"/>
      <c r="E300" s="338" t="s">
        <v>86</v>
      </c>
      <c r="F300" s="339">
        <v>66292</v>
      </c>
      <c r="G300" s="340">
        <v>7.8754523063824244E-3</v>
      </c>
      <c r="H300" s="341" t="s">
        <v>107</v>
      </c>
      <c r="I300" s="341"/>
      <c r="J300" s="341"/>
      <c r="K300" s="341"/>
      <c r="L300" s="342"/>
      <c r="M300" s="265"/>
      <c r="Q300" s="343"/>
    </row>
    <row r="301" spans="3:20" ht="34.5" hidden="1" customHeight="1" x14ac:dyDescent="0.2">
      <c r="C301" s="344" t="s">
        <v>12</v>
      </c>
      <c r="D301" s="345"/>
      <c r="E301" s="346" t="s">
        <v>8</v>
      </c>
      <c r="F301" s="347">
        <v>2879</v>
      </c>
      <c r="G301" s="348">
        <v>8.9292470677260649E-2</v>
      </c>
      <c r="H301" s="349" t="str">
        <f>CONCATENATE("Las plazas estimadas por el STDE  del Cabildo de Tenerife en la zona de Santa Cruz, ascienden a ",FIXED(F302,0),", todas ellas pertenecientes a la tipología hotelera. Se registra un ",IF(G302&gt;0,"incremento ","descenso "),"con respecto al año anterior del ",FIXED(G302*100,1),"%.")</f>
        <v>Las plazas estimadas por el STDE  del Cabildo de Tenerife en la zona de Santa Cruz, ascienden a 2.537, todas ellas pertenecientes a la tipología hotelera. Se registra un descenso con respecto al año anterior del -1,6%.</v>
      </c>
      <c r="I301" s="349"/>
      <c r="J301" s="349"/>
      <c r="K301" s="349"/>
      <c r="L301" s="350"/>
      <c r="M301" s="265"/>
      <c r="Q301" s="343"/>
    </row>
    <row r="302" spans="3:20" ht="48.75" customHeight="1" thickTop="1" thickBot="1" x14ac:dyDescent="0.25">
      <c r="C302" s="351"/>
      <c r="D302" s="352"/>
      <c r="E302" s="353" t="s">
        <v>85</v>
      </c>
      <c r="F302" s="354">
        <v>2537</v>
      </c>
      <c r="G302" s="340">
        <v>-1.5521924718665092E-2</v>
      </c>
      <c r="H302" s="355"/>
      <c r="I302" s="355"/>
      <c r="J302" s="355"/>
      <c r="K302" s="355"/>
      <c r="L302" s="356"/>
      <c r="M302" s="265"/>
    </row>
    <row r="303" spans="3:20" ht="42" customHeight="1" thickTop="1" x14ac:dyDescent="0.2">
      <c r="C303" s="357" t="s">
        <v>13</v>
      </c>
      <c r="D303" s="358"/>
      <c r="E303" s="359" t="s">
        <v>8</v>
      </c>
      <c r="F303" s="360">
        <v>1082</v>
      </c>
      <c r="G303" s="348">
        <v>0.13061650992685481</v>
      </c>
      <c r="H303" s="361" t="s">
        <v>108</v>
      </c>
      <c r="I303" s="361"/>
      <c r="J303" s="361"/>
      <c r="K303" s="361"/>
      <c r="L303" s="362"/>
      <c r="M303" s="265"/>
    </row>
    <row r="304" spans="3:20" ht="34.5" customHeight="1" x14ac:dyDescent="0.2">
      <c r="C304" s="363"/>
      <c r="D304" s="364"/>
      <c r="E304" s="365" t="s">
        <v>85</v>
      </c>
      <c r="F304" s="79">
        <v>578</v>
      </c>
      <c r="G304" s="140">
        <v>-3.3444816053511683E-2</v>
      </c>
      <c r="H304" s="366" t="str">
        <f>CONCATENATE("Las plazas hoteleras estimadas se sitúan en ",FIXED(F304,0)," plazas, registrando un ",IF(G304&gt;0,"incremento del ","descenso del "),FIXED(G304*100,1),"%.")</f>
        <v>Las plazas hoteleras estimadas se sitúan en 578 plazas, registrando un descenso del -3,3%.</v>
      </c>
      <c r="I304" s="366"/>
      <c r="J304" s="366"/>
      <c r="K304" s="366"/>
      <c r="L304" s="367"/>
      <c r="M304" s="265"/>
    </row>
    <row r="305" spans="3:18" ht="34.5" customHeight="1" thickBot="1" x14ac:dyDescent="0.25">
      <c r="C305" s="368"/>
      <c r="D305" s="369"/>
      <c r="E305" s="370" t="s">
        <v>86</v>
      </c>
      <c r="F305" s="371">
        <v>504</v>
      </c>
      <c r="G305" s="340">
        <v>0.40389972144846786</v>
      </c>
      <c r="H305" s="372" t="s">
        <v>109</v>
      </c>
      <c r="I305" s="372"/>
      <c r="J305" s="372"/>
      <c r="K305" s="372"/>
      <c r="L305" s="373"/>
      <c r="M305" s="265"/>
    </row>
    <row r="306" spans="3:18" ht="39.75" customHeight="1" thickTop="1" x14ac:dyDescent="0.2">
      <c r="C306" s="374" t="s">
        <v>14</v>
      </c>
      <c r="D306" s="375"/>
      <c r="E306" s="346" t="s">
        <v>8</v>
      </c>
      <c r="F306" s="347">
        <v>27957</v>
      </c>
      <c r="G306" s="348">
        <v>4.0531487271103117E-2</v>
      </c>
      <c r="H306" s="349" t="s">
        <v>110</v>
      </c>
      <c r="I306" s="349"/>
      <c r="J306" s="349"/>
      <c r="K306" s="349"/>
      <c r="L306" s="350"/>
      <c r="M306" s="265"/>
    </row>
    <row r="307" spans="3:18" ht="34.5" customHeight="1" x14ac:dyDescent="0.2">
      <c r="C307" s="376"/>
      <c r="D307" s="377"/>
      <c r="E307" s="378" t="s">
        <v>85</v>
      </c>
      <c r="F307" s="66">
        <v>19202</v>
      </c>
      <c r="G307" s="140">
        <v>4.177517361111116E-2</v>
      </c>
      <c r="H307" s="379" t="str">
        <f>CONCATENATE("La oferta hotelera asciende a ",FIXED(F307,0),", cifra que se ",IF(G307&gt;0,"incrementa un ","reduce un "),FIXED(G307*100,1),"% respecto al año anterior.")</f>
        <v>La oferta hotelera asciende a 19.202, cifra que se incrementa un 4,2% respecto al año anterior.</v>
      </c>
      <c r="I307" s="379"/>
      <c r="J307" s="379"/>
      <c r="K307" s="379"/>
      <c r="L307" s="380"/>
      <c r="M307" s="265"/>
    </row>
    <row r="308" spans="3:18" ht="34.5" customHeight="1" thickBot="1" x14ac:dyDescent="0.25">
      <c r="C308" s="381"/>
      <c r="D308" s="382"/>
      <c r="E308" s="353" t="s">
        <v>86</v>
      </c>
      <c r="F308" s="354">
        <v>8755</v>
      </c>
      <c r="G308" s="340">
        <v>3.7814129919393036E-2</v>
      </c>
      <c r="H308" s="355" t="str">
        <f>CONCATENATE("Las plazas extrahoteras estimadas ascienden a ",FIXED(F308,0),", las cuales ",IF(G308&gt;0,"se incrementan un ","descienden un "),FIXED(G308*100,1),"%.")</f>
        <v>Las plazas extrahoteras estimadas ascienden a 8.755, las cuales se incrementan un 3,8%.</v>
      </c>
      <c r="I308" s="355"/>
      <c r="J308" s="355"/>
      <c r="K308" s="355"/>
      <c r="L308" s="356"/>
      <c r="M308" s="265"/>
    </row>
    <row r="309" spans="3:18" ht="34.5" customHeight="1" thickTop="1" x14ac:dyDescent="0.2">
      <c r="C309" s="383" t="s">
        <v>15</v>
      </c>
      <c r="D309" s="384"/>
      <c r="E309" s="385" t="s">
        <v>8</v>
      </c>
      <c r="F309" s="386">
        <v>127152</v>
      </c>
      <c r="G309" s="348">
        <v>-5.4284060510301213E-3</v>
      </c>
      <c r="H309" s="361" t="str">
        <f>CONCATENATE("Las plazas estimadas para la zona Sur por el STDE del Cabildo ascienden a ",FIXED(F309,0)," experimentando un ",IF(G309&gt;0,"incremento interanual del ","descenso interanual del "),FIXED(G309*100,1),"%.")</f>
        <v>Las plazas estimadas para la zona Sur por el STDE del Cabildo ascienden a 127.152 experimentando un descenso interanual del -0,5%.</v>
      </c>
      <c r="I309" s="361"/>
      <c r="J309" s="361"/>
      <c r="K309" s="361"/>
      <c r="L309" s="362"/>
      <c r="M309" s="265"/>
    </row>
    <row r="310" spans="3:18" ht="34.5" customHeight="1" x14ac:dyDescent="0.2">
      <c r="C310" s="387"/>
      <c r="D310" s="388"/>
      <c r="E310" s="389" t="s">
        <v>85</v>
      </c>
      <c r="F310" s="91">
        <v>70461</v>
      </c>
      <c r="G310" s="140">
        <v>-6.6541666079258377E-3</v>
      </c>
      <c r="H310" s="366" t="str">
        <f>CONCATENATE("Las plazas hoteleras, con un oferta de ",FIXED(F310,0)," plazas, se ",IF(G310&gt;0,"incrementan un ","reducen un "),FIXED(G310*100,1),"% respecto al mismo período del año anterior.")</f>
        <v>Las plazas hoteleras, con un oferta de 70.461 plazas, se reducen un -0,7% respecto al mismo período del año anterior.</v>
      </c>
      <c r="I310" s="366"/>
      <c r="J310" s="366"/>
      <c r="K310" s="366"/>
      <c r="L310" s="367"/>
      <c r="M310" s="265"/>
    </row>
    <row r="311" spans="3:18" ht="34.5" customHeight="1" x14ac:dyDescent="0.2">
      <c r="C311" s="387"/>
      <c r="D311" s="388"/>
      <c r="E311" s="390" t="s">
        <v>86</v>
      </c>
      <c r="F311" s="391">
        <v>56691</v>
      </c>
      <c r="G311" s="392">
        <v>-3.9006905276474102E-3</v>
      </c>
      <c r="H311" s="393" t="s">
        <v>111</v>
      </c>
      <c r="I311" s="393"/>
      <c r="J311" s="393"/>
      <c r="K311" s="393"/>
      <c r="L311" s="394"/>
      <c r="M311" s="265"/>
    </row>
    <row r="312" spans="3:18" ht="5.25" customHeight="1" thickBot="1" x14ac:dyDescent="0.25">
      <c r="C312" s="298"/>
      <c r="D312" s="298"/>
      <c r="E312" s="298"/>
      <c r="F312" s="298"/>
      <c r="G312" s="298"/>
      <c r="H312" s="298"/>
      <c r="I312" s="298"/>
      <c r="J312" s="298"/>
      <c r="K312" s="298"/>
      <c r="L312" s="298"/>
      <c r="M312" s="299"/>
      <c r="N312" s="257"/>
      <c r="O312" s="145"/>
      <c r="R312" s="145"/>
    </row>
    <row r="313" spans="3:18" ht="19.5" customHeight="1" thickBot="1" x14ac:dyDescent="0.25">
      <c r="C313" s="27" t="s">
        <v>87</v>
      </c>
      <c r="D313" s="28"/>
      <c r="E313" s="28"/>
      <c r="F313" s="28"/>
      <c r="G313" s="28"/>
      <c r="H313" s="28"/>
      <c r="I313" s="28"/>
      <c r="J313" s="28"/>
      <c r="K313" s="28"/>
      <c r="L313" s="28"/>
      <c r="M313" s="29"/>
      <c r="N313" s="257"/>
      <c r="O313" s="145"/>
      <c r="P313" s="145"/>
      <c r="Q313" s="145"/>
    </row>
    <row r="314" spans="3:18" ht="5.25" customHeight="1" x14ac:dyDescent="0.2"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151"/>
      <c r="O314" s="145"/>
      <c r="P314" s="145"/>
      <c r="Q314" s="145"/>
    </row>
    <row r="315" spans="3:18" ht="95.25" customHeight="1" thickBot="1" x14ac:dyDescent="0.25">
      <c r="C315" s="395" t="s">
        <v>88</v>
      </c>
      <c r="D315" s="396"/>
      <c r="E315" s="397" t="s">
        <v>89</v>
      </c>
      <c r="F315" s="398">
        <v>179541</v>
      </c>
      <c r="G315" s="303">
        <v>-6.9451283034710043E-2</v>
      </c>
      <c r="H315" s="399" t="s">
        <v>112</v>
      </c>
      <c r="I315" s="399"/>
      <c r="J315" s="399"/>
      <c r="K315" s="399"/>
      <c r="L315" s="400"/>
      <c r="M315" s="265" t="s">
        <v>114</v>
      </c>
    </row>
    <row r="316" spans="3:18" ht="45.75" hidden="1" customHeight="1" x14ac:dyDescent="0.2">
      <c r="C316" s="395"/>
      <c r="D316" s="396"/>
      <c r="E316" s="401" t="s">
        <v>90</v>
      </c>
      <c r="F316" s="318">
        <v>0</v>
      </c>
      <c r="G316" s="319">
        <v>-1</v>
      </c>
      <c r="H316" s="402" t="s">
        <v>113</v>
      </c>
      <c r="I316" s="402"/>
      <c r="J316" s="402"/>
      <c r="K316" s="402"/>
      <c r="L316" s="403"/>
      <c r="M316" s="265"/>
    </row>
    <row r="317" spans="3:18" ht="13.5" thickTop="1" x14ac:dyDescent="0.2">
      <c r="C317" s="404"/>
      <c r="D317" s="405"/>
      <c r="E317" s="405"/>
      <c r="F317" s="405"/>
      <c r="G317" s="405"/>
      <c r="H317" s="405"/>
      <c r="I317" s="405"/>
      <c r="J317" s="405"/>
      <c r="K317" s="405"/>
      <c r="L317" s="405"/>
      <c r="M317" s="405"/>
    </row>
    <row r="318" spans="3:18" ht="29.25" customHeight="1" x14ac:dyDescent="0.2"/>
    <row r="319" spans="3:18" ht="18" customHeight="1" x14ac:dyDescent="0.2">
      <c r="C319" s="406" t="s">
        <v>91</v>
      </c>
      <c r="D319" s="406"/>
      <c r="E319" s="406"/>
      <c r="F319" s="406"/>
      <c r="G319" s="406"/>
      <c r="H319" s="406"/>
      <c r="I319" s="406"/>
      <c r="J319" s="406"/>
      <c r="K319" s="406"/>
      <c r="L319" s="406"/>
      <c r="M319" s="406"/>
    </row>
    <row r="321" spans="5:6" ht="6.75" customHeight="1" x14ac:dyDescent="0.2"/>
    <row r="323" spans="5:6" ht="8.25" customHeight="1" x14ac:dyDescent="0.2"/>
    <row r="326" spans="5:6" x14ac:dyDescent="0.2">
      <c r="E326" s="407"/>
      <c r="F326" s="407"/>
    </row>
    <row r="327" spans="5:6" x14ac:dyDescent="0.2">
      <c r="E327" s="407"/>
      <c r="F327" s="407"/>
    </row>
    <row r="330" spans="5:6" ht="21.75" customHeight="1" x14ac:dyDescent="0.2"/>
    <row r="332" spans="5:6" ht="6" customHeight="1" x14ac:dyDescent="0.2"/>
  </sheetData>
  <mergeCells count="162">
    <mergeCell ref="C319:M319"/>
    <mergeCell ref="C309:D311"/>
    <mergeCell ref="H309:L309"/>
    <mergeCell ref="H310:L310"/>
    <mergeCell ref="H311:L311"/>
    <mergeCell ref="C313:M313"/>
    <mergeCell ref="C315:D316"/>
    <mergeCell ref="H315:L315"/>
    <mergeCell ref="M315:M316"/>
    <mergeCell ref="H316:L316"/>
    <mergeCell ref="H303:L303"/>
    <mergeCell ref="H304:L304"/>
    <mergeCell ref="H305:L305"/>
    <mergeCell ref="C306:D308"/>
    <mergeCell ref="H306:L306"/>
    <mergeCell ref="H307:L307"/>
    <mergeCell ref="H308:L308"/>
    <mergeCell ref="E294:K294"/>
    <mergeCell ref="C296:M296"/>
    <mergeCell ref="C298:D300"/>
    <mergeCell ref="H298:L298"/>
    <mergeCell ref="M298:M311"/>
    <mergeCell ref="H299:L299"/>
    <mergeCell ref="H300:L300"/>
    <mergeCell ref="C301:D302"/>
    <mergeCell ref="H301:L302"/>
    <mergeCell ref="C303:D305"/>
    <mergeCell ref="H283:L283"/>
    <mergeCell ref="C285:M285"/>
    <mergeCell ref="C287:D291"/>
    <mergeCell ref="H287:L287"/>
    <mergeCell ref="M287:M291"/>
    <mergeCell ref="H288:L288"/>
    <mergeCell ref="H289:L289"/>
    <mergeCell ref="H290:L290"/>
    <mergeCell ref="H291:L291"/>
    <mergeCell ref="C276:M276"/>
    <mergeCell ref="C278:C283"/>
    <mergeCell ref="D278:D280"/>
    <mergeCell ref="H278:L278"/>
    <mergeCell ref="M278:M283"/>
    <mergeCell ref="H279:L279"/>
    <mergeCell ref="H280:L280"/>
    <mergeCell ref="D281:D283"/>
    <mergeCell ref="H281:L281"/>
    <mergeCell ref="H282:L282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</mergeCells>
  <conditionalFormatting sqref="D190:D212 F190:F212 H190:H212 J190:J212 L190:L212 N190:N212 D218:D240 F218:F240 H218:H240 J218:J240 L218:L240 N218:N240 P190:P212 P218:P240 G9:G10 G15:G23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9:G10 G15:G23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10 G15:G23">
    <cfRule type="cellIs" dxfId="251" priority="250" stopIfTrue="1" operator="greaterThan">
      <formula>0</formula>
    </cfRule>
    <cfRule type="cellIs" dxfId="250" priority="251" stopIfTrue="1" operator="lessThan">
      <formula>0</formula>
    </cfRule>
    <cfRule type="cellIs" dxfId="249" priority="252" stopIfTrue="1" operator="equal">
      <formula>0</formula>
    </cfRule>
  </conditionalFormatting>
  <conditionalFormatting sqref="G10 G15:G23">
    <cfRule type="cellIs" dxfId="248" priority="247" operator="equal">
      <formula>0</formula>
    </cfRule>
    <cfRule type="cellIs" dxfId="247" priority="248" operator="lessThan">
      <formula>0</formula>
    </cfRule>
    <cfRule type="cellIs" dxfId="246" priority="249" operator="greaterThan">
      <formula>0</formula>
    </cfRule>
  </conditionalFormatting>
  <conditionalFormatting sqref="G315:G316 G298:G311 G287:G291 G278:G283 L110:L114 G110:G114 L102:L106 G102:G106 L94:L98 G94:G98 L87:L90 G86:G90 L9:L11 L15:L23">
    <cfRule type="cellIs" dxfId="245" priority="241" operator="equal">
      <formula>0</formula>
    </cfRule>
    <cfRule type="cellIs" dxfId="244" priority="242" operator="lessThan">
      <formula>0</formula>
    </cfRule>
    <cfRule type="cellIs" dxfId="243" priority="243" operator="greaterThan">
      <formula>0</formula>
    </cfRule>
  </conditionalFormatting>
  <conditionalFormatting sqref="G315:G316 G298:G311 G287:G291 G278:G283 L110:L114 G110:G114 L102:L106 G102:G106 L94:L98 G94:G98 L87:L90 G86:G90 L9:L11 L15:L23">
    <cfRule type="cellIs" dxfId="242" priority="244" stopIfTrue="1" operator="greaterThan">
      <formula>0</formula>
    </cfRule>
    <cfRule type="cellIs" dxfId="241" priority="245" stopIfTrue="1" operator="lessThan">
      <formula>0</formula>
    </cfRule>
    <cfRule type="cellIs" dxfId="240" priority="246" stopIfTrue="1" operator="equal">
      <formula>0</formula>
    </cfRule>
  </conditionalFormatting>
  <conditionalFormatting sqref="G27:G28 G33:G41">
    <cfRule type="cellIs" dxfId="239" priority="190" stopIfTrue="1" operator="greaterThan">
      <formula>0</formula>
    </cfRule>
    <cfRule type="cellIs" dxfId="238" priority="191" stopIfTrue="1" operator="lessThan">
      <formula>0</formula>
    </cfRule>
    <cfRule type="cellIs" dxfId="237" priority="192" stopIfTrue="1" operator="equal">
      <formula>0</formula>
    </cfRule>
  </conditionalFormatting>
  <conditionalFormatting sqref="G27:G28 G33:G41">
    <cfRule type="cellIs" dxfId="236" priority="187" operator="equal">
      <formula>0</formula>
    </cfRule>
    <cfRule type="cellIs" dxfId="235" priority="188" operator="lessThan">
      <formula>0</formula>
    </cfRule>
    <cfRule type="cellIs" dxfId="234" priority="189" operator="greaterThan">
      <formula>0</formula>
    </cfRule>
  </conditionalFormatting>
  <conditionalFormatting sqref="G45:G47 G51:G59">
    <cfRule type="cellIs" dxfId="233" priority="232" stopIfTrue="1" operator="greaterThan">
      <formula>0</formula>
    </cfRule>
    <cfRule type="cellIs" dxfId="232" priority="233" stopIfTrue="1" operator="lessThan">
      <formula>0</formula>
    </cfRule>
    <cfRule type="cellIs" dxfId="231" priority="234" stopIfTrue="1" operator="equal">
      <formula>0</formula>
    </cfRule>
  </conditionalFormatting>
  <conditionalFormatting sqref="G45:G47 G51:G59">
    <cfRule type="cellIs" dxfId="230" priority="229" operator="equal">
      <formula>0</formula>
    </cfRule>
    <cfRule type="cellIs" dxfId="229" priority="230" operator="lessThan">
      <formula>0</formula>
    </cfRule>
    <cfRule type="cellIs" dxfId="228" priority="231" operator="greaterThan">
      <formula>0</formula>
    </cfRule>
  </conditionalFormatting>
  <conditionalFormatting sqref="G46:G47 G51:G59">
    <cfRule type="cellIs" dxfId="227" priority="226" stopIfTrue="1" operator="greaterThan">
      <formula>0</formula>
    </cfRule>
    <cfRule type="cellIs" dxfId="226" priority="227" stopIfTrue="1" operator="lessThan">
      <formula>0</formula>
    </cfRule>
    <cfRule type="cellIs" dxfId="225" priority="228" stopIfTrue="1" operator="equal">
      <formula>0</formula>
    </cfRule>
  </conditionalFormatting>
  <conditionalFormatting sqref="G46:G47 G51:G59">
    <cfRule type="cellIs" dxfId="224" priority="223" operator="equal">
      <formula>0</formula>
    </cfRule>
    <cfRule type="cellIs" dxfId="223" priority="224" operator="lessThan">
      <formula>0</formula>
    </cfRule>
    <cfRule type="cellIs" dxfId="222" priority="225" operator="greaterThan">
      <formula>0</formula>
    </cfRule>
  </conditionalFormatting>
  <conditionalFormatting sqref="L27:L29 L33:L41">
    <cfRule type="cellIs" dxfId="221" priority="235" operator="equal">
      <formula>0</formula>
    </cfRule>
    <cfRule type="cellIs" dxfId="220" priority="236" operator="lessThan">
      <formula>0</formula>
    </cfRule>
    <cfRule type="cellIs" dxfId="219" priority="237" operator="greaterThan">
      <formula>0</formula>
    </cfRule>
  </conditionalFormatting>
  <conditionalFormatting sqref="L27:L29 L33:L41">
    <cfRule type="cellIs" dxfId="218" priority="238" stopIfTrue="1" operator="greaterThan">
      <formula>0</formula>
    </cfRule>
    <cfRule type="cellIs" dxfId="217" priority="239" stopIfTrue="1" operator="lessThan">
      <formula>0</formula>
    </cfRule>
    <cfRule type="cellIs" dxfId="216" priority="240" stopIfTrue="1" operator="equal">
      <formula>0</formula>
    </cfRule>
  </conditionalFormatting>
  <conditionalFormatting sqref="L45:L47 L51:L59">
    <cfRule type="cellIs" dxfId="215" priority="217" operator="equal">
      <formula>0</formula>
    </cfRule>
    <cfRule type="cellIs" dxfId="214" priority="218" operator="lessThan">
      <formula>0</formula>
    </cfRule>
    <cfRule type="cellIs" dxfId="213" priority="219" operator="greaterThan">
      <formula>0</formula>
    </cfRule>
  </conditionalFormatting>
  <conditionalFormatting sqref="L45:L47 L51:L59">
    <cfRule type="cellIs" dxfId="212" priority="220" stopIfTrue="1" operator="greaterThan">
      <formula>0</formula>
    </cfRule>
    <cfRule type="cellIs" dxfId="211" priority="221" stopIfTrue="1" operator="lessThan">
      <formula>0</formula>
    </cfRule>
    <cfRule type="cellIs" dxfId="210" priority="222" stopIfTrue="1" operator="equal">
      <formula>0</formula>
    </cfRule>
  </conditionalFormatting>
  <conditionalFormatting sqref="G68:G70 G74:G82">
    <cfRule type="cellIs" dxfId="209" priority="214" stopIfTrue="1" operator="greaterThan">
      <formula>0</formula>
    </cfRule>
    <cfRule type="cellIs" dxfId="208" priority="215" stopIfTrue="1" operator="lessThan">
      <formula>0</formula>
    </cfRule>
    <cfRule type="cellIs" dxfId="207" priority="216" stopIfTrue="1" operator="equal">
      <formula>0</formula>
    </cfRule>
  </conditionalFormatting>
  <conditionalFormatting sqref="G68:G70 G74:G82">
    <cfRule type="cellIs" dxfId="206" priority="211" operator="equal">
      <formula>0</formula>
    </cfRule>
    <cfRule type="cellIs" dxfId="205" priority="212" operator="lessThan">
      <formula>0</formula>
    </cfRule>
    <cfRule type="cellIs" dxfId="204" priority="213" operator="greaterThan">
      <formula>0</formula>
    </cfRule>
  </conditionalFormatting>
  <conditionalFormatting sqref="G69:G70 G74:G82">
    <cfRule type="cellIs" dxfId="203" priority="208" stopIfTrue="1" operator="greaterThan">
      <formula>0</formula>
    </cfRule>
    <cfRule type="cellIs" dxfId="202" priority="209" stopIfTrue="1" operator="lessThan">
      <formula>0</formula>
    </cfRule>
    <cfRule type="cellIs" dxfId="201" priority="210" stopIfTrue="1" operator="equal">
      <formula>0</formula>
    </cfRule>
  </conditionalFormatting>
  <conditionalFormatting sqref="G69:G70 G74:G82">
    <cfRule type="cellIs" dxfId="200" priority="205" operator="equal">
      <formula>0</formula>
    </cfRule>
    <cfRule type="cellIs" dxfId="199" priority="206" operator="lessThan">
      <formula>0</formula>
    </cfRule>
    <cfRule type="cellIs" dxfId="198" priority="207" operator="greaterThan">
      <formula>0</formula>
    </cfRule>
  </conditionalFormatting>
  <conditionalFormatting sqref="L68:L70 L74:L82">
    <cfRule type="cellIs" dxfId="197" priority="199" operator="equal">
      <formula>0</formula>
    </cfRule>
    <cfRule type="cellIs" dxfId="196" priority="200" operator="lessThan">
      <formula>0</formula>
    </cfRule>
    <cfRule type="cellIs" dxfId="195" priority="201" operator="greaterThan">
      <formula>0</formula>
    </cfRule>
  </conditionalFormatting>
  <conditionalFormatting sqref="L68:L70 L74:L82">
    <cfRule type="cellIs" dxfId="194" priority="202" stopIfTrue="1" operator="greaterThan">
      <formula>0</formula>
    </cfRule>
    <cfRule type="cellIs" dxfId="193" priority="203" stopIfTrue="1" operator="lessThan">
      <formula>0</formula>
    </cfRule>
    <cfRule type="cellIs" dxfId="192" priority="204" stopIfTrue="1" operator="equal">
      <formula>0</formula>
    </cfRule>
  </conditionalFormatting>
  <conditionalFormatting sqref="G11">
    <cfRule type="cellIs" dxfId="191" priority="196" stopIfTrue="1" operator="greaterThan">
      <formula>0</formula>
    </cfRule>
    <cfRule type="cellIs" dxfId="190" priority="197" stopIfTrue="1" operator="lessThan">
      <formula>0</formula>
    </cfRule>
    <cfRule type="cellIs" dxfId="189" priority="198" stopIfTrue="1" operator="equal">
      <formula>0</formula>
    </cfRule>
  </conditionalFormatting>
  <conditionalFormatting sqref="G11">
    <cfRule type="cellIs" dxfId="188" priority="193" operator="equal">
      <formula>0</formula>
    </cfRule>
    <cfRule type="cellIs" dxfId="187" priority="194" operator="lessThan">
      <formula>0</formula>
    </cfRule>
    <cfRule type="cellIs" dxfId="186" priority="195" operator="greaterThan">
      <formula>0</formula>
    </cfRule>
  </conditionalFormatting>
  <conditionalFormatting sqref="G28 G33:G41">
    <cfRule type="cellIs" dxfId="185" priority="184" stopIfTrue="1" operator="greaterThan">
      <formula>0</formula>
    </cfRule>
    <cfRule type="cellIs" dxfId="184" priority="185" stopIfTrue="1" operator="lessThan">
      <formula>0</formula>
    </cfRule>
    <cfRule type="cellIs" dxfId="183" priority="186" stopIfTrue="1" operator="equal">
      <formula>0</formula>
    </cfRule>
  </conditionalFormatting>
  <conditionalFormatting sqref="G28 G33:G41">
    <cfRule type="cellIs" dxfId="182" priority="181" operator="equal">
      <formula>0</formula>
    </cfRule>
    <cfRule type="cellIs" dxfId="181" priority="182" operator="lessThan">
      <formula>0</formula>
    </cfRule>
    <cfRule type="cellIs" dxfId="180" priority="183" operator="greaterThan">
      <formula>0</formula>
    </cfRule>
  </conditionalFormatting>
  <conditionalFormatting sqref="G29">
    <cfRule type="cellIs" dxfId="179" priority="178" stopIfTrue="1" operator="greaterThan">
      <formula>0</formula>
    </cfRule>
    <cfRule type="cellIs" dxfId="178" priority="179" stopIfTrue="1" operator="lessThan">
      <formula>0</formula>
    </cfRule>
    <cfRule type="cellIs" dxfId="177" priority="180" stopIfTrue="1" operator="equal">
      <formula>0</formula>
    </cfRule>
  </conditionalFormatting>
  <conditionalFormatting sqref="G29">
    <cfRule type="cellIs" dxfId="176" priority="175" operator="equal">
      <formula>0</formula>
    </cfRule>
    <cfRule type="cellIs" dxfId="175" priority="176" operator="lessThan">
      <formula>0</formula>
    </cfRule>
    <cfRule type="cellIs" dxfId="174" priority="177" operator="greaterThan">
      <formula>0</formula>
    </cfRule>
  </conditionalFormatting>
  <conditionalFormatting sqref="E124:E149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E124:E149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G124:G149 I124:I149 K124:K149 M124:M149">
    <cfRule type="cellIs" dxfId="167" priority="163" operator="equal">
      <formula>0</formula>
    </cfRule>
    <cfRule type="cellIs" dxfId="166" priority="164" operator="lessThan">
      <formula>0</formula>
    </cfRule>
    <cfRule type="cellIs" dxfId="165" priority="165" operator="greaterThan">
      <formula>0</formula>
    </cfRule>
  </conditionalFormatting>
  <conditionalFormatting sqref="G124:G149 I124:I149 K124:K149 M124:M149">
    <cfRule type="cellIs" dxfId="164" priority="166" stopIfTrue="1" operator="greaterThan">
      <formula>0</formula>
    </cfRule>
    <cfRule type="cellIs" dxfId="163" priority="167" stopIfTrue="1" operator="lessThan">
      <formula>0</formula>
    </cfRule>
    <cfRule type="cellIs" dxfId="162" priority="168" stopIfTrue="1" operator="equal">
      <formula>0</formula>
    </cfRule>
  </conditionalFormatting>
  <conditionalFormatting sqref="E156:E181">
    <cfRule type="cellIs" dxfId="161" priority="157" operator="equal">
      <formula>0</formula>
    </cfRule>
    <cfRule type="cellIs" dxfId="160" priority="158" operator="lessThan">
      <formula>0</formula>
    </cfRule>
    <cfRule type="cellIs" dxfId="159" priority="159" operator="greaterThan">
      <formula>0</formula>
    </cfRule>
  </conditionalFormatting>
  <conditionalFormatting sqref="E156:E181">
    <cfRule type="cellIs" dxfId="158" priority="160" stopIfTrue="1" operator="greaterThan">
      <formula>0</formula>
    </cfRule>
    <cfRule type="cellIs" dxfId="157" priority="161" stopIfTrue="1" operator="lessThan">
      <formula>0</formula>
    </cfRule>
    <cfRule type="cellIs" dxfId="156" priority="162" stopIfTrue="1" operator="equal">
      <formula>0</formula>
    </cfRule>
  </conditionalFormatting>
  <conditionalFormatting sqref="G156:G181 I156:I181 K156:K181 M156:M181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G156:G181 I156:I181 K156:K181 M156:M181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L86">
    <cfRule type="cellIs" dxfId="149" priority="145" operator="equal">
      <formula>0</formula>
    </cfRule>
    <cfRule type="cellIs" dxfId="148" priority="146" operator="lessThan">
      <formula>0</formula>
    </cfRule>
    <cfRule type="cellIs" dxfId="147" priority="147" operator="greaterThan">
      <formula>0</formula>
    </cfRule>
  </conditionalFormatting>
  <conditionalFormatting sqref="L86">
    <cfRule type="cellIs" dxfId="146" priority="148" stopIfTrue="1" operator="greaterThan">
      <formula>0</formula>
    </cfRule>
    <cfRule type="cellIs" dxfId="145" priority="149" stopIfTrue="1" operator="lessThan">
      <formula>0</formula>
    </cfRule>
    <cfRule type="cellIs" dxfId="144" priority="150" stopIfTrue="1" operator="equal">
      <formula>0</formula>
    </cfRule>
  </conditionalFormatting>
  <conditionalFormatting sqref="G12:G13">
    <cfRule type="cellIs" dxfId="143" priority="142" stopIfTrue="1" operator="greaterThan">
      <formula>0</formula>
    </cfRule>
    <cfRule type="cellIs" dxfId="142" priority="143" stopIfTrue="1" operator="lessThan">
      <formula>0</formula>
    </cfRule>
    <cfRule type="cellIs" dxfId="141" priority="144" stopIfTrue="1" operator="equal">
      <formula>0</formula>
    </cfRule>
  </conditionalFormatting>
  <conditionalFormatting sqref="G12:G13">
    <cfRule type="cellIs" dxfId="140" priority="139" operator="equal">
      <formula>0</formula>
    </cfRule>
    <cfRule type="cellIs" dxfId="139" priority="140" operator="lessThan">
      <formula>0</formula>
    </cfRule>
    <cfRule type="cellIs" dxfId="138" priority="141" operator="greaterThan">
      <formula>0</formula>
    </cfRule>
  </conditionalFormatting>
  <conditionalFormatting sqref="G12:G13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12:G13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L12:L13">
    <cfRule type="cellIs" dxfId="131" priority="127" operator="equal">
      <formula>0</formula>
    </cfRule>
    <cfRule type="cellIs" dxfId="130" priority="128" operator="lessThan">
      <formula>0</formula>
    </cfRule>
    <cfRule type="cellIs" dxfId="129" priority="129" operator="greaterThan">
      <formula>0</formula>
    </cfRule>
  </conditionalFormatting>
  <conditionalFormatting sqref="L12:L13">
    <cfRule type="cellIs" dxfId="128" priority="130" stopIfTrue="1" operator="greaterThan">
      <formula>0</formula>
    </cfRule>
    <cfRule type="cellIs" dxfId="127" priority="131" stopIfTrue="1" operator="lessThan">
      <formula>0</formula>
    </cfRule>
    <cfRule type="cellIs" dxfId="126" priority="132" stopIfTrue="1" operator="equal">
      <formula>0</formula>
    </cfRule>
  </conditionalFormatting>
  <conditionalFormatting sqref="G30:G31">
    <cfRule type="cellIs" dxfId="125" priority="118" stopIfTrue="1" operator="greaterThan">
      <formula>0</formula>
    </cfRule>
    <cfRule type="cellIs" dxfId="124" priority="119" stopIfTrue="1" operator="lessThan">
      <formula>0</formula>
    </cfRule>
    <cfRule type="cellIs" dxfId="123" priority="120" stopIfTrue="1" operator="equal">
      <formula>0</formula>
    </cfRule>
  </conditionalFormatting>
  <conditionalFormatting sqref="G30:G31">
    <cfRule type="cellIs" dxfId="122" priority="115" operator="equal">
      <formula>0</formula>
    </cfRule>
    <cfRule type="cellIs" dxfId="121" priority="116" operator="lessThan">
      <formula>0</formula>
    </cfRule>
    <cfRule type="cellIs" dxfId="120" priority="117" operator="greaterThan">
      <formula>0</formula>
    </cfRule>
  </conditionalFormatting>
  <conditionalFormatting sqref="L30:L31">
    <cfRule type="cellIs" dxfId="119" priority="121" operator="equal">
      <formula>0</formula>
    </cfRule>
    <cfRule type="cellIs" dxfId="118" priority="122" operator="lessThan">
      <formula>0</formula>
    </cfRule>
    <cfRule type="cellIs" dxfId="117" priority="123" operator="greaterThan">
      <formula>0</formula>
    </cfRule>
  </conditionalFormatting>
  <conditionalFormatting sqref="L30:L31">
    <cfRule type="cellIs" dxfId="116" priority="124" stopIfTrue="1" operator="greaterThan">
      <formula>0</formula>
    </cfRule>
    <cfRule type="cellIs" dxfId="115" priority="125" stopIfTrue="1" operator="lessThan">
      <formula>0</formula>
    </cfRule>
    <cfRule type="cellIs" dxfId="114" priority="126" stopIfTrue="1" operator="equal">
      <formula>0</formula>
    </cfRule>
  </conditionalFormatting>
  <conditionalFormatting sqref="G30:G31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30:G31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48:G49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48:G49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G48:G49">
    <cfRule type="cellIs" dxfId="101" priority="100" stopIfTrue="1" operator="greaterThan">
      <formula>0</formula>
    </cfRule>
    <cfRule type="cellIs" dxfId="100" priority="101" stopIfTrue="1" operator="lessThan">
      <formula>0</formula>
    </cfRule>
    <cfRule type="cellIs" dxfId="99" priority="102" stopIfTrue="1" operator="equal">
      <formula>0</formula>
    </cfRule>
  </conditionalFormatting>
  <conditionalFormatting sqref="G48:G49">
    <cfRule type="cellIs" dxfId="98" priority="97" operator="equal">
      <formula>0</formula>
    </cfRule>
    <cfRule type="cellIs" dxfId="97" priority="98" operator="lessThan">
      <formula>0</formula>
    </cfRule>
    <cfRule type="cellIs" dxfId="96" priority="99" operator="greaterThan">
      <formula>0</formula>
    </cfRule>
  </conditionalFormatting>
  <conditionalFormatting sqref="L48:L49">
    <cfRule type="cellIs" dxfId="95" priority="91" operator="equal">
      <formula>0</formula>
    </cfRule>
    <cfRule type="cellIs" dxfId="94" priority="92" operator="lessThan">
      <formula>0</formula>
    </cfRule>
    <cfRule type="cellIs" dxfId="93" priority="93" operator="greaterThan">
      <formula>0</formula>
    </cfRule>
  </conditionalFormatting>
  <conditionalFormatting sqref="L48:L49">
    <cfRule type="cellIs" dxfId="92" priority="94" stopIfTrue="1" operator="greaterThan">
      <formula>0</formula>
    </cfRule>
    <cfRule type="cellIs" dxfId="91" priority="95" stopIfTrue="1" operator="lessThan">
      <formula>0</formula>
    </cfRule>
    <cfRule type="cellIs" dxfId="90" priority="96" stopIfTrue="1" operator="equal">
      <formula>0</formula>
    </cfRule>
  </conditionalFormatting>
  <conditionalFormatting sqref="G71:G72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71:G72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G71:G72">
    <cfRule type="cellIs" dxfId="83" priority="82" stopIfTrue="1" operator="greaterThan">
      <formula>0</formula>
    </cfRule>
    <cfRule type="cellIs" dxfId="82" priority="83" stopIfTrue="1" operator="lessThan">
      <formula>0</formula>
    </cfRule>
    <cfRule type="cellIs" dxfId="81" priority="84" stopIfTrue="1" operator="equal">
      <formula>0</formula>
    </cfRule>
  </conditionalFormatting>
  <conditionalFormatting sqref="G71:G72">
    <cfRule type="cellIs" dxfId="80" priority="79" operator="equal">
      <formula>0</formula>
    </cfRule>
    <cfRule type="cellIs" dxfId="79" priority="80" operator="lessThan">
      <formula>0</formula>
    </cfRule>
    <cfRule type="cellIs" dxfId="78" priority="81" operator="greaterThan">
      <formula>0</formula>
    </cfRule>
  </conditionalFormatting>
  <conditionalFormatting sqref="L71:L72">
    <cfRule type="cellIs" dxfId="77" priority="73" operator="equal">
      <formula>0</formula>
    </cfRule>
    <cfRule type="cellIs" dxfId="76" priority="74" operator="lessThan">
      <formula>0</formula>
    </cfRule>
    <cfRule type="cellIs" dxfId="75" priority="75" operator="greaterThan">
      <formula>0</formula>
    </cfRule>
  </conditionalFormatting>
  <conditionalFormatting sqref="L71:L72">
    <cfRule type="cellIs" dxfId="74" priority="76" stopIfTrue="1" operator="greaterThan">
      <formula>0</formula>
    </cfRule>
    <cfRule type="cellIs" dxfId="73" priority="77" stopIfTrue="1" operator="lessThan">
      <formula>0</formula>
    </cfRule>
    <cfRule type="cellIs" dxfId="72" priority="78" stopIfTrue="1" operator="equal">
      <formula>0</formula>
    </cfRule>
  </conditionalFormatting>
  <conditionalFormatting sqref="G14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14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G14">
    <cfRule type="cellIs" dxfId="65" priority="64" stopIfTrue="1" operator="greaterThan">
      <formula>0</formula>
    </cfRule>
    <cfRule type="cellIs" dxfId="64" priority="65" stopIfTrue="1" operator="lessThan">
      <formula>0</formula>
    </cfRule>
    <cfRule type="cellIs" dxfId="63" priority="66" stopIfTrue="1" operator="equal">
      <formula>0</formula>
    </cfRule>
  </conditionalFormatting>
  <conditionalFormatting sqref="G14">
    <cfRule type="cellIs" dxfId="62" priority="61" operator="equal">
      <formula>0</formula>
    </cfRule>
    <cfRule type="cellIs" dxfId="61" priority="62" operator="lessThan">
      <formula>0</formula>
    </cfRule>
    <cfRule type="cellIs" dxfId="60" priority="63" operator="greaterThan">
      <formula>0</formula>
    </cfRule>
  </conditionalFormatting>
  <conditionalFormatting sqref="L14">
    <cfRule type="cellIs" dxfId="59" priority="55" operator="equal">
      <formula>0</formula>
    </cfRule>
    <cfRule type="cellIs" dxfId="58" priority="56" operator="lessThan">
      <formula>0</formula>
    </cfRule>
    <cfRule type="cellIs" dxfId="57" priority="57" operator="greaterThan">
      <formula>0</formula>
    </cfRule>
  </conditionalFormatting>
  <conditionalFormatting sqref="L14">
    <cfRule type="cellIs" dxfId="56" priority="58" stopIfTrue="1" operator="greaterThan">
      <formula>0</formula>
    </cfRule>
    <cfRule type="cellIs" dxfId="55" priority="59" stopIfTrue="1" operator="lessThan">
      <formula>0</formula>
    </cfRule>
    <cfRule type="cellIs" dxfId="54" priority="60" stopIfTrue="1" operator="equal">
      <formula>0</formula>
    </cfRule>
  </conditionalFormatting>
  <conditionalFormatting sqref="G32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32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G32">
    <cfRule type="cellIs" dxfId="47" priority="46" stopIfTrue="1" operator="greaterThan">
      <formula>0</formula>
    </cfRule>
    <cfRule type="cellIs" dxfId="46" priority="47" stopIfTrue="1" operator="lessThan">
      <formula>0</formula>
    </cfRule>
    <cfRule type="cellIs" dxfId="45" priority="48" stopIfTrue="1" operator="equal">
      <formula>0</formula>
    </cfRule>
  </conditionalFormatting>
  <conditionalFormatting sqref="G32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L32">
    <cfRule type="cellIs" dxfId="41" priority="37" operator="equal">
      <formula>0</formula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L32">
    <cfRule type="cellIs" dxfId="38" priority="40" stopIfTrue="1" operator="greaterThan">
      <formula>0</formula>
    </cfRule>
    <cfRule type="cellIs" dxfId="37" priority="41" stopIfTrue="1" operator="lessThan">
      <formula>0</formula>
    </cfRule>
    <cfRule type="cellIs" dxfId="36" priority="42" stopIfTrue="1" operator="equal">
      <formula>0</formula>
    </cfRule>
  </conditionalFormatting>
  <conditionalFormatting sqref="G50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50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G50">
    <cfRule type="cellIs" dxfId="29" priority="28" stopIfTrue="1" operator="greaterThan">
      <formula>0</formula>
    </cfRule>
    <cfRule type="cellIs" dxfId="28" priority="29" stopIfTrue="1" operator="lessThan">
      <formula>0</formula>
    </cfRule>
    <cfRule type="cellIs" dxfId="27" priority="30" stopIfTrue="1" operator="equal">
      <formula>0</formula>
    </cfRule>
  </conditionalFormatting>
  <conditionalFormatting sqref="G50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L50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L50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73">
    <cfRule type="cellIs" dxfId="17" priority="16" stopIfTrue="1" operator="greaterThan">
      <formula>0</formula>
    </cfRule>
    <cfRule type="cellIs" dxfId="16" priority="17" stopIfTrue="1" operator="lessThan">
      <formula>0</formula>
    </cfRule>
    <cfRule type="cellIs" dxfId="15" priority="18" stopIfTrue="1" operator="equal">
      <formula>0</formula>
    </cfRule>
  </conditionalFormatting>
  <conditionalFormatting sqref="G73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G73">
    <cfRule type="cellIs" dxfId="11" priority="10" stopIfTrue="1" operator="greaterThan">
      <formula>0</formula>
    </cfRule>
    <cfRule type="cellIs" dxfId="10" priority="11" stopIfTrue="1" operator="lessThan">
      <formula>0</formula>
    </cfRule>
    <cfRule type="cellIs" dxfId="9" priority="12" stopIfTrue="1" operator="equal">
      <formula>0</formula>
    </cfRule>
  </conditionalFormatting>
  <conditionalFormatting sqref="G73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L7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L73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2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marzo</mes>
    <year xmlns="36c86fb7-c3ab-4219-b2b9-06651c03637a">2017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2017-05-09T08:45:43+00:00</PublishingStartDate>
    <_dlc_DocId xmlns="8b099203-c902-4a5b-992f-1f849b15ff82">Q5F7QW3RQ55V-2035-351</_dlc_DocId>
    <_dlc_DocIdUrl xmlns="8b099203-c902-4a5b-992f-1f849b15ff82">
      <Url>http://admin.webtenerife.com/es/investigacion/Situacion-turistica/indicadores-turisticos/_layouts/DocIdRedir.aspx?ID=Q5F7QW3RQ55V-2035-351</Url>
      <Description>Q5F7QW3RQ55V-2035-351</Description>
    </_dlc_DocIdUrl>
    <Pagina xmlns="36c86fb7-c3ab-4219-b2b9-06651c03637a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6E79EE-064D-43C9-B5A8-3DE6CDFEFAF5}"/>
</file>

<file path=customXml/itemProps2.xml><?xml version="1.0" encoding="utf-8"?>
<ds:datastoreItem xmlns:ds="http://schemas.openxmlformats.org/officeDocument/2006/customXml" ds:itemID="{5A85DEAF-1619-4411-BBC0-962E1D46EBC1}"/>
</file>

<file path=customXml/itemProps3.xml><?xml version="1.0" encoding="utf-8"?>
<ds:datastoreItem xmlns:ds="http://schemas.openxmlformats.org/officeDocument/2006/customXml" ds:itemID="{FA2B41A3-1A8C-4CC6-9281-CDDF6CB4B3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(marzo y I trimestre 2017)</dc:title>
  <dc:creator>Manuela Rabaneda</dc:creator>
  <cp:lastModifiedBy>Manuela Rabaneda</cp:lastModifiedBy>
  <cp:lastPrinted>2017-04-21T13:18:47Z</cp:lastPrinted>
  <dcterms:created xsi:type="dcterms:W3CDTF">2017-04-21T13:02:22Z</dcterms:created>
  <dcterms:modified xsi:type="dcterms:W3CDTF">2017-04-21T14:05:25Z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9afed1e2-12dd-4400-a405-025462279ff4</vt:lpwstr>
  </property>
</Properties>
</file>