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I:\INVESTIGACION\BOLETIN ESTADÍSTICO SPET\INDICADORES TURISTICOS DE TENERIFE\2017\"/>
    </mc:Choice>
  </mc:AlternateContent>
  <bookViews>
    <workbookView xWindow="0" yWindow="0" windowWidth="28800" windowHeight="12210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(vinculo)'!$C$1:$M$319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(vinculo)'!$C$1:$M$321</definedName>
    <definedName name="Z_B161D6A3_44F3_469D_B50D_76D907B3525C_.wvu.Cols" localSheetId="0" hidden="1">'Ind turísticos (vinculo)'!#REF!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M64" i="1"/>
  <c r="L64" i="1"/>
  <c r="K64" i="1"/>
  <c r="J64" i="1"/>
  <c r="I64" i="1"/>
  <c r="G64" i="1"/>
  <c r="F64" i="1"/>
  <c r="E64" i="1"/>
  <c r="D64" i="1"/>
  <c r="C64" i="1"/>
  <c r="G120" i="1"/>
  <c r="H309" i="1" l="1"/>
  <c r="H280" i="1"/>
  <c r="H301" i="1"/>
  <c r="H304" i="1"/>
  <c r="H308" i="1"/>
  <c r="H282" i="1"/>
  <c r="H307" i="1"/>
  <c r="H299" i="1"/>
  <c r="H310" i="1"/>
  <c r="E184" i="1"/>
  <c r="E117" i="1"/>
  <c r="E242" i="1"/>
  <c r="E294" i="1" s="1"/>
  <c r="C215" i="1"/>
  <c r="G152" i="1"/>
  <c r="I62" i="1"/>
</calcChain>
</file>

<file path=xl/sharedStrings.xml><?xml version="1.0" encoding="utf-8"?>
<sst xmlns="http://schemas.openxmlformats.org/spreadsheetml/2006/main" count="589" uniqueCount="115">
  <si>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</si>
  <si>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</si>
  <si>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</si>
  <si>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</si>
  <si>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</si>
  <si>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</si>
  <si>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</si>
  <si>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</si>
  <si>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</si>
  <si>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</si>
  <si>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</si>
  <si>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</si>
  <si>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</si>
  <si>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</si>
  <si>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</si>
  <si>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</si>
  <si>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</si>
  <si>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</si>
  <si>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</si>
  <si>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</si>
  <si>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</si>
  <si>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</si>
  <si>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</si>
  <si>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</si>
  <si>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</si>
  <si>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</si>
  <si>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</si>
  <si>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</si>
  <si>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</si>
  <si>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</si>
  <si>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</si>
  <si>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</si>
  <si>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</si>
  <si>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</si>
  <si>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</si>
  <si>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</si>
  <si>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</si>
  <si>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</si>
  <si>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</si>
  <si>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</si>
  <si>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</si>
  <si>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</si>
  <si>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</si>
  <si>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</si>
  <si>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</si>
  <si>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</si>
  <si>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</si>
  <si>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</si>
  <si>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</si>
  <si>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</si>
  <si>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</si>
  <si>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</si>
  <si>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</si>
  <si>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</si>
  <si>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</si>
  <si>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</si>
  <si>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</si>
  <si>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</si>
  <si>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</si>
  <si>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</si>
  <si>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</si>
  <si>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</si>
  <si>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</si>
  <si>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</si>
  <si>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</si>
  <si>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</si>
  <si>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</si>
  <si>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</si>
  <si>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</si>
  <si>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</si>
  <si>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</si>
  <si>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</si>
  <si>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</si>
  <si>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</si>
  <si>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</si>
  <si>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</si>
  <si>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</si>
  <si>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</si>
  <si>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</si>
  <si>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</si>
  <si>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</si>
  <si>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</si>
  <si>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</si>
  <si>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</si>
  <si>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</si>
  <si>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</si>
  <si>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</si>
  <si>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</si>
  <si>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</si>
  <si>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</si>
  <si>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</si>
  <si>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</si>
  <si>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</si>
  <si>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enero 2017</t>
  </si>
  <si>
    <t>año 2016</t>
  </si>
  <si>
    <t>Muestra hotelera= 93,5%;   Muestra extrahotelera= 68,9%;   Muestra total= 83,3%</t>
  </si>
  <si>
    <t>El gasto medio total por turista en el año 2015 ha ascendido a 1.125,1€ . Se incrementa  un 5,8% respecto al mismo periodo del año anterior.</t>
  </si>
  <si>
    <t>El gasto medio por turista en origen se situó en 740,4€, un 6,0% más que en el año 2014.</t>
  </si>
  <si>
    <t>El gasto total diario por turista se situó en 116,1€, un 2,9% más que en el año 2014.</t>
  </si>
  <si>
    <t>El gasto medio en Tenerife, por turista y día  fue de 39,8€, experimentando un incremento del 1,9% respecto a el año 2014.</t>
  </si>
  <si>
    <t>año 2015 
Encuesta al Turismo Receptivo del Cabildo de Tenerife</t>
  </si>
  <si>
    <t>El número de plazas autorizadas por Policía Turística a fecha de enero 2017 asciendían a 136.847 plazas, registrando un incremento del 0,2% respecto al cierre del año 2016.</t>
  </si>
  <si>
    <t>Las plazas hoteleras autorizadas ascienden a 84.624 y representan el 62% del total. Con respecto al año 2016, las plazas hoteleras se incrementan un 0,1%.</t>
  </si>
  <si>
    <t>Las plazas extrahoteleras autorizadas, el 37% del total, ascienden a  50.760 (no incluye oferta rural). Aumentan un +0,4% respecto al cierre de 2016.</t>
  </si>
  <si>
    <t>Las plazas de hoteles rurales autorizadas por Policía Turística ascienden a 557, con un incremento del 0,0% respecto a 2016.</t>
  </si>
  <si>
    <t>Las plazas de casas rurales autorizadas por Policía Turística ascienden a 906, registrando un incremento del 0,2% respecto a 2016.</t>
  </si>
  <si>
    <t>Las plazas estimadas por el STDE del Cabildo de Tenerife en el I semestre de 2017 ascienden a 159.070. Se incremantan un 0,5% respecto al mismo período del año anterior.</t>
  </si>
  <si>
    <t>La oferta extrahotelera estimada por el STDE del Cabildo de Tenerife en el I semestre de 2017, asciende a 66.292 plazas, incluyendo oferta rural. Supone el 41,7% del total de las plazas turísticas, registrando un incremento del 0,8%.</t>
  </si>
  <si>
    <t>Las plazas estimadas para la zona de La Laguna, Bajamar, La Punta ascienden a 1.082 en el I semestre de 2017, registrando un incremento respecto al mismo periodo del año anterior del 13,1%.</t>
  </si>
  <si>
    <t>Las plazas extrahoteleras se estiman en 504, registrándose un incremento del 40,4% respecto al I semestre del año anterior.</t>
  </si>
  <si>
    <t>Las plazas totales estimadas para la zona Norte se sitúan en las 27.957 plazas,  registrándose un incremento del 4,1% con respecto al incremento del 40,4% respecto al I semestre del año anterior.</t>
  </si>
  <si>
    <t>Las plazas extrahoteleras estimadas se sitúan en las 56.691 en el I semestre del  2017, con un descenso del -0,4%  respecto al I semestre del año anterior.</t>
  </si>
  <si>
    <t>Por el Puerto de Santa Cruz de Tenerife han pasado en el año 2016, 563.802 cruceristas, un -12,5% menos en comparación al mismo período del año 2015</t>
  </si>
  <si>
    <t>El número de buques de crucero en el Puerto de Santa Cruz de Tenerife hasta diciembre 2016 ascienden a un total de 290 cruceros, cifra que se reduce un -6,8% respecto al mismo período del año anterior.</t>
  </si>
  <si>
    <t>año 2016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</si>
</sst>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9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8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165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4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94" xfId="0" applyFont="1" applyFill="1" applyBorder="1" applyAlignment="1" applyProtection="1">
      <alignment horizontal="left" vertical="center" wrapText="1"/>
      <protection hidden="1"/>
    </xf>
    <xf numFmtId="0" fontId="2" fillId="7" borderId="95" xfId="0" applyFont="1" applyFill="1" applyBorder="1" applyAlignment="1" applyProtection="1">
      <alignment horizontal="left" vertical="center" wrapText="1"/>
      <protection hidden="1"/>
    </xf>
    <xf numFmtId="0" fontId="12" fillId="0" borderId="96" xfId="0" applyFont="1" applyFill="1" applyBorder="1" applyAlignment="1" applyProtection="1">
      <alignment horizontal="center" vertical="center" wrapText="1"/>
      <protection hidden="1"/>
    </xf>
    <xf numFmtId="0" fontId="12" fillId="7" borderId="97" xfId="0" applyFont="1" applyFill="1" applyBorder="1" applyAlignment="1" applyProtection="1">
      <alignment horizontal="center" vertical="center" wrapText="1"/>
      <protection hidden="1"/>
    </xf>
    <xf numFmtId="0" fontId="12" fillId="7" borderId="98" xfId="0" applyFont="1" applyFill="1" applyBorder="1" applyAlignment="1" applyProtection="1">
      <alignment horizontal="center" vertical="center" wrapText="1"/>
      <protection hidden="1"/>
    </xf>
    <xf numFmtId="165" fontId="10" fillId="7" borderId="9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8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98" xfId="0" applyFont="1" applyFill="1" applyBorder="1" applyAlignment="1" applyProtection="1">
      <alignment horizontal="left" vertical="center" wrapText="1"/>
      <protection hidden="1"/>
    </xf>
    <xf numFmtId="0" fontId="0" fillId="0" borderId="98" xfId="0" applyBorder="1" applyAlignment="1">
      <alignment horizontal="left" vertical="center" wrapText="1"/>
    </xf>
    <xf numFmtId="0" fontId="0" fillId="0" borderId="99" xfId="0" applyBorder="1" applyAlignment="1">
      <alignment horizontal="left" vertical="center" wrapText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165" fontId="10" fillId="7" borderId="10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1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01" xfId="0" applyFont="1" applyFill="1" applyBorder="1" applyAlignment="1" applyProtection="1">
      <alignment horizontal="left" vertical="center" wrapText="1"/>
      <protection hidden="1"/>
    </xf>
    <xf numFmtId="0" fontId="0" fillId="0" borderId="101" xfId="0" applyBorder="1" applyAlignment="1">
      <alignment horizontal="left" vertical="center" wrapText="1"/>
    </xf>
    <xf numFmtId="0" fontId="0" fillId="0" borderId="102" xfId="0" applyBorder="1" applyAlignment="1">
      <alignment horizontal="left" vertical="center" wrapText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165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4" xfId="0" applyFont="1" applyFill="1" applyBorder="1" applyAlignment="1" applyProtection="1">
      <alignment horizontal="left" vertical="center" wrapText="1"/>
      <protection hidden="1"/>
    </xf>
    <xf numFmtId="0" fontId="0" fillId="0" borderId="104" xfId="0" applyBorder="1" applyAlignment="1">
      <alignment horizontal="left" vertical="center" wrapText="1"/>
    </xf>
    <xf numFmtId="0" fontId="0" fillId="0" borderId="105" xfId="0" applyBorder="1" applyAlignment="1">
      <alignment horizontal="left" vertical="center" wrapText="1"/>
    </xf>
    <xf numFmtId="0" fontId="12" fillId="0" borderId="97" xfId="0" applyFont="1" applyFill="1" applyBorder="1" applyAlignment="1" applyProtection="1">
      <alignment horizontal="center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165" fontId="10" fillId="0" borderId="9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8" xfId="0" applyFont="1" applyFill="1" applyBorder="1" applyAlignment="1" applyProtection="1">
      <alignment horizontal="left" vertical="center" wrapText="1"/>
      <protection hidden="1"/>
    </xf>
    <xf numFmtId="0" fontId="12" fillId="0" borderId="106" xfId="0" applyFont="1" applyFill="1" applyBorder="1" applyAlignment="1" applyProtection="1">
      <alignment horizontal="center" vertical="center" wrapText="1"/>
      <protection hidden="1"/>
    </xf>
    <xf numFmtId="0" fontId="12" fillId="0" borderId="107" xfId="0" applyFont="1" applyFill="1" applyBorder="1" applyAlignment="1" applyProtection="1">
      <alignment horizontal="center" vertical="center" wrapText="1"/>
      <protection hidden="1"/>
    </xf>
    <xf numFmtId="165" fontId="10" fillId="0" borderId="10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7" xfId="0" applyFont="1" applyFill="1" applyBorder="1" applyAlignment="1" applyProtection="1">
      <alignment horizontal="left" vertical="center" wrapText="1"/>
      <protection hidden="1"/>
    </xf>
    <xf numFmtId="0" fontId="0" fillId="0" borderId="107" xfId="0" applyBorder="1" applyAlignment="1">
      <alignment horizontal="left" vertical="center" wrapText="1"/>
    </xf>
    <xf numFmtId="0" fontId="0" fillId="0" borderId="108" xfId="0" applyBorder="1" applyAlignment="1">
      <alignment horizontal="left" vertical="center" wrapText="1"/>
    </xf>
    <xf numFmtId="0" fontId="6" fillId="4" borderId="109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10" xfId="0" applyFont="1" applyFill="1" applyBorder="1" applyAlignment="1" applyProtection="1">
      <alignment horizontal="center" vertical="center" wrapText="1"/>
      <protection hidden="1"/>
    </xf>
    <xf numFmtId="3" fontId="10" fillId="5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111" xfId="0" applyFont="1" applyFill="1" applyBorder="1" applyAlignment="1" applyProtection="1">
      <alignment horizontal="left" vertical="center" wrapText="1"/>
      <protection hidden="1"/>
    </xf>
    <xf numFmtId="0" fontId="2" fillId="5" borderId="112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3" xfId="0" applyFont="1" applyFill="1" applyBorder="1" applyAlignment="1" applyProtection="1">
      <alignment horizontal="center" vertical="center" wrapText="1"/>
      <protection hidden="1"/>
    </xf>
    <xf numFmtId="3" fontId="10" fillId="0" borderId="11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4" xfId="0" applyFont="1" applyFill="1" applyBorder="1" applyAlignment="1" applyProtection="1">
      <alignment horizontal="left" vertical="center" wrapText="1"/>
      <protection hidden="1"/>
    </xf>
    <xf numFmtId="0" fontId="0" fillId="0" borderId="114" xfId="0" applyBorder="1" applyAlignment="1">
      <alignment horizontal="left" vertical="center" wrapText="1"/>
    </xf>
    <xf numFmtId="0" fontId="0" fillId="0" borderId="115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3" xfId="0" applyFont="1" applyFill="1" applyBorder="1" applyAlignment="1" applyProtection="1">
      <alignment horizontal="center" vertical="center" wrapText="1"/>
      <protection hidden="1"/>
    </xf>
    <xf numFmtId="3" fontId="10" fillId="7" borderId="11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4" xfId="0" applyFont="1" applyFill="1" applyBorder="1" applyAlignment="1" applyProtection="1">
      <alignment horizontal="left" vertical="center" wrapText="1"/>
      <protection hidden="1"/>
    </xf>
    <xf numFmtId="0" fontId="12" fillId="7" borderId="116" xfId="0" applyFont="1" applyFill="1" applyBorder="1" applyAlignment="1" applyProtection="1">
      <alignment horizontal="center" vertical="center" wrapText="1"/>
      <protection hidden="1"/>
    </xf>
    <xf numFmtId="3" fontId="10" fillId="7" borderId="11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7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17" xfId="0" applyFont="1" applyFill="1" applyBorder="1" applyAlignment="1" applyProtection="1">
      <alignment horizontal="left" vertical="center" wrapText="1"/>
      <protection hidden="1"/>
    </xf>
    <xf numFmtId="0" fontId="0" fillId="0" borderId="117" xfId="0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8" fillId="5" borderId="120" xfId="0" applyFont="1" applyFill="1" applyBorder="1" applyAlignment="1" applyProtection="1">
      <alignment horizontal="center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22" xfId="0" applyFont="1" applyFill="1" applyBorder="1" applyAlignment="1" applyProtection="1">
      <alignment horizontal="justify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0" fontId="8" fillId="5" borderId="124" xfId="0" applyFont="1" applyFill="1" applyBorder="1" applyAlignment="1" applyProtection="1">
      <alignment horizontal="center" vertical="center" wrapText="1"/>
      <protection hidden="1"/>
    </xf>
    <xf numFmtId="0" fontId="8" fillId="5" borderId="125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6" xfId="0" applyFont="1" applyFill="1" applyBorder="1" applyAlignment="1" applyProtection="1">
      <alignment horizontal="justify" vertical="center" wrapText="1"/>
      <protection hidden="1"/>
    </xf>
    <xf numFmtId="0" fontId="8" fillId="5" borderId="127" xfId="0" applyFont="1" applyFill="1" applyBorder="1" applyAlignment="1" applyProtection="1">
      <alignment horizontal="center" vertical="center" wrapText="1"/>
      <protection hidden="1"/>
    </xf>
    <xf numFmtId="0" fontId="8" fillId="5" borderId="128" xfId="0" applyFont="1" applyFill="1" applyBorder="1" applyAlignment="1" applyProtection="1">
      <alignment horizontal="center" vertical="center" wrapText="1"/>
      <protection hidden="1"/>
    </xf>
    <xf numFmtId="0" fontId="8" fillId="5" borderId="129" xfId="0" applyFont="1" applyFill="1" applyBorder="1" applyAlignment="1" applyProtection="1">
      <alignment horizontal="center" vertical="center" wrapText="1"/>
      <protection hidden="1"/>
    </xf>
    <xf numFmtId="3" fontId="9" fillId="5" borderId="130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0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30" xfId="0" applyFont="1" applyFill="1" applyBorder="1" applyAlignment="1" applyProtection="1">
      <alignment horizontal="justify" vertical="center" wrapText="1"/>
      <protection hidden="1"/>
    </xf>
    <xf numFmtId="0" fontId="20" fillId="5" borderId="131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134" xfId="0" applyFont="1" applyFill="1" applyBorder="1" applyAlignment="1" applyProtection="1">
      <alignment horizontal="center" vertical="center" wrapText="1"/>
      <protection hidden="1"/>
    </xf>
    <xf numFmtId="3" fontId="10" fillId="0" borderId="13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5" xfId="0" applyFont="1" applyFill="1" applyBorder="1" applyAlignment="1" applyProtection="1">
      <alignment horizontal="justify" vertical="center" wrapText="1"/>
      <protection hidden="1"/>
    </xf>
    <xf numFmtId="0" fontId="2" fillId="0" borderId="136" xfId="0" applyFont="1" applyFill="1" applyBorder="1" applyAlignment="1" applyProtection="1">
      <alignment horizontal="justify" vertical="center" wrapText="1"/>
      <protection hidden="1"/>
    </xf>
    <xf numFmtId="0" fontId="12" fillId="0" borderId="137" xfId="0" applyFont="1" applyFill="1" applyBorder="1" applyAlignment="1" applyProtection="1">
      <alignment horizontal="center" vertical="center" wrapText="1"/>
      <protection hidden="1"/>
    </xf>
    <xf numFmtId="0" fontId="12" fillId="0" borderId="138" xfId="0" applyFont="1" applyFill="1" applyBorder="1" applyAlignment="1" applyProtection="1">
      <alignment horizontal="center" vertical="center" wrapText="1"/>
      <protection hidden="1"/>
    </xf>
    <xf numFmtId="0" fontId="12" fillId="0" borderId="129" xfId="0" applyFont="1" applyFill="1" applyBorder="1" applyAlignment="1" applyProtection="1">
      <alignment horizontal="center" vertical="center" wrapText="1"/>
      <protection hidden="1"/>
    </xf>
    <xf numFmtId="3" fontId="10" fillId="0" borderId="13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2" fillId="0" borderId="131" xfId="0" applyFont="1" applyFill="1" applyBorder="1" applyAlignment="1" applyProtection="1">
      <alignment horizontal="justify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3" fontId="10" fillId="7" borderId="135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5" xfId="0" applyFont="1" applyFill="1" applyBorder="1" applyAlignment="1" applyProtection="1">
      <alignment horizontal="justify" vertical="center" wrapText="1"/>
      <protection hidden="1"/>
    </xf>
    <xf numFmtId="0" fontId="2" fillId="7" borderId="136" xfId="0" applyFont="1" applyFill="1" applyBorder="1" applyAlignment="1" applyProtection="1">
      <alignment horizontal="justify" vertical="center" wrapText="1"/>
      <protection hidden="1"/>
    </xf>
    <xf numFmtId="0" fontId="12" fillId="7" borderId="139" xfId="0" applyFont="1" applyFill="1" applyBorder="1" applyAlignment="1" applyProtection="1">
      <alignment horizontal="center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0" fontId="12" fillId="7" borderId="125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6" xfId="0" applyFont="1" applyFill="1" applyBorder="1" applyAlignment="1" applyProtection="1">
      <alignment horizontal="justify" vertical="center" wrapText="1"/>
      <protection hidden="1"/>
    </xf>
    <xf numFmtId="0" fontId="12" fillId="7" borderId="137" xfId="0" applyFont="1" applyFill="1" applyBorder="1" applyAlignment="1" applyProtection="1">
      <alignment horizontal="center" vertical="center" wrapText="1"/>
      <protection hidden="1"/>
    </xf>
    <xf numFmtId="0" fontId="12" fillId="7" borderId="138" xfId="0" applyFont="1" applyFill="1" applyBorder="1" applyAlignment="1" applyProtection="1">
      <alignment horizontal="center" vertical="center" wrapText="1"/>
      <protection hidden="1"/>
    </xf>
    <xf numFmtId="0" fontId="12" fillId="7" borderId="129" xfId="0" applyFont="1" applyFill="1" applyBorder="1" applyAlignment="1" applyProtection="1">
      <alignment horizontal="center" vertical="center" wrapText="1"/>
      <protection hidden="1"/>
    </xf>
    <xf numFmtId="3" fontId="10" fillId="7" borderId="130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2" fillId="7" borderId="131" xfId="0" applyFont="1" applyFill="1" applyBorder="1" applyAlignment="1" applyProtection="1">
      <alignment horizontal="justify" vertical="center" wrapText="1"/>
      <protection hidden="1"/>
    </xf>
    <xf numFmtId="0" fontId="12" fillId="0" borderId="141" xfId="0" applyFont="1" applyFill="1" applyBorder="1" applyAlignment="1" applyProtection="1">
      <alignment horizontal="center" vertical="center" wrapText="1"/>
      <protection hidden="1"/>
    </xf>
    <xf numFmtId="0" fontId="12" fillId="0" borderId="142" xfId="0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0" fontId="12" fillId="0" borderId="124" xfId="0" applyFont="1" applyFill="1" applyBorder="1" applyAlignment="1" applyProtection="1">
      <alignment horizontal="center" vertical="center" wrapText="1"/>
      <protection hidden="1"/>
    </xf>
    <xf numFmtId="0" fontId="12" fillId="0" borderId="125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6" xfId="0" applyFont="1" applyFill="1" applyBorder="1" applyAlignment="1" applyProtection="1">
      <alignment horizontal="justify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0" fontId="12" fillId="6" borderId="132" xfId="0" applyFont="1" applyFill="1" applyBorder="1" applyAlignment="1" applyProtection="1">
      <alignment horizontal="center" vertical="center" wrapText="1"/>
      <protection hidden="1"/>
    </xf>
    <xf numFmtId="0" fontId="12" fillId="6" borderId="133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3" fontId="10" fillId="6" borderId="135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9" xfId="0" applyFont="1" applyFill="1" applyBorder="1" applyAlignment="1" applyProtection="1">
      <alignment horizontal="center" vertical="center" wrapText="1"/>
      <protection hidden="1"/>
    </xf>
    <xf numFmtId="0" fontId="12" fillId="6" borderId="140" xfId="0" applyFont="1" applyFill="1" applyBorder="1" applyAlignment="1" applyProtection="1">
      <alignment horizontal="center" vertical="center" wrapText="1"/>
      <protection hidden="1"/>
    </xf>
    <xf numFmtId="0" fontId="12" fillId="6" borderId="125" xfId="0" applyFont="1" applyFill="1" applyBorder="1" applyAlignment="1" applyProtection="1">
      <alignment horizontal="center" vertical="center" wrapText="1"/>
      <protection hidden="1"/>
    </xf>
    <xf numFmtId="0" fontId="12" fillId="6" borderId="143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44" xfId="0" applyFont="1" applyFill="1" applyBorder="1" applyAlignment="1" applyProtection="1">
      <alignment horizontal="justify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0" fontId="12" fillId="0" borderId="145" xfId="0" applyFont="1" applyFill="1" applyBorder="1" applyAlignment="1" applyProtection="1">
      <alignment horizontal="center" vertical="center" wrapText="1"/>
      <protection hidden="1"/>
    </xf>
    <xf numFmtId="0" fontId="12" fillId="0" borderId="146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justify" vertical="center" wrapText="1"/>
      <protection hidden="1"/>
    </xf>
    <xf numFmtId="0" fontId="2" fillId="0" borderId="112" xfId="0" applyFont="1" applyFill="1" applyBorder="1" applyAlignment="1" applyProtection="1">
      <alignment horizontal="justify" vertical="center" wrapText="1"/>
      <protection hidden="1"/>
    </xf>
    <xf numFmtId="0" fontId="12" fillId="7" borderId="147" xfId="0" applyFont="1" applyFill="1" applyBorder="1" applyAlignment="1" applyProtection="1">
      <alignment horizontal="center" vertical="center" wrapText="1"/>
      <protection hidden="1"/>
    </xf>
    <xf numFmtId="0" fontId="2" fillId="7" borderId="117" xfId="0" applyFont="1" applyFill="1" applyBorder="1" applyAlignment="1" applyProtection="1">
      <alignment horizontal="justify" vertical="center" wrapText="1"/>
      <protection hidden="1"/>
    </xf>
    <xf numFmtId="0" fontId="2" fillId="7" borderId="118" xfId="0" applyFont="1" applyFill="1" applyBorder="1" applyAlignment="1" applyProtection="1">
      <alignment horizontal="justify" vertical="center" wrapText="1"/>
      <protection hidden="1"/>
    </xf>
    <xf numFmtId="0" fontId="2" fillId="0" borderId="148" xfId="0" applyFont="1" applyFill="1" applyBorder="1" applyAlignment="1" applyProtection="1">
      <alignment vertical="center" wrapText="1"/>
      <protection hidden="1"/>
    </xf>
    <xf numFmtId="0" fontId="2" fillId="0" borderId="148" xfId="0" applyFont="1" applyBorder="1" applyAlignment="1" applyProtection="1">
      <alignment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/>
    <cellStyle name="Porcentaje" xfId="1" builtinId="5"/>
  </cellStyles>
  <dxfs count="258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1200149</xdr:colOff>
      <xdr:row>294</xdr:row>
      <xdr:rowOff>16755</xdr:rowOff>
    </xdr:to>
    <xdr:pic>
      <xdr:nvPicPr>
        <xdr:cNvPr id="6" name="229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028050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316</xdr:row>
      <xdr:rowOff>47625</xdr:rowOff>
    </xdr:from>
    <xdr:to>
      <xdr:col>9</xdr:col>
      <xdr:colOff>390525</xdr:colOff>
      <xdr:row>317</xdr:row>
      <xdr:rowOff>314324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0705325"/>
          <a:ext cx="5076825" cy="438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32"/>
  <sheetViews>
    <sheetView showGridLines="0" tabSelected="1" showRuler="0" topLeftCell="A70" zoomScale="85" zoomScaleNormal="85" workbookViewId="0">
      <selection activeCell="R9" sqref="R9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bestFit="1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94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427345</v>
      </c>
      <c r="G9" s="36">
        <v>-7.0426789597932693E-3</v>
      </c>
      <c r="H9" s="37"/>
      <c r="I9" s="38" t="s">
        <v>7</v>
      </c>
      <c r="J9" s="39" t="s">
        <v>8</v>
      </c>
      <c r="K9" s="40">
        <v>5596764</v>
      </c>
      <c r="L9" s="41">
        <v>7.9142441818426779E-2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292665</v>
      </c>
      <c r="G10" s="47">
        <v>9.5900098314849469E-3</v>
      </c>
      <c r="H10" s="48"/>
      <c r="I10" s="43"/>
      <c r="J10" s="45" t="s">
        <v>10</v>
      </c>
      <c r="K10" s="46">
        <v>3800281</v>
      </c>
      <c r="L10" s="49">
        <v>9.9097736402057324E-2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134680</v>
      </c>
      <c r="G11" s="36">
        <v>-4.1362080133246937E-2</v>
      </c>
      <c r="H11" s="48"/>
      <c r="I11" s="53"/>
      <c r="J11" s="54" t="s">
        <v>11</v>
      </c>
      <c r="K11" s="55">
        <v>1796483</v>
      </c>
      <c r="L11" s="56">
        <v>3.9228424164241771E-2</v>
      </c>
      <c r="M11" s="42"/>
    </row>
    <row r="12" spans="2:13" ht="24.75" hidden="1" customHeight="1" x14ac:dyDescent="0.2">
      <c r="C12" s="57" t="s">
        <v>12</v>
      </c>
      <c r="D12" s="58"/>
      <c r="E12" s="59" t="s">
        <v>8</v>
      </c>
      <c r="F12" s="60">
        <v>20822</v>
      </c>
      <c r="G12" s="61">
        <v>1.1539571112606506E-3</v>
      </c>
      <c r="H12" s="62"/>
      <c r="I12" s="57" t="s">
        <v>12</v>
      </c>
      <c r="J12" s="59" t="s">
        <v>8</v>
      </c>
      <c r="K12" s="60">
        <v>236263</v>
      </c>
      <c r="L12" s="41">
        <v>9.7453119846899305E-2</v>
      </c>
      <c r="M12" s="42"/>
    </row>
    <row r="13" spans="2:13" ht="46.5" customHeight="1" thickBot="1" x14ac:dyDescent="0.25">
      <c r="C13" s="63"/>
      <c r="D13" s="64"/>
      <c r="E13" s="65" t="s">
        <v>10</v>
      </c>
      <c r="F13" s="66">
        <v>20822</v>
      </c>
      <c r="G13" s="47">
        <v>3.566608829766782E-3</v>
      </c>
      <c r="H13" s="62"/>
      <c r="I13" s="63"/>
      <c r="J13" s="65" t="s">
        <v>10</v>
      </c>
      <c r="K13" s="66">
        <v>235531</v>
      </c>
      <c r="L13" s="49">
        <v>9.4052944264061633E-2</v>
      </c>
      <c r="M13" s="42"/>
    </row>
    <row r="14" spans="2:13" ht="24.75" hidden="1" customHeight="1" x14ac:dyDescent="0.2">
      <c r="C14" s="67"/>
      <c r="D14" s="68"/>
      <c r="E14" s="69" t="s">
        <v>11</v>
      </c>
      <c r="F14" s="70">
        <v>0</v>
      </c>
      <c r="G14" s="71">
        <v>-1</v>
      </c>
      <c r="H14" s="62"/>
      <c r="I14" s="67"/>
      <c r="J14" s="69" t="s">
        <v>11</v>
      </c>
      <c r="K14" s="70">
        <v>732</v>
      </c>
      <c r="L14" s="56" t="s">
        <v>38</v>
      </c>
      <c r="M14" s="42"/>
    </row>
    <row r="15" spans="2:13" ht="24.75" customHeight="1" x14ac:dyDescent="0.2">
      <c r="C15" s="72" t="s">
        <v>13</v>
      </c>
      <c r="D15" s="73"/>
      <c r="E15" s="74" t="s">
        <v>8</v>
      </c>
      <c r="F15" s="75">
        <v>4283</v>
      </c>
      <c r="G15" s="61">
        <v>0.22057566258193217</v>
      </c>
      <c r="H15" s="62"/>
      <c r="I15" s="72" t="s">
        <v>13</v>
      </c>
      <c r="J15" s="74" t="s">
        <v>8</v>
      </c>
      <c r="K15" s="75">
        <v>43275</v>
      </c>
      <c r="L15" s="41">
        <v>0.15978345348806045</v>
      </c>
      <c r="M15" s="42"/>
    </row>
    <row r="16" spans="2:13" ht="24.75" customHeight="1" x14ac:dyDescent="0.2">
      <c r="C16" s="76"/>
      <c r="D16" s="77"/>
      <c r="E16" s="78" t="s">
        <v>10</v>
      </c>
      <c r="F16" s="79">
        <v>3240</v>
      </c>
      <c r="G16" s="47">
        <v>0.14285714285714279</v>
      </c>
      <c r="H16" s="62"/>
      <c r="I16" s="76"/>
      <c r="J16" s="78" t="s">
        <v>10</v>
      </c>
      <c r="K16" s="79">
        <v>34967</v>
      </c>
      <c r="L16" s="49">
        <v>0.108972122672925</v>
      </c>
      <c r="M16" s="42"/>
    </row>
    <row r="17" spans="3:13" ht="24.75" customHeight="1" thickBot="1" x14ac:dyDescent="0.25">
      <c r="C17" s="80"/>
      <c r="D17" s="81"/>
      <c r="E17" s="82" t="s">
        <v>11</v>
      </c>
      <c r="F17" s="83">
        <v>1043</v>
      </c>
      <c r="G17" s="71">
        <v>0.54747774480712175</v>
      </c>
      <c r="H17" s="62"/>
      <c r="I17" s="80"/>
      <c r="J17" s="82" t="s">
        <v>11</v>
      </c>
      <c r="K17" s="83">
        <v>8308</v>
      </c>
      <c r="L17" s="56">
        <v>0.43687305430646828</v>
      </c>
      <c r="M17" s="42"/>
    </row>
    <row r="18" spans="3:13" ht="24.75" customHeight="1" x14ac:dyDescent="0.2">
      <c r="C18" s="57" t="s">
        <v>14</v>
      </c>
      <c r="D18" s="58"/>
      <c r="E18" s="59" t="s">
        <v>8</v>
      </c>
      <c r="F18" s="60">
        <v>77143</v>
      </c>
      <c r="G18" s="61">
        <v>8.4260977118119973E-2</v>
      </c>
      <c r="H18" s="62"/>
      <c r="I18" s="57" t="s">
        <v>14</v>
      </c>
      <c r="J18" s="59" t="s">
        <v>8</v>
      </c>
      <c r="K18" s="60">
        <v>1002721</v>
      </c>
      <c r="L18" s="41">
        <v>0.16302140299639634</v>
      </c>
      <c r="M18" s="42"/>
    </row>
    <row r="19" spans="3:13" ht="24.75" customHeight="1" x14ac:dyDescent="0.2">
      <c r="C19" s="63"/>
      <c r="D19" s="64"/>
      <c r="E19" s="65" t="s">
        <v>10</v>
      </c>
      <c r="F19" s="66">
        <v>57969</v>
      </c>
      <c r="G19" s="47">
        <v>9.8417811463761273E-2</v>
      </c>
      <c r="H19" s="62"/>
      <c r="I19" s="63"/>
      <c r="J19" s="65" t="s">
        <v>10</v>
      </c>
      <c r="K19" s="66">
        <v>737310</v>
      </c>
      <c r="L19" s="49">
        <v>0.13985576142661693</v>
      </c>
      <c r="M19" s="42"/>
    </row>
    <row r="20" spans="3:13" ht="24.75" customHeight="1" thickBot="1" x14ac:dyDescent="0.25">
      <c r="C20" s="67"/>
      <c r="D20" s="68"/>
      <c r="E20" s="69" t="s">
        <v>11</v>
      </c>
      <c r="F20" s="70">
        <v>19174</v>
      </c>
      <c r="G20" s="71">
        <v>4.3596581940891443E-2</v>
      </c>
      <c r="H20" s="62"/>
      <c r="I20" s="67"/>
      <c r="J20" s="69" t="s">
        <v>11</v>
      </c>
      <c r="K20" s="70">
        <v>265411</v>
      </c>
      <c r="L20" s="56">
        <v>0.23261224944734438</v>
      </c>
      <c r="M20" s="42"/>
    </row>
    <row r="21" spans="3:13" ht="24.75" customHeight="1" x14ac:dyDescent="0.2">
      <c r="C21" s="84" t="s">
        <v>15</v>
      </c>
      <c r="D21" s="85"/>
      <c r="E21" s="86" t="s">
        <v>8</v>
      </c>
      <c r="F21" s="87">
        <v>325097</v>
      </c>
      <c r="G21" s="61">
        <v>-2.9332290301294917E-2</v>
      </c>
      <c r="H21" s="62"/>
      <c r="I21" s="84" t="s">
        <v>15</v>
      </c>
      <c r="J21" s="86" t="s">
        <v>8</v>
      </c>
      <c r="K21" s="87">
        <v>4314505</v>
      </c>
      <c r="L21" s="41">
        <v>5.9673460325351035E-2</v>
      </c>
      <c r="M21" s="42"/>
    </row>
    <row r="22" spans="3:13" ht="24.75" customHeight="1" x14ac:dyDescent="0.2">
      <c r="C22" s="88"/>
      <c r="D22" s="89"/>
      <c r="E22" s="90" t="s">
        <v>10</v>
      </c>
      <c r="F22" s="91">
        <v>210634</v>
      </c>
      <c r="G22" s="47">
        <v>-1.3548637877177083E-2</v>
      </c>
      <c r="H22" s="62"/>
      <c r="I22" s="88"/>
      <c r="J22" s="90" t="s">
        <v>10</v>
      </c>
      <c r="K22" s="91">
        <v>2792473</v>
      </c>
      <c r="L22" s="49">
        <v>8.9117379322287471E-2</v>
      </c>
      <c r="M22" s="42"/>
    </row>
    <row r="23" spans="3:13" ht="24.75" customHeight="1" thickBot="1" x14ac:dyDescent="0.25">
      <c r="C23" s="92"/>
      <c r="D23" s="93"/>
      <c r="E23" s="94" t="s">
        <v>11</v>
      </c>
      <c r="F23" s="95">
        <v>114463</v>
      </c>
      <c r="G23" s="71">
        <v>-5.7095078834209279E-2</v>
      </c>
      <c r="H23" s="62"/>
      <c r="I23" s="92"/>
      <c r="J23" s="94" t="s">
        <v>11</v>
      </c>
      <c r="K23" s="95">
        <v>1522032</v>
      </c>
      <c r="L23" s="56">
        <v>9.5969391680883476E-3</v>
      </c>
      <c r="M23" s="42"/>
    </row>
    <row r="24" spans="3:13" ht="5.25" customHeight="1" thickBot="1" x14ac:dyDescent="0.25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3:13" ht="20.100000000000001" customHeight="1" thickBot="1" x14ac:dyDescent="0.25">
      <c r="C25" s="27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3:13" ht="5.25" customHeight="1" thickBot="1" x14ac:dyDescent="0.25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97"/>
    </row>
    <row r="27" spans="3:13" ht="24.95" customHeight="1" x14ac:dyDescent="0.2">
      <c r="C27" s="38" t="s">
        <v>7</v>
      </c>
      <c r="D27" s="98"/>
      <c r="E27" s="39" t="s">
        <v>8</v>
      </c>
      <c r="F27" s="35">
        <v>3568437</v>
      </c>
      <c r="G27" s="36">
        <v>1.1861546200511164E-2</v>
      </c>
      <c r="H27" s="37"/>
      <c r="I27" s="38" t="s">
        <v>7</v>
      </c>
      <c r="J27" s="39" t="s">
        <v>8</v>
      </c>
      <c r="K27" s="40">
        <v>42205284</v>
      </c>
      <c r="L27" s="41">
        <v>7.4560503128731082E-2</v>
      </c>
      <c r="M27" s="42" t="s">
        <v>9</v>
      </c>
    </row>
    <row r="28" spans="3:13" ht="24.95" customHeight="1" x14ac:dyDescent="0.2">
      <c r="C28" s="43"/>
      <c r="D28" s="44"/>
      <c r="E28" s="45" t="s">
        <v>10</v>
      </c>
      <c r="F28" s="46">
        <v>2291311</v>
      </c>
      <c r="G28" s="47">
        <v>1.4945715968940121E-2</v>
      </c>
      <c r="H28" s="48"/>
      <c r="I28" s="43"/>
      <c r="J28" s="45" t="s">
        <v>10</v>
      </c>
      <c r="K28" s="46">
        <v>27286825</v>
      </c>
      <c r="L28" s="49">
        <v>0.10046893739438167</v>
      </c>
      <c r="M28" s="42"/>
    </row>
    <row r="29" spans="3:13" ht="24.95" customHeight="1" thickBot="1" x14ac:dyDescent="0.25">
      <c r="C29" s="53"/>
      <c r="D29" s="99"/>
      <c r="E29" s="54" t="s">
        <v>11</v>
      </c>
      <c r="F29" s="35">
        <v>1277126</v>
      </c>
      <c r="G29" s="36">
        <v>6.3749176540301988E-3</v>
      </c>
      <c r="H29" s="48"/>
      <c r="I29" s="53"/>
      <c r="J29" s="54" t="s">
        <v>11</v>
      </c>
      <c r="K29" s="55">
        <v>14918459</v>
      </c>
      <c r="L29" s="56">
        <v>3.0198286006646091E-2</v>
      </c>
      <c r="M29" s="42"/>
    </row>
    <row r="30" spans="3:13" ht="24.95" hidden="1" customHeight="1" x14ac:dyDescent="0.2">
      <c r="C30" s="57" t="s">
        <v>12</v>
      </c>
      <c r="D30" s="58"/>
      <c r="E30" s="59" t="s">
        <v>8</v>
      </c>
      <c r="F30" s="60">
        <v>54296</v>
      </c>
      <c r="G30" s="61">
        <v>2.0812574028464592E-2</v>
      </c>
      <c r="H30" s="62"/>
      <c r="I30" s="57" t="s">
        <v>12</v>
      </c>
      <c r="J30" s="59" t="s">
        <v>8</v>
      </c>
      <c r="K30" s="60">
        <v>566750</v>
      </c>
      <c r="L30" s="41">
        <v>0.10188472351296607</v>
      </c>
      <c r="M30" s="42"/>
    </row>
    <row r="31" spans="3:13" ht="48" customHeight="1" thickBot="1" x14ac:dyDescent="0.25">
      <c r="C31" s="63"/>
      <c r="D31" s="64"/>
      <c r="E31" s="65" t="s">
        <v>10</v>
      </c>
      <c r="F31" s="66">
        <v>54296</v>
      </c>
      <c r="G31" s="47">
        <v>3.1851007221588734E-2</v>
      </c>
      <c r="H31" s="62"/>
      <c r="I31" s="63"/>
      <c r="J31" s="65" t="s">
        <v>10</v>
      </c>
      <c r="K31" s="66">
        <v>557223</v>
      </c>
      <c r="L31" s="49">
        <v>8.3362172545329516E-2</v>
      </c>
      <c r="M31" s="42"/>
    </row>
    <row r="32" spans="3:13" ht="24.95" hidden="1" customHeight="1" x14ac:dyDescent="0.2">
      <c r="C32" s="67"/>
      <c r="D32" s="68"/>
      <c r="E32" s="69" t="s">
        <v>11</v>
      </c>
      <c r="F32" s="70">
        <v>0</v>
      </c>
      <c r="G32" s="71">
        <v>-1</v>
      </c>
      <c r="H32" s="62"/>
      <c r="I32" s="67"/>
      <c r="J32" s="69" t="s">
        <v>11</v>
      </c>
      <c r="K32" s="70">
        <v>9527</v>
      </c>
      <c r="L32" s="56" t="s">
        <v>38</v>
      </c>
      <c r="M32" s="42"/>
    </row>
    <row r="33" spans="3:13" ht="24.95" customHeight="1" x14ac:dyDescent="0.2">
      <c r="C33" s="72" t="s">
        <v>13</v>
      </c>
      <c r="D33" s="73"/>
      <c r="E33" s="74" t="s">
        <v>8</v>
      </c>
      <c r="F33" s="75">
        <v>16808</v>
      </c>
      <c r="G33" s="61">
        <v>0.25022314787265687</v>
      </c>
      <c r="H33" s="62"/>
      <c r="I33" s="72" t="s">
        <v>13</v>
      </c>
      <c r="J33" s="74" t="s">
        <v>8</v>
      </c>
      <c r="K33" s="75">
        <v>154427</v>
      </c>
      <c r="L33" s="41">
        <v>0.10036197289478554</v>
      </c>
      <c r="M33" s="42"/>
    </row>
    <row r="34" spans="3:13" ht="24.95" customHeight="1" x14ac:dyDescent="0.2">
      <c r="C34" s="76"/>
      <c r="D34" s="77"/>
      <c r="E34" s="78" t="s">
        <v>10</v>
      </c>
      <c r="F34" s="79">
        <v>10983</v>
      </c>
      <c r="G34" s="47">
        <v>0.29272598870056488</v>
      </c>
      <c r="H34" s="62"/>
      <c r="I34" s="76"/>
      <c r="J34" s="78" t="s">
        <v>10</v>
      </c>
      <c r="K34" s="79">
        <v>98932</v>
      </c>
      <c r="L34" s="49">
        <v>4.477566478155337E-3</v>
      </c>
      <c r="M34" s="42"/>
    </row>
    <row r="35" spans="3:13" ht="24.95" customHeight="1" thickBot="1" x14ac:dyDescent="0.25">
      <c r="C35" s="80"/>
      <c r="D35" s="81"/>
      <c r="E35" s="82" t="s">
        <v>11</v>
      </c>
      <c r="F35" s="83">
        <v>5825</v>
      </c>
      <c r="G35" s="71">
        <v>0.17724333063864184</v>
      </c>
      <c r="H35" s="62"/>
      <c r="I35" s="80"/>
      <c r="J35" s="82" t="s">
        <v>11</v>
      </c>
      <c r="K35" s="83">
        <v>55495</v>
      </c>
      <c r="L35" s="56">
        <v>0.32601371532340928</v>
      </c>
      <c r="M35" s="42"/>
    </row>
    <row r="36" spans="3:13" ht="24.95" customHeight="1" x14ac:dyDescent="0.2">
      <c r="C36" s="57" t="s">
        <v>14</v>
      </c>
      <c r="D36" s="58"/>
      <c r="E36" s="59" t="s">
        <v>8</v>
      </c>
      <c r="F36" s="60">
        <v>647382</v>
      </c>
      <c r="G36" s="61">
        <v>6.875801714616836E-2</v>
      </c>
      <c r="H36" s="62"/>
      <c r="I36" s="57" t="s">
        <v>14</v>
      </c>
      <c r="J36" s="59" t="s">
        <v>8</v>
      </c>
      <c r="K36" s="60">
        <v>7122870</v>
      </c>
      <c r="L36" s="41">
        <v>0.18700493341785673</v>
      </c>
      <c r="M36" s="42"/>
    </row>
    <row r="37" spans="3:13" ht="24.95" customHeight="1" x14ac:dyDescent="0.2">
      <c r="C37" s="63"/>
      <c r="D37" s="64"/>
      <c r="E37" s="65" t="s">
        <v>10</v>
      </c>
      <c r="F37" s="66">
        <v>455415</v>
      </c>
      <c r="G37" s="47">
        <v>5.2634620229611961E-2</v>
      </c>
      <c r="H37" s="62"/>
      <c r="I37" s="63"/>
      <c r="J37" s="65" t="s">
        <v>10</v>
      </c>
      <c r="K37" s="66">
        <v>5076703</v>
      </c>
      <c r="L37" s="49">
        <v>0.16230473534670842</v>
      </c>
      <c r="M37" s="42"/>
    </row>
    <row r="38" spans="3:13" ht="24.95" customHeight="1" thickBot="1" x14ac:dyDescent="0.25">
      <c r="C38" s="67"/>
      <c r="D38" s="68"/>
      <c r="E38" s="69" t="s">
        <v>11</v>
      </c>
      <c r="F38" s="70">
        <v>191967</v>
      </c>
      <c r="G38" s="71">
        <v>0.10905887110751622</v>
      </c>
      <c r="H38" s="62"/>
      <c r="I38" s="67"/>
      <c r="J38" s="69" t="s">
        <v>11</v>
      </c>
      <c r="K38" s="70">
        <v>2046167</v>
      </c>
      <c r="L38" s="56">
        <v>0.25307394492558721</v>
      </c>
      <c r="M38" s="42"/>
    </row>
    <row r="39" spans="3:13" ht="24.95" customHeight="1" x14ac:dyDescent="0.2">
      <c r="C39" s="84" t="s">
        <v>15</v>
      </c>
      <c r="D39" s="85"/>
      <c r="E39" s="86" t="s">
        <v>8</v>
      </c>
      <c r="F39" s="87">
        <v>2849951</v>
      </c>
      <c r="G39" s="61">
        <v>-1.5026767195470692E-3</v>
      </c>
      <c r="H39" s="62"/>
      <c r="I39" s="84" t="s">
        <v>15</v>
      </c>
      <c r="J39" s="86" t="s">
        <v>8</v>
      </c>
      <c r="K39" s="87">
        <v>34361237</v>
      </c>
      <c r="L39" s="41">
        <v>5.3334512927422306E-2</v>
      </c>
      <c r="M39" s="42"/>
    </row>
    <row r="40" spans="3:13" ht="24.95" customHeight="1" x14ac:dyDescent="0.2">
      <c r="C40" s="88"/>
      <c r="D40" s="89"/>
      <c r="E40" s="90" t="s">
        <v>10</v>
      </c>
      <c r="F40" s="91">
        <v>1770617</v>
      </c>
      <c r="G40" s="47">
        <v>3.8586900750703368E-3</v>
      </c>
      <c r="H40" s="62"/>
      <c r="I40" s="88"/>
      <c r="J40" s="90" t="s">
        <v>10</v>
      </c>
      <c r="K40" s="91">
        <v>21553967</v>
      </c>
      <c r="L40" s="49">
        <v>8.7759746943314232E-2</v>
      </c>
      <c r="M40" s="42"/>
    </row>
    <row r="41" spans="3:13" ht="24.95" customHeight="1" thickBot="1" x14ac:dyDescent="0.25">
      <c r="C41" s="92"/>
      <c r="D41" s="93"/>
      <c r="E41" s="94" t="s">
        <v>11</v>
      </c>
      <c r="F41" s="95">
        <v>1079334</v>
      </c>
      <c r="G41" s="71">
        <v>-1.0174894468140572E-2</v>
      </c>
      <c r="H41" s="62"/>
      <c r="I41" s="92"/>
      <c r="J41" s="94" t="s">
        <v>11</v>
      </c>
      <c r="K41" s="95">
        <v>12807270</v>
      </c>
      <c r="L41" s="56">
        <v>6.9184244358089231E-5</v>
      </c>
      <c r="M41" s="42"/>
    </row>
    <row r="42" spans="3:13" ht="5.25" customHeight="1" thickBot="1" x14ac:dyDescent="0.25">
      <c r="C42" s="96"/>
      <c r="D42" s="96"/>
      <c r="F42" s="96"/>
      <c r="G42" s="96"/>
      <c r="H42" s="96"/>
      <c r="I42" s="96"/>
      <c r="J42" s="96"/>
      <c r="K42" s="96"/>
      <c r="L42" s="96"/>
      <c r="M42" s="96"/>
    </row>
    <row r="43" spans="3:13" ht="20.100000000000001" customHeight="1" thickBot="1" x14ac:dyDescent="0.25">
      <c r="C43" s="27" t="s">
        <v>17</v>
      </c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3:13" ht="5.25" customHeight="1" thickBot="1" x14ac:dyDescent="0.2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97"/>
    </row>
    <row r="45" spans="3:13" ht="24.75" customHeight="1" x14ac:dyDescent="0.2">
      <c r="C45" s="38" t="s">
        <v>7</v>
      </c>
      <c r="D45" s="98"/>
      <c r="E45" s="39" t="s">
        <v>8</v>
      </c>
      <c r="F45" s="100">
        <v>8.3502486281575781</v>
      </c>
      <c r="G45" s="101">
        <v>0.15600452532656561</v>
      </c>
      <c r="H45" s="37"/>
      <c r="I45" s="38" t="s">
        <v>7</v>
      </c>
      <c r="J45" s="39" t="s">
        <v>8</v>
      </c>
      <c r="K45" s="100">
        <v>7.5410154868063044</v>
      </c>
      <c r="L45" s="102">
        <v>-3.2154979191948208E-2</v>
      </c>
      <c r="M45" s="42" t="s">
        <v>9</v>
      </c>
    </row>
    <row r="46" spans="3:13" ht="24.75" customHeight="1" x14ac:dyDescent="0.2">
      <c r="C46" s="43"/>
      <c r="D46" s="44"/>
      <c r="E46" s="45" t="s">
        <v>10</v>
      </c>
      <c r="F46" s="103">
        <v>7.8291254506005163</v>
      </c>
      <c r="G46" s="104">
        <v>4.1313042231680086E-2</v>
      </c>
      <c r="H46" s="48"/>
      <c r="I46" s="43"/>
      <c r="J46" s="45" t="s">
        <v>10</v>
      </c>
      <c r="K46" s="103">
        <v>7.1802124632362716</v>
      </c>
      <c r="L46" s="105">
        <v>8.9466536674827069E-3</v>
      </c>
      <c r="M46" s="42"/>
    </row>
    <row r="47" spans="3:13" ht="24.75" customHeight="1" thickBot="1" x14ac:dyDescent="0.25">
      <c r="C47" s="53"/>
      <c r="D47" s="99"/>
      <c r="E47" s="54" t="s">
        <v>11</v>
      </c>
      <c r="F47" s="106">
        <v>9.4826700326700326</v>
      </c>
      <c r="G47" s="107">
        <v>0.44980671758223423</v>
      </c>
      <c r="H47" s="48"/>
      <c r="I47" s="53"/>
      <c r="J47" s="54" t="s">
        <v>11</v>
      </c>
      <c r="K47" s="106">
        <v>8.3042583759490078</v>
      </c>
      <c r="L47" s="108">
        <v>-7.2790453497907137E-2</v>
      </c>
      <c r="M47" s="42"/>
    </row>
    <row r="48" spans="3:13" ht="24.75" hidden="1" customHeight="1" x14ac:dyDescent="0.2">
      <c r="C48" s="57" t="s">
        <v>12</v>
      </c>
      <c r="D48" s="58"/>
      <c r="E48" s="59" t="s">
        <v>8</v>
      </c>
      <c r="F48" s="109">
        <v>2.6076265488425703</v>
      </c>
      <c r="G48" s="101">
        <v>5.0217182557350526E-2</v>
      </c>
      <c r="H48" s="62"/>
      <c r="I48" s="57" t="s">
        <v>12</v>
      </c>
      <c r="J48" s="59" t="s">
        <v>8</v>
      </c>
      <c r="K48" s="109">
        <v>2.3988098009421703</v>
      </c>
      <c r="L48" s="102">
        <v>9.6476283600344104E-3</v>
      </c>
      <c r="M48" s="42"/>
    </row>
    <row r="49" spans="2:13" ht="50.25" customHeight="1" thickBot="1" x14ac:dyDescent="0.25">
      <c r="C49" s="63"/>
      <c r="D49" s="64"/>
      <c r="E49" s="65" t="s">
        <v>10</v>
      </c>
      <c r="F49" s="110">
        <v>2.6076265488425703</v>
      </c>
      <c r="G49" s="104">
        <v>7.1478486378718564E-2</v>
      </c>
      <c r="H49" s="62"/>
      <c r="I49" s="63"/>
      <c r="J49" s="65" t="s">
        <v>10</v>
      </c>
      <c r="K49" s="110">
        <v>2.3658159647774601</v>
      </c>
      <c r="L49" s="105">
        <v>-2.3346207804675778E-2</v>
      </c>
      <c r="M49" s="42"/>
    </row>
    <row r="50" spans="2:13" ht="24.75" hidden="1" customHeight="1" x14ac:dyDescent="0.2">
      <c r="C50" s="67"/>
      <c r="D50" s="68"/>
      <c r="E50" s="69" t="s">
        <v>11</v>
      </c>
      <c r="F50" s="111" t="s">
        <v>38</v>
      </c>
      <c r="G50" s="107" t="s">
        <v>38</v>
      </c>
      <c r="H50" s="62"/>
      <c r="I50" s="67"/>
      <c r="J50" s="69" t="s">
        <v>11</v>
      </c>
      <c r="K50" s="111">
        <v>13.015027322404372</v>
      </c>
      <c r="L50" s="108" t="s">
        <v>38</v>
      </c>
      <c r="M50" s="42"/>
    </row>
    <row r="51" spans="2:13" ht="24.75" customHeight="1" x14ac:dyDescent="0.2">
      <c r="C51" s="72" t="s">
        <v>13</v>
      </c>
      <c r="D51" s="73"/>
      <c r="E51" s="74" t="s">
        <v>8</v>
      </c>
      <c r="F51" s="112">
        <v>3.9243520896567827</v>
      </c>
      <c r="G51" s="101">
        <v>9.3061123569578186E-2</v>
      </c>
      <c r="H51" s="62"/>
      <c r="I51" s="72" t="s">
        <v>13</v>
      </c>
      <c r="J51" s="74" t="s">
        <v>8</v>
      </c>
      <c r="K51" s="112">
        <v>3.5685037550548815</v>
      </c>
      <c r="L51" s="102">
        <v>-0.19270547497218704</v>
      </c>
      <c r="M51" s="42"/>
    </row>
    <row r="52" spans="2:13" ht="24.75" customHeight="1" x14ac:dyDescent="0.2">
      <c r="C52" s="76"/>
      <c r="D52" s="77"/>
      <c r="E52" s="78" t="s">
        <v>10</v>
      </c>
      <c r="F52" s="113">
        <v>3.3898148148148146</v>
      </c>
      <c r="G52" s="104">
        <v>0.39298941798941778</v>
      </c>
      <c r="H52" s="62"/>
      <c r="I52" s="76"/>
      <c r="J52" s="78" t="s">
        <v>10</v>
      </c>
      <c r="K52" s="113">
        <v>2.8292961935539225</v>
      </c>
      <c r="L52" s="105">
        <v>-0.29432817611402351</v>
      </c>
      <c r="M52" s="42"/>
    </row>
    <row r="53" spans="2:13" ht="24.75" customHeight="1" thickBot="1" x14ac:dyDescent="0.25">
      <c r="C53" s="80"/>
      <c r="D53" s="81"/>
      <c r="E53" s="82" t="s">
        <v>11</v>
      </c>
      <c r="F53" s="114">
        <v>5.5848513902205177</v>
      </c>
      <c r="G53" s="107">
        <v>-1.7563949005806689</v>
      </c>
      <c r="H53" s="62"/>
      <c r="I53" s="80"/>
      <c r="J53" s="82" t="s">
        <v>11</v>
      </c>
      <c r="K53" s="114">
        <v>6.6797063071738085</v>
      </c>
      <c r="L53" s="108">
        <v>-0.55844658110014489</v>
      </c>
      <c r="M53" s="42"/>
    </row>
    <row r="54" spans="2:13" ht="24.75" customHeight="1" x14ac:dyDescent="0.2">
      <c r="C54" s="57" t="s">
        <v>14</v>
      </c>
      <c r="D54" s="58"/>
      <c r="E54" s="59" t="s">
        <v>8</v>
      </c>
      <c r="F54" s="109">
        <v>8.391973348197503</v>
      </c>
      <c r="G54" s="101">
        <v>-0.12173048044139101</v>
      </c>
      <c r="H54" s="62"/>
      <c r="I54" s="57" t="s">
        <v>14</v>
      </c>
      <c r="J54" s="59" t="s">
        <v>8</v>
      </c>
      <c r="K54" s="109">
        <v>7.1035412642200573</v>
      </c>
      <c r="L54" s="102">
        <v>0.14352762420284471</v>
      </c>
      <c r="M54" s="42"/>
    </row>
    <row r="55" spans="2:13" ht="24.75" customHeight="1" x14ac:dyDescent="0.2">
      <c r="C55" s="63"/>
      <c r="D55" s="64"/>
      <c r="E55" s="65" t="s">
        <v>10</v>
      </c>
      <c r="F55" s="110">
        <v>7.8561817523158926</v>
      </c>
      <c r="G55" s="104">
        <v>-0.34169603072531984</v>
      </c>
      <c r="H55" s="62"/>
      <c r="I55" s="63"/>
      <c r="J55" s="65" t="s">
        <v>10</v>
      </c>
      <c r="K55" s="110">
        <v>6.885438960545768</v>
      </c>
      <c r="L55" s="105">
        <v>0.13298667290344213</v>
      </c>
      <c r="M55" s="42"/>
    </row>
    <row r="56" spans="2:13" ht="24.75" customHeight="1" thickBot="1" x14ac:dyDescent="0.25">
      <c r="C56" s="67"/>
      <c r="D56" s="68"/>
      <c r="E56" s="69" t="s">
        <v>11</v>
      </c>
      <c r="F56" s="111">
        <v>10.011838948576196</v>
      </c>
      <c r="G56" s="107">
        <v>0.59094960007567998</v>
      </c>
      <c r="H56" s="62"/>
      <c r="I56" s="67"/>
      <c r="J56" s="69" t="s">
        <v>11</v>
      </c>
      <c r="K56" s="111">
        <v>7.7094280191853386</v>
      </c>
      <c r="L56" s="108">
        <v>0.12588879457498425</v>
      </c>
      <c r="M56" s="42"/>
    </row>
    <row r="57" spans="2:13" ht="24.75" customHeight="1" x14ac:dyDescent="0.2">
      <c r="C57" s="84" t="s">
        <v>15</v>
      </c>
      <c r="D57" s="85"/>
      <c r="E57" s="86" t="s">
        <v>8</v>
      </c>
      <c r="F57" s="115">
        <v>8.7664635478026565</v>
      </c>
      <c r="G57" s="101">
        <v>0.2443344487016752</v>
      </c>
      <c r="H57" s="62"/>
      <c r="I57" s="84" t="s">
        <v>15</v>
      </c>
      <c r="J57" s="86" t="s">
        <v>8</v>
      </c>
      <c r="K57" s="115">
        <v>7.9641203336188049</v>
      </c>
      <c r="L57" s="102">
        <v>-4.7927927212104038E-2</v>
      </c>
      <c r="M57" s="42"/>
    </row>
    <row r="58" spans="2:13" ht="24.75" customHeight="1" x14ac:dyDescent="0.2">
      <c r="C58" s="88"/>
      <c r="D58" s="89"/>
      <c r="E58" s="90" t="s">
        <v>10</v>
      </c>
      <c r="F58" s="116">
        <v>8.4061310139863465</v>
      </c>
      <c r="G58" s="104">
        <v>0.14576581426921464</v>
      </c>
      <c r="H58" s="62"/>
      <c r="I58" s="88"/>
      <c r="J58" s="90" t="s">
        <v>10</v>
      </c>
      <c r="K58" s="116">
        <v>7.7185945933944575</v>
      </c>
      <c r="L58" s="105">
        <v>-9.6335739299107104E-3</v>
      </c>
      <c r="M58" s="42"/>
    </row>
    <row r="59" spans="2:13" ht="24.75" customHeight="1" thickBot="1" x14ac:dyDescent="0.25">
      <c r="C59" s="117"/>
      <c r="D59" s="118"/>
      <c r="E59" s="119" t="s">
        <v>11</v>
      </c>
      <c r="F59" s="120">
        <v>9.4295449184452611</v>
      </c>
      <c r="G59" s="121">
        <v>0.44698400110173431</v>
      </c>
      <c r="H59" s="122"/>
      <c r="I59" s="117"/>
      <c r="J59" s="119" t="s">
        <v>11</v>
      </c>
      <c r="K59" s="120">
        <v>8.4145865527137413</v>
      </c>
      <c r="L59" s="123">
        <v>-8.016657219505241E-2</v>
      </c>
      <c r="M59" s="124"/>
    </row>
    <row r="60" spans="2:13" ht="13.5" thickBot="1" x14ac:dyDescent="0.25">
      <c r="C60" s="125" t="s">
        <v>95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2:13" ht="50.25" customHeight="1" thickBot="1" x14ac:dyDescent="0.25">
      <c r="C61" s="128"/>
      <c r="D61" s="128"/>
      <c r="E61" s="129" t="s">
        <v>92</v>
      </c>
      <c r="F61" s="129"/>
      <c r="G61" s="129"/>
      <c r="H61" s="129"/>
      <c r="I61" s="129"/>
      <c r="J61" s="129"/>
      <c r="K61" s="129"/>
      <c r="L61" s="128"/>
      <c r="M61" s="128"/>
    </row>
    <row r="62" spans="2:13" ht="15" customHeight="1" x14ac:dyDescent="0.2">
      <c r="B62" s="5"/>
      <c r="C62" s="6" t="s">
        <v>93</v>
      </c>
      <c r="D62" s="6"/>
      <c r="E62" s="6"/>
      <c r="F62" s="6"/>
      <c r="G62" s="6"/>
      <c r="H62" s="7"/>
      <c r="I62" s="8" t="str">
        <f>I2</f>
        <v>año 2016</v>
      </c>
      <c r="J62" s="8"/>
      <c r="K62" s="8"/>
      <c r="L62" s="8"/>
      <c r="M62" s="8"/>
    </row>
    <row r="63" spans="2:13" ht="16.5" customHeight="1" thickBot="1" x14ac:dyDescent="0.25">
      <c r="B63" s="5"/>
      <c r="C63" s="9"/>
      <c r="D63" s="9"/>
      <c r="E63" s="9"/>
      <c r="F63" s="9"/>
      <c r="G63" s="9"/>
      <c r="H63" s="10"/>
      <c r="I63" s="11"/>
      <c r="J63" s="11"/>
      <c r="K63" s="11"/>
      <c r="L63" s="11"/>
      <c r="M63" s="11"/>
    </row>
    <row r="64" spans="2:13" ht="81.75" customHeight="1" x14ac:dyDescent="0.2">
      <c r="C64" s="20" t="str">
        <f t="shared" ref="C64:G64" si="0">C5</f>
        <v>Ámbito</v>
      </c>
      <c r="D64" s="21">
        <f t="shared" si="0"/>
        <v>0</v>
      </c>
      <c r="E64" s="22" t="str">
        <f t="shared" si="0"/>
        <v>Variable</v>
      </c>
      <c r="F64" s="22" t="str">
        <f t="shared" si="0"/>
        <v>Valor absoluto
mensual</v>
      </c>
      <c r="G64" s="22" t="str">
        <f t="shared" si="0"/>
        <v>Variación respecto al período anterior</v>
      </c>
      <c r="H64" s="24"/>
      <c r="I64" s="22" t="str">
        <f>I5</f>
        <v>Ámbito</v>
      </c>
      <c r="J64" s="22" t="str">
        <f t="shared" ref="J64:M64" si="1">J5</f>
        <v>Variable</v>
      </c>
      <c r="K64" s="22" t="str">
        <f t="shared" si="1"/>
        <v>Valor absoluto
acumulado</v>
      </c>
      <c r="L64" s="22" t="str">
        <f t="shared" si="1"/>
        <v>Variación respecto al período anterior</v>
      </c>
      <c r="M64" s="23" t="str">
        <f t="shared" si="1"/>
        <v>Fuente</v>
      </c>
    </row>
    <row r="65" spans="3:13" ht="5.25" customHeight="1" thickBo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ht="20.100000000000001" customHeight="1" thickBot="1" x14ac:dyDescent="0.25">
      <c r="C66" s="27" t="s">
        <v>18</v>
      </c>
      <c r="D66" s="28"/>
      <c r="E66" s="28"/>
      <c r="F66" s="28"/>
      <c r="G66" s="28"/>
      <c r="H66" s="28"/>
      <c r="I66" s="28"/>
      <c r="J66" s="28"/>
      <c r="K66" s="28"/>
      <c r="L66" s="28"/>
      <c r="M66" s="29"/>
    </row>
    <row r="67" spans="3:13" ht="5.25" customHeight="1" thickBot="1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97"/>
    </row>
    <row r="68" spans="3:13" ht="24.75" customHeight="1" x14ac:dyDescent="0.2">
      <c r="C68" s="38" t="s">
        <v>7</v>
      </c>
      <c r="D68" s="98"/>
      <c r="E68" s="39" t="s">
        <v>8</v>
      </c>
      <c r="F68" s="130">
        <v>0.72364915425750886</v>
      </c>
      <c r="G68" s="61">
        <v>7.0525480932150941E-3</v>
      </c>
      <c r="H68" s="37"/>
      <c r="I68" s="38" t="s">
        <v>7</v>
      </c>
      <c r="J68" s="39" t="s">
        <v>8</v>
      </c>
      <c r="K68" s="130">
        <v>0.72843805085545543</v>
      </c>
      <c r="L68" s="41">
        <v>8.2628429029363737E-2</v>
      </c>
      <c r="M68" s="42" t="s">
        <v>9</v>
      </c>
    </row>
    <row r="69" spans="3:13" ht="24.75" customHeight="1" x14ac:dyDescent="0.2">
      <c r="C69" s="43"/>
      <c r="D69" s="44"/>
      <c r="E69" s="45" t="s">
        <v>10</v>
      </c>
      <c r="F69" s="131">
        <v>0.79666793921528944</v>
      </c>
      <c r="G69" s="47">
        <v>1.2342112955287865E-2</v>
      </c>
      <c r="H69" s="48"/>
      <c r="I69" s="43"/>
      <c r="J69" s="45" t="s">
        <v>10</v>
      </c>
      <c r="K69" s="131">
        <v>0.80558133545204125</v>
      </c>
      <c r="L69" s="49">
        <v>7.6357996069831291E-2</v>
      </c>
      <c r="M69" s="42"/>
    </row>
    <row r="70" spans="3:13" ht="24.75" customHeight="1" thickBot="1" x14ac:dyDescent="0.25">
      <c r="C70" s="53"/>
      <c r="D70" s="99"/>
      <c r="E70" s="54" t="s">
        <v>11</v>
      </c>
      <c r="F70" s="132">
        <v>0.621456780655672</v>
      </c>
      <c r="G70" s="71">
        <v>-1.4888096033278675E-3</v>
      </c>
      <c r="H70" s="48"/>
      <c r="I70" s="53"/>
      <c r="J70" s="54" t="s">
        <v>11</v>
      </c>
      <c r="K70" s="132">
        <v>0.61986652213808557</v>
      </c>
      <c r="L70" s="56">
        <v>8.0586082963750139E-2</v>
      </c>
      <c r="M70" s="42"/>
    </row>
    <row r="71" spans="3:13" ht="24.75" hidden="1" customHeight="1" x14ac:dyDescent="0.2">
      <c r="C71" s="57" t="s">
        <v>12</v>
      </c>
      <c r="D71" s="58"/>
      <c r="E71" s="59" t="s">
        <v>8</v>
      </c>
      <c r="F71" s="133">
        <v>0.60836535983596451</v>
      </c>
      <c r="G71" s="61">
        <v>-6.2866400431666691E-2</v>
      </c>
      <c r="H71" s="62"/>
      <c r="I71" s="57" t="s">
        <v>12</v>
      </c>
      <c r="J71" s="59" t="s">
        <v>8</v>
      </c>
      <c r="K71" s="133">
        <v>0.56784821845449096</v>
      </c>
      <c r="L71" s="41">
        <v>4.4907360597306267E-2</v>
      </c>
      <c r="M71" s="42"/>
    </row>
    <row r="72" spans="3:13" ht="43.5" customHeight="1" thickBot="1" x14ac:dyDescent="0.25">
      <c r="C72" s="63"/>
      <c r="D72" s="64"/>
      <c r="E72" s="65" t="s">
        <v>10</v>
      </c>
      <c r="F72" s="134">
        <v>0.69037598382646514</v>
      </c>
      <c r="G72" s="47">
        <v>4.8119844544751489E-2</v>
      </c>
      <c r="H72" s="62"/>
      <c r="I72" s="63"/>
      <c r="J72" s="65" t="s">
        <v>10</v>
      </c>
      <c r="K72" s="134">
        <v>0.59543695275383568</v>
      </c>
      <c r="L72" s="49">
        <v>9.3969796203496214E-2</v>
      </c>
      <c r="M72" s="42"/>
    </row>
    <row r="73" spans="3:13" ht="24.75" hidden="1" customHeight="1" x14ac:dyDescent="0.2">
      <c r="C73" s="67"/>
      <c r="D73" s="68"/>
      <c r="E73" s="69" t="s">
        <v>11</v>
      </c>
      <c r="F73" s="135">
        <v>0</v>
      </c>
      <c r="G73" s="71">
        <v>-1</v>
      </c>
      <c r="H73" s="62"/>
      <c r="I73" s="67"/>
      <c r="J73" s="69" t="s">
        <v>11</v>
      </c>
      <c r="K73" s="135">
        <v>0.15305892937471885</v>
      </c>
      <c r="L73" s="56" t="s">
        <v>38</v>
      </c>
      <c r="M73" s="42"/>
    </row>
    <row r="74" spans="3:13" ht="24.75" customHeight="1" x14ac:dyDescent="0.2">
      <c r="C74" s="72" t="s">
        <v>13</v>
      </c>
      <c r="D74" s="73"/>
      <c r="E74" s="74" t="s">
        <v>8</v>
      </c>
      <c r="F74" s="136">
        <v>0.50110309462763103</v>
      </c>
      <c r="G74" s="61">
        <v>0.10578886553986377</v>
      </c>
      <c r="H74" s="62"/>
      <c r="I74" s="72" t="s">
        <v>13</v>
      </c>
      <c r="J74" s="74" t="s">
        <v>8</v>
      </c>
      <c r="K74" s="136">
        <v>0.43270680273252521</v>
      </c>
      <c r="L74" s="41">
        <v>4.9531826895381048E-2</v>
      </c>
      <c r="M74" s="42"/>
    </row>
    <row r="75" spans="3:13" ht="24.75" customHeight="1" x14ac:dyDescent="0.2">
      <c r="C75" s="76"/>
      <c r="D75" s="77"/>
      <c r="E75" s="78" t="s">
        <v>10</v>
      </c>
      <c r="F75" s="137">
        <v>0.61295903560665255</v>
      </c>
      <c r="G75" s="47">
        <v>0.33745699176978872</v>
      </c>
      <c r="H75" s="62"/>
      <c r="I75" s="76"/>
      <c r="J75" s="78" t="s">
        <v>10</v>
      </c>
      <c r="K75" s="137">
        <v>0.45974682603119132</v>
      </c>
      <c r="L75" s="49">
        <v>-2.2582232890621112E-3</v>
      </c>
      <c r="M75" s="42"/>
    </row>
    <row r="76" spans="3:13" ht="24.75" customHeight="1" thickBot="1" x14ac:dyDescent="0.25">
      <c r="C76" s="80"/>
      <c r="D76" s="81"/>
      <c r="E76" s="82" t="s">
        <v>11</v>
      </c>
      <c r="F76" s="138">
        <v>0.37282386072708651</v>
      </c>
      <c r="G76" s="71">
        <v>-0.16144770694588806</v>
      </c>
      <c r="H76" s="62"/>
      <c r="I76" s="80"/>
      <c r="J76" s="82" t="s">
        <v>11</v>
      </c>
      <c r="K76" s="138">
        <v>0.391642789594772</v>
      </c>
      <c r="L76" s="56">
        <v>0.18524091458091441</v>
      </c>
      <c r="M76" s="42"/>
    </row>
    <row r="77" spans="3:13" ht="24.75" customHeight="1" x14ac:dyDescent="0.2">
      <c r="C77" s="57" t="s">
        <v>14</v>
      </c>
      <c r="D77" s="58"/>
      <c r="E77" s="59" t="s">
        <v>8</v>
      </c>
      <c r="F77" s="133">
        <v>0.74697894346963711</v>
      </c>
      <c r="G77" s="61">
        <v>2.7127030964812171E-2</v>
      </c>
      <c r="H77" s="62"/>
      <c r="I77" s="57" t="s">
        <v>14</v>
      </c>
      <c r="J77" s="59" t="s">
        <v>8</v>
      </c>
      <c r="K77" s="133">
        <v>0.72148506884570007</v>
      </c>
      <c r="L77" s="41">
        <v>0.18829407511716334</v>
      </c>
      <c r="M77" s="42"/>
    </row>
    <row r="78" spans="3:13" ht="24.75" customHeight="1" x14ac:dyDescent="0.2">
      <c r="C78" s="63"/>
      <c r="D78" s="64"/>
      <c r="E78" s="65" t="s">
        <v>10</v>
      </c>
      <c r="F78" s="134">
        <v>0.76506647493036684</v>
      </c>
      <c r="G78" s="47">
        <v>1.0423982922206587E-2</v>
      </c>
      <c r="H78" s="62"/>
      <c r="I78" s="63"/>
      <c r="J78" s="65" t="s">
        <v>10</v>
      </c>
      <c r="K78" s="134">
        <v>0.7525376098113995</v>
      </c>
      <c r="L78" s="49">
        <v>0.16723712602796392</v>
      </c>
      <c r="M78" s="42"/>
    </row>
    <row r="79" spans="3:13" ht="24.75" customHeight="1" thickBot="1" x14ac:dyDescent="0.25">
      <c r="C79" s="67"/>
      <c r="D79" s="68"/>
      <c r="E79" s="69" t="s">
        <v>11</v>
      </c>
      <c r="F79" s="135">
        <v>0.70730826624417387</v>
      </c>
      <c r="G79" s="71">
        <v>6.8648844850143664E-2</v>
      </c>
      <c r="H79" s="62"/>
      <c r="I79" s="67"/>
      <c r="J79" s="69" t="s">
        <v>11</v>
      </c>
      <c r="K79" s="135">
        <v>0.65448023285568069</v>
      </c>
      <c r="L79" s="56">
        <v>0.24589714667269646</v>
      </c>
      <c r="M79" s="42"/>
    </row>
    <row r="80" spans="3:13" ht="24.75" customHeight="1" x14ac:dyDescent="0.2">
      <c r="C80" s="84" t="s">
        <v>15</v>
      </c>
      <c r="D80" s="85"/>
      <c r="E80" s="86" t="s">
        <v>8</v>
      </c>
      <c r="F80" s="139">
        <v>0.72302365063708363</v>
      </c>
      <c r="G80" s="61">
        <v>3.9471560975272713E-3</v>
      </c>
      <c r="H80" s="62"/>
      <c r="I80" s="84" t="s">
        <v>15</v>
      </c>
      <c r="J80" s="86" t="s">
        <v>8</v>
      </c>
      <c r="K80" s="139">
        <v>0.73559820777392271</v>
      </c>
      <c r="L80" s="41">
        <v>6.443767115656085E-2</v>
      </c>
      <c r="M80" s="42"/>
    </row>
    <row r="81" spans="3:13" ht="24.75" customHeight="1" x14ac:dyDescent="0.2">
      <c r="C81" s="88"/>
      <c r="D81" s="89"/>
      <c r="E81" s="90" t="s">
        <v>10</v>
      </c>
      <c r="F81" s="140">
        <v>0.81061406195419927</v>
      </c>
      <c r="G81" s="47">
        <v>1.058327958863714E-2</v>
      </c>
      <c r="H81" s="62"/>
      <c r="I81" s="88"/>
      <c r="J81" s="90" t="s">
        <v>10</v>
      </c>
      <c r="K81" s="140">
        <v>0.82979360921658263</v>
      </c>
      <c r="L81" s="49">
        <v>5.515940169409439E-2</v>
      </c>
      <c r="M81" s="42"/>
    </row>
    <row r="82" spans="3:13" ht="24.75" customHeight="1" thickBot="1" x14ac:dyDescent="0.25">
      <c r="C82" s="92"/>
      <c r="D82" s="93"/>
      <c r="E82" s="94" t="s">
        <v>11</v>
      </c>
      <c r="F82" s="141">
        <v>0.61415790524865699</v>
      </c>
      <c r="G82" s="71">
        <v>-6.2987735066462047E-3</v>
      </c>
      <c r="H82" s="62"/>
      <c r="I82" s="92"/>
      <c r="J82" s="94" t="s">
        <v>11</v>
      </c>
      <c r="K82" s="141">
        <v>0.61760863621173301</v>
      </c>
      <c r="L82" s="56">
        <v>6.1358806254481868E-2</v>
      </c>
      <c r="M82" s="42"/>
    </row>
    <row r="83" spans="3:13" ht="5.25" customHeight="1" thickBot="1" x14ac:dyDescent="0.25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3:13" ht="20.100000000000001" customHeight="1" thickBot="1" x14ac:dyDescent="0.25">
      <c r="C84" s="27" t="s">
        <v>19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3" ht="5.25" customHeight="1" thickBot="1" x14ac:dyDescent="0.25">
      <c r="C85" s="142"/>
      <c r="D85" s="30"/>
      <c r="E85" s="30"/>
      <c r="F85" s="30"/>
      <c r="G85" s="30"/>
      <c r="H85" s="30"/>
      <c r="I85" s="30"/>
      <c r="J85" s="30"/>
      <c r="K85" s="30"/>
      <c r="L85" s="30"/>
      <c r="M85" s="97"/>
    </row>
    <row r="86" spans="3:13" ht="33.75" customHeight="1" x14ac:dyDescent="0.2">
      <c r="C86" s="57" t="s">
        <v>7</v>
      </c>
      <c r="D86" s="58"/>
      <c r="E86" s="59" t="s">
        <v>20</v>
      </c>
      <c r="F86" s="60">
        <v>47811</v>
      </c>
      <c r="G86" s="61">
        <v>7.0315648085963689E-2</v>
      </c>
      <c r="H86" s="143"/>
      <c r="I86" s="57" t="s">
        <v>7</v>
      </c>
      <c r="J86" s="59" t="s">
        <v>20</v>
      </c>
      <c r="K86" s="60">
        <v>579922</v>
      </c>
      <c r="L86" s="41">
        <v>6.7390872212446773E-2</v>
      </c>
      <c r="M86" s="42" t="s">
        <v>9</v>
      </c>
    </row>
    <row r="87" spans="3:13" ht="33.75" customHeight="1" x14ac:dyDescent="0.2">
      <c r="C87" s="63"/>
      <c r="D87" s="64"/>
      <c r="E87" s="90" t="s">
        <v>21</v>
      </c>
      <c r="F87" s="91">
        <v>169552</v>
      </c>
      <c r="G87" s="47">
        <v>1.3630494045626218E-2</v>
      </c>
      <c r="H87" s="62"/>
      <c r="I87" s="63"/>
      <c r="J87" s="90" t="s">
        <v>21</v>
      </c>
      <c r="K87" s="91">
        <v>2232553</v>
      </c>
      <c r="L87" s="49">
        <v>9.706524201446376E-2</v>
      </c>
      <c r="M87" s="42"/>
    </row>
    <row r="88" spans="3:13" ht="33.75" customHeight="1" x14ac:dyDescent="0.2">
      <c r="C88" s="63"/>
      <c r="D88" s="64"/>
      <c r="E88" s="65" t="s">
        <v>22</v>
      </c>
      <c r="F88" s="66">
        <v>55528</v>
      </c>
      <c r="G88" s="47">
        <v>-5.1014304513526953E-2</v>
      </c>
      <c r="H88" s="62"/>
      <c r="I88" s="63"/>
      <c r="J88" s="65" t="s">
        <v>22</v>
      </c>
      <c r="K88" s="66">
        <v>767518</v>
      </c>
      <c r="L88" s="49">
        <v>0.11253034926110872</v>
      </c>
      <c r="M88" s="42"/>
    </row>
    <row r="89" spans="3:13" ht="33.75" customHeight="1" x14ac:dyDescent="0.2">
      <c r="C89" s="63"/>
      <c r="D89" s="64"/>
      <c r="E89" s="90" t="s">
        <v>23</v>
      </c>
      <c r="F89" s="91">
        <v>14463</v>
      </c>
      <c r="G89" s="47">
        <v>3.3809864188706129E-2</v>
      </c>
      <c r="H89" s="62"/>
      <c r="I89" s="63"/>
      <c r="J89" s="90" t="s">
        <v>23</v>
      </c>
      <c r="K89" s="91">
        <v>160526</v>
      </c>
      <c r="L89" s="49">
        <v>0.18360184331797225</v>
      </c>
      <c r="M89" s="42"/>
    </row>
    <row r="90" spans="3:13" ht="33.75" customHeight="1" thickBot="1" x14ac:dyDescent="0.25">
      <c r="C90" s="67"/>
      <c r="D90" s="68"/>
      <c r="E90" s="69" t="s">
        <v>24</v>
      </c>
      <c r="F90" s="70">
        <v>5311</v>
      </c>
      <c r="G90" s="71">
        <v>-2.3713235294117618E-2</v>
      </c>
      <c r="H90" s="144"/>
      <c r="I90" s="67"/>
      <c r="J90" s="69" t="s">
        <v>24</v>
      </c>
      <c r="K90" s="70">
        <v>59762</v>
      </c>
      <c r="L90" s="56">
        <v>0.11090043869432664</v>
      </c>
      <c r="M90" s="42"/>
    </row>
    <row r="91" spans="3:13" ht="5.25" customHeight="1" thickBot="1" x14ac:dyDescent="0.25"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3:13" ht="20.100000000000001" customHeight="1" thickBot="1" x14ac:dyDescent="0.25">
      <c r="C92" s="27" t="s">
        <v>25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3" ht="5.25" customHeight="1" thickBot="1" x14ac:dyDescent="0.25">
      <c r="C93" s="142"/>
      <c r="D93" s="30"/>
      <c r="E93" s="30"/>
      <c r="F93" s="30"/>
      <c r="G93" s="30"/>
      <c r="H93" s="30"/>
      <c r="I93" s="30"/>
      <c r="J93" s="30"/>
      <c r="K93" s="30"/>
      <c r="L93" s="30"/>
      <c r="M93" s="97"/>
    </row>
    <row r="94" spans="3:13" s="145" customFormat="1" ht="33.75" customHeight="1" x14ac:dyDescent="0.2">
      <c r="C94" s="57" t="s">
        <v>7</v>
      </c>
      <c r="D94" s="58"/>
      <c r="E94" s="59" t="s">
        <v>20</v>
      </c>
      <c r="F94" s="60">
        <v>360366</v>
      </c>
      <c r="G94" s="61">
        <v>0.12757788812646087</v>
      </c>
      <c r="H94" s="143"/>
      <c r="I94" s="57" t="s">
        <v>7</v>
      </c>
      <c r="J94" s="59" t="s">
        <v>20</v>
      </c>
      <c r="K94" s="60">
        <v>3951016</v>
      </c>
      <c r="L94" s="41">
        <v>6.7756453063091859E-2</v>
      </c>
      <c r="M94" s="42" t="s">
        <v>9</v>
      </c>
    </row>
    <row r="95" spans="3:13" s="145" customFormat="1" ht="33.75" customHeight="1" x14ac:dyDescent="0.2">
      <c r="C95" s="63"/>
      <c r="D95" s="64"/>
      <c r="E95" s="90" t="s">
        <v>21</v>
      </c>
      <c r="F95" s="91">
        <v>1428497</v>
      </c>
      <c r="G95" s="47">
        <v>7.0447457321234364E-3</v>
      </c>
      <c r="H95" s="62"/>
      <c r="I95" s="63"/>
      <c r="J95" s="90" t="s">
        <v>21</v>
      </c>
      <c r="K95" s="91">
        <v>17223339</v>
      </c>
      <c r="L95" s="49">
        <v>0.10588653556511307</v>
      </c>
      <c r="M95" s="42" t="s">
        <v>26</v>
      </c>
    </row>
    <row r="96" spans="3:13" s="145" customFormat="1" ht="33.75" customHeight="1" x14ac:dyDescent="0.2">
      <c r="C96" s="63"/>
      <c r="D96" s="64"/>
      <c r="E96" s="65" t="s">
        <v>22</v>
      </c>
      <c r="F96" s="66">
        <v>419762</v>
      </c>
      <c r="G96" s="47">
        <v>-4.8432764260632477E-2</v>
      </c>
      <c r="H96" s="62"/>
      <c r="I96" s="63"/>
      <c r="J96" s="65" t="s">
        <v>22</v>
      </c>
      <c r="K96" s="66">
        <v>5222243</v>
      </c>
      <c r="L96" s="49">
        <v>0.10298046429895247</v>
      </c>
      <c r="M96" s="42" t="s">
        <v>26</v>
      </c>
    </row>
    <row r="97" spans="3:15" s="145" customFormat="1" ht="33.75" customHeight="1" x14ac:dyDescent="0.2">
      <c r="C97" s="63"/>
      <c r="D97" s="64"/>
      <c r="E97" s="90" t="s">
        <v>23</v>
      </c>
      <c r="F97" s="91">
        <v>60311</v>
      </c>
      <c r="G97" s="47">
        <v>6.2505505346792889E-2</v>
      </c>
      <c r="H97" s="62"/>
      <c r="I97" s="63"/>
      <c r="J97" s="90" t="s">
        <v>23</v>
      </c>
      <c r="K97" s="91">
        <v>649672</v>
      </c>
      <c r="L97" s="49">
        <v>0.15030170826369016</v>
      </c>
      <c r="M97" s="42" t="s">
        <v>26</v>
      </c>
    </row>
    <row r="98" spans="3:15" s="145" customFormat="1" ht="33.75" customHeight="1" thickBot="1" x14ac:dyDescent="0.25">
      <c r="C98" s="67"/>
      <c r="D98" s="68"/>
      <c r="E98" s="69" t="s">
        <v>24</v>
      </c>
      <c r="F98" s="70">
        <v>22375</v>
      </c>
      <c r="G98" s="71">
        <v>3.6695547421581765E-2</v>
      </c>
      <c r="H98" s="144"/>
      <c r="I98" s="67"/>
      <c r="J98" s="69" t="s">
        <v>24</v>
      </c>
      <c r="K98" s="70">
        <v>240555</v>
      </c>
      <c r="L98" s="56">
        <v>8.5287230826840421E-2</v>
      </c>
      <c r="M98" s="42" t="s">
        <v>26</v>
      </c>
    </row>
    <row r="99" spans="3:15" ht="5.25" customHeight="1" thickBot="1" x14ac:dyDescent="0.25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3:15" ht="20.100000000000001" customHeight="1" thickBot="1" x14ac:dyDescent="0.25">
      <c r="C100" s="27" t="s">
        <v>27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5" ht="5.25" customHeight="1" thickBot="1" x14ac:dyDescent="0.25">
      <c r="C101" s="142"/>
      <c r="D101" s="30"/>
      <c r="E101" s="30"/>
      <c r="F101" s="30"/>
      <c r="G101" s="30"/>
      <c r="H101" s="30"/>
      <c r="I101" s="30"/>
      <c r="J101" s="30"/>
      <c r="K101" s="30"/>
      <c r="L101" s="30"/>
      <c r="M101" s="97"/>
    </row>
    <row r="102" spans="3:15" ht="33.75" customHeight="1" x14ac:dyDescent="0.2">
      <c r="C102" s="57" t="s">
        <v>7</v>
      </c>
      <c r="D102" s="58"/>
      <c r="E102" s="59" t="s">
        <v>20</v>
      </c>
      <c r="F102" s="146">
        <v>7.5373031310786223</v>
      </c>
      <c r="G102" s="101">
        <v>0.38276988729084493</v>
      </c>
      <c r="H102" s="143"/>
      <c r="I102" s="57" t="s">
        <v>7</v>
      </c>
      <c r="J102" s="59" t="s">
        <v>20</v>
      </c>
      <c r="K102" s="146">
        <v>6.8130127844779125</v>
      </c>
      <c r="L102" s="102">
        <v>2.332654606826523E-3</v>
      </c>
      <c r="M102" s="42" t="s">
        <v>9</v>
      </c>
    </row>
    <row r="103" spans="3:15" ht="33.75" customHeight="1" x14ac:dyDescent="0.2">
      <c r="C103" s="63"/>
      <c r="D103" s="64"/>
      <c r="E103" s="78" t="s">
        <v>21</v>
      </c>
      <c r="F103" s="147">
        <v>8.4251262149665003</v>
      </c>
      <c r="G103" s="104">
        <v>-5.5097612093616632E-2</v>
      </c>
      <c r="H103" s="62"/>
      <c r="I103" s="63"/>
      <c r="J103" s="78" t="s">
        <v>21</v>
      </c>
      <c r="K103" s="147">
        <v>7.7146383534903764</v>
      </c>
      <c r="L103" s="105">
        <v>6.1537135469744264E-2</v>
      </c>
      <c r="M103" s="42" t="s">
        <v>26</v>
      </c>
    </row>
    <row r="104" spans="3:15" ht="33.75" customHeight="1" x14ac:dyDescent="0.2">
      <c r="C104" s="63"/>
      <c r="D104" s="64"/>
      <c r="E104" s="65" t="s">
        <v>22</v>
      </c>
      <c r="F104" s="148">
        <v>7.5594654948854636</v>
      </c>
      <c r="G104" s="104">
        <v>2.0508340065167552E-2</v>
      </c>
      <c r="H104" s="62"/>
      <c r="I104" s="63"/>
      <c r="J104" s="65" t="s">
        <v>22</v>
      </c>
      <c r="K104" s="148">
        <v>6.8040658329837216</v>
      </c>
      <c r="L104" s="105">
        <v>-5.8911329876755403E-2</v>
      </c>
      <c r="M104" s="42" t="s">
        <v>26</v>
      </c>
      <c r="O104" s="149"/>
    </row>
    <row r="105" spans="3:15" ht="33.75" customHeight="1" x14ac:dyDescent="0.2">
      <c r="C105" s="63"/>
      <c r="D105" s="64"/>
      <c r="E105" s="78" t="s">
        <v>23</v>
      </c>
      <c r="F105" s="147">
        <v>4.170020051165042</v>
      </c>
      <c r="G105" s="104">
        <v>0.11262190963537844</v>
      </c>
      <c r="H105" s="62"/>
      <c r="I105" s="63"/>
      <c r="J105" s="78" t="s">
        <v>23</v>
      </c>
      <c r="K105" s="147">
        <v>4.0471450107770703</v>
      </c>
      <c r="L105" s="105">
        <v>-0.11716098000634023</v>
      </c>
      <c r="M105" s="42" t="s">
        <v>26</v>
      </c>
    </row>
    <row r="106" spans="3:15" ht="33.75" customHeight="1" thickBot="1" x14ac:dyDescent="0.25">
      <c r="C106" s="67"/>
      <c r="D106" s="68"/>
      <c r="E106" s="69" t="s">
        <v>24</v>
      </c>
      <c r="F106" s="150">
        <v>4.2129542459047258</v>
      </c>
      <c r="G106" s="107">
        <v>0.2454910106106083</v>
      </c>
      <c r="H106" s="144"/>
      <c r="I106" s="67"/>
      <c r="J106" s="69" t="s">
        <v>24</v>
      </c>
      <c r="K106" s="150">
        <v>4.0252166928817648</v>
      </c>
      <c r="L106" s="108">
        <v>-9.4996705883942489E-2</v>
      </c>
      <c r="M106" s="42" t="s">
        <v>26</v>
      </c>
    </row>
    <row r="107" spans="3:15" ht="5.25" customHeight="1" thickBot="1" x14ac:dyDescent="0.25"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3:15" ht="20.100000000000001" customHeight="1" thickBot="1" x14ac:dyDescent="0.25">
      <c r="C108" s="27" t="s">
        <v>28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9"/>
    </row>
    <row r="109" spans="3:15" ht="5.25" customHeight="1" thickBot="1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51"/>
    </row>
    <row r="110" spans="3:15" ht="33.75" customHeight="1" x14ac:dyDescent="0.2">
      <c r="C110" s="57" t="s">
        <v>7</v>
      </c>
      <c r="D110" s="58"/>
      <c r="E110" s="59" t="s">
        <v>20</v>
      </c>
      <c r="F110" s="133">
        <v>0.77617077368093446</v>
      </c>
      <c r="G110" s="61">
        <v>2.6467044582771493E-2</v>
      </c>
      <c r="H110" s="143"/>
      <c r="I110" s="57" t="s">
        <v>7</v>
      </c>
      <c r="J110" s="59" t="s">
        <v>20</v>
      </c>
      <c r="K110" s="133">
        <v>0.79046816492888416</v>
      </c>
      <c r="L110" s="41">
        <v>6.1335162401937593E-2</v>
      </c>
      <c r="M110" s="42" t="s">
        <v>9</v>
      </c>
    </row>
    <row r="111" spans="3:15" ht="33.75" customHeight="1" x14ac:dyDescent="0.2">
      <c r="C111" s="63"/>
      <c r="D111" s="64"/>
      <c r="E111" s="78" t="s">
        <v>21</v>
      </c>
      <c r="F111" s="137">
        <v>0.82170774063547447</v>
      </c>
      <c r="G111" s="47">
        <v>-8.4424974480801218E-5</v>
      </c>
      <c r="H111" s="62"/>
      <c r="I111" s="63"/>
      <c r="J111" s="78" t="s">
        <v>21</v>
      </c>
      <c r="K111" s="137">
        <v>0.8449962566367426</v>
      </c>
      <c r="L111" s="49">
        <v>6.6086862615186037E-2</v>
      </c>
      <c r="M111" s="42" t="s">
        <v>26</v>
      </c>
    </row>
    <row r="112" spans="3:15" ht="33.75" customHeight="1" x14ac:dyDescent="0.2">
      <c r="C112" s="63"/>
      <c r="D112" s="64"/>
      <c r="E112" s="65" t="s">
        <v>22</v>
      </c>
      <c r="F112" s="134">
        <v>0.77548305809629203</v>
      </c>
      <c r="G112" s="47">
        <v>3.0805467270496489E-2</v>
      </c>
      <c r="H112" s="62"/>
      <c r="I112" s="63"/>
      <c r="J112" s="65" t="s">
        <v>22</v>
      </c>
      <c r="K112" s="134">
        <v>0.75434435618650597</v>
      </c>
      <c r="L112" s="49">
        <v>9.5641217959933522E-2</v>
      </c>
      <c r="M112" s="42" t="s">
        <v>26</v>
      </c>
    </row>
    <row r="113" spans="3:19" ht="33.75" customHeight="1" x14ac:dyDescent="0.2">
      <c r="C113" s="63"/>
      <c r="D113" s="64"/>
      <c r="E113" s="78" t="s">
        <v>23</v>
      </c>
      <c r="F113" s="137">
        <v>0.61821294217739375</v>
      </c>
      <c r="G113" s="47">
        <v>5.9804506286489589E-2</v>
      </c>
      <c r="H113" s="62"/>
      <c r="I113" s="63"/>
      <c r="J113" s="78" t="s">
        <v>23</v>
      </c>
      <c r="K113" s="137">
        <v>0.56476225413918946</v>
      </c>
      <c r="L113" s="49">
        <v>0.20342766267795631</v>
      </c>
      <c r="M113" s="42" t="s">
        <v>26</v>
      </c>
    </row>
    <row r="114" spans="3:19" ht="33.75" customHeight="1" thickBot="1" x14ac:dyDescent="0.25">
      <c r="C114" s="67"/>
      <c r="D114" s="68"/>
      <c r="E114" s="69" t="s">
        <v>24</v>
      </c>
      <c r="F114" s="135">
        <v>0.64791220246713388</v>
      </c>
      <c r="G114" s="71">
        <v>8.8809506717460351E-2</v>
      </c>
      <c r="H114" s="144"/>
      <c r="I114" s="67"/>
      <c r="J114" s="69" t="s">
        <v>24</v>
      </c>
      <c r="K114" s="135">
        <v>0.57560610266177892</v>
      </c>
      <c r="L114" s="56">
        <v>0.12273197230908117</v>
      </c>
      <c r="M114" s="42" t="s">
        <v>26</v>
      </c>
    </row>
    <row r="115" spans="3:19" ht="5.25" customHeight="1" thickBot="1" x14ac:dyDescent="0.25">
      <c r="C115" s="152"/>
      <c r="D115" s="152"/>
      <c r="E115" s="153"/>
      <c r="F115" s="96"/>
      <c r="G115" s="154"/>
      <c r="H115" s="155"/>
      <c r="I115" s="96"/>
      <c r="J115" s="154"/>
      <c r="K115" s="153"/>
      <c r="L115" s="152"/>
      <c r="M115" s="156"/>
    </row>
    <row r="116" spans="3:19" ht="17.25" customHeight="1" thickBot="1" x14ac:dyDescent="0.25"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9"/>
    </row>
    <row r="117" spans="3:19" ht="50.25" customHeight="1" thickBot="1" x14ac:dyDescent="0.25">
      <c r="C117" s="2"/>
      <c r="D117" s="2"/>
      <c r="E117" s="3" t="str">
        <f>$E$1</f>
        <v>INDICADORES TURÍSTICOS DE TENERIFE definitivo</v>
      </c>
      <c r="F117" s="3"/>
      <c r="G117" s="3"/>
      <c r="H117" s="3"/>
      <c r="I117" s="3"/>
      <c r="J117" s="3"/>
      <c r="K117" s="3"/>
      <c r="L117" s="2"/>
      <c r="M117" s="2"/>
    </row>
    <row r="118" spans="3:19" s="1" customFormat="1" ht="9" customHeight="1" thickBot="1" x14ac:dyDescent="0.25">
      <c r="C118" s="160"/>
      <c r="D118" s="161"/>
      <c r="E118" s="162"/>
      <c r="F118" s="162"/>
      <c r="G118" s="162"/>
      <c r="H118" s="162"/>
      <c r="I118" s="162"/>
      <c r="J118" s="162"/>
      <c r="K118" s="162"/>
      <c r="L118" s="161"/>
      <c r="M118" s="163"/>
      <c r="O118" s="4"/>
      <c r="P118" s="4"/>
      <c r="Q118" s="4"/>
      <c r="R118" s="4"/>
      <c r="S118" s="4"/>
    </row>
    <row r="119" spans="3:19" ht="33" customHeight="1" thickBot="1" x14ac:dyDescent="0.25">
      <c r="C119" s="164" t="s">
        <v>29</v>
      </c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3:19" ht="20.100000000000001" customHeight="1" x14ac:dyDescent="0.2">
      <c r="C120" s="167"/>
      <c r="D120" s="168"/>
      <c r="E120" s="168"/>
      <c r="F120" s="168"/>
      <c r="G120" s="169" t="str">
        <f>C2</f>
        <v>enero 2017</v>
      </c>
      <c r="H120" s="170"/>
      <c r="I120" s="170"/>
      <c r="J120" s="168"/>
      <c r="K120" s="168"/>
      <c r="L120" s="168"/>
      <c r="M120" s="171"/>
    </row>
    <row r="121" spans="3:19" ht="5.25" customHeight="1" thickBot="1" x14ac:dyDescent="0.25">
      <c r="C121" s="172"/>
      <c r="D121" s="168"/>
      <c r="E121" s="168"/>
      <c r="F121" s="168"/>
      <c r="G121" s="173"/>
      <c r="H121" s="173"/>
      <c r="I121" s="173"/>
      <c r="J121" s="168"/>
      <c r="K121" s="168"/>
      <c r="L121" s="168"/>
      <c r="M121" s="174"/>
    </row>
    <row r="122" spans="3:19" ht="33" customHeight="1" thickTop="1" thickBot="1" x14ac:dyDescent="0.25">
      <c r="C122" s="175"/>
      <c r="D122" s="176" t="s">
        <v>7</v>
      </c>
      <c r="E122" s="177"/>
      <c r="F122" s="176" t="s">
        <v>30</v>
      </c>
      <c r="G122" s="177"/>
      <c r="H122" s="176" t="s">
        <v>31</v>
      </c>
      <c r="I122" s="177"/>
      <c r="J122" s="176" t="s">
        <v>32</v>
      </c>
      <c r="K122" s="177"/>
      <c r="L122" s="176" t="s">
        <v>33</v>
      </c>
      <c r="M122" s="177"/>
    </row>
    <row r="123" spans="3:19" ht="31.5" customHeight="1" thickBot="1" x14ac:dyDescent="0.25">
      <c r="C123" s="178"/>
      <c r="D123" s="179" t="s">
        <v>34</v>
      </c>
      <c r="E123" s="180" t="s">
        <v>35</v>
      </c>
      <c r="F123" s="179" t="s">
        <v>34</v>
      </c>
      <c r="G123" s="180" t="s">
        <v>35</v>
      </c>
      <c r="H123" s="179" t="s">
        <v>34</v>
      </c>
      <c r="I123" s="180" t="s">
        <v>35</v>
      </c>
      <c r="J123" s="179" t="s">
        <v>34</v>
      </c>
      <c r="K123" s="180" t="s">
        <v>35</v>
      </c>
      <c r="L123" s="179" t="s">
        <v>34</v>
      </c>
      <c r="M123" s="180" t="s">
        <v>35</v>
      </c>
    </row>
    <row r="124" spans="3:19" ht="24" customHeight="1" thickBot="1" x14ac:dyDescent="0.25">
      <c r="C124" s="181" t="s">
        <v>36</v>
      </c>
      <c r="D124" s="182">
        <v>59025</v>
      </c>
      <c r="E124" s="183">
        <v>-1.295986622073575E-2</v>
      </c>
      <c r="F124" s="182">
        <v>12674</v>
      </c>
      <c r="G124" s="183">
        <v>-3.9993940312073928E-2</v>
      </c>
      <c r="H124" s="182">
        <v>1608</v>
      </c>
      <c r="I124" s="183">
        <v>0.10363761153054218</v>
      </c>
      <c r="J124" s="182">
        <v>22720</v>
      </c>
      <c r="K124" s="183">
        <v>1.6372908651695495E-2</v>
      </c>
      <c r="L124" s="182">
        <v>22023</v>
      </c>
      <c r="M124" s="183">
        <v>-3.3527888708474118E-2</v>
      </c>
    </row>
    <row r="125" spans="3:19" ht="27" customHeight="1" thickBot="1" x14ac:dyDescent="0.25">
      <c r="C125" s="184" t="s">
        <v>37</v>
      </c>
      <c r="D125" s="185">
        <v>14118.344871713702</v>
      </c>
      <c r="E125" s="186">
        <v>-9.7142954459211839E-2</v>
      </c>
      <c r="F125" s="185" t="s">
        <v>38</v>
      </c>
      <c r="G125" s="186" t="s">
        <v>38</v>
      </c>
      <c r="H125" s="185" t="s">
        <v>38</v>
      </c>
      <c r="I125" s="186" t="s">
        <v>38</v>
      </c>
      <c r="J125" s="185" t="s">
        <v>38</v>
      </c>
      <c r="K125" s="186" t="s">
        <v>38</v>
      </c>
      <c r="L125" s="185" t="s">
        <v>38</v>
      </c>
      <c r="M125" s="186" t="s">
        <v>38</v>
      </c>
    </row>
    <row r="126" spans="3:19" ht="28.5" customHeight="1" thickBot="1" x14ac:dyDescent="0.25">
      <c r="C126" s="187" t="s">
        <v>39</v>
      </c>
      <c r="D126" s="188">
        <v>7062.43776378435</v>
      </c>
      <c r="E126" s="189">
        <v>8.0135876868592248E-3</v>
      </c>
      <c r="F126" s="188" t="s">
        <v>38</v>
      </c>
      <c r="G126" s="189" t="s">
        <v>38</v>
      </c>
      <c r="H126" s="188" t="s">
        <v>38</v>
      </c>
      <c r="I126" s="189" t="s">
        <v>38</v>
      </c>
      <c r="J126" s="188" t="s">
        <v>38</v>
      </c>
      <c r="K126" s="189" t="s">
        <v>38</v>
      </c>
      <c r="L126" s="188" t="s">
        <v>38</v>
      </c>
      <c r="M126" s="189" t="s">
        <v>38</v>
      </c>
    </row>
    <row r="127" spans="3:19" ht="27.75" customHeight="1" thickBot="1" x14ac:dyDescent="0.25">
      <c r="C127" s="187" t="s">
        <v>40</v>
      </c>
      <c r="D127" s="188">
        <v>37844.21736450195</v>
      </c>
      <c r="E127" s="189">
        <v>1.8514184502806064E-2</v>
      </c>
      <c r="F127" s="188" t="s">
        <v>38</v>
      </c>
      <c r="G127" s="189" t="s">
        <v>38</v>
      </c>
      <c r="H127" s="188" t="s">
        <v>38</v>
      </c>
      <c r="I127" s="189" t="s">
        <v>38</v>
      </c>
      <c r="J127" s="188" t="s">
        <v>38</v>
      </c>
      <c r="K127" s="189" t="s">
        <v>38</v>
      </c>
      <c r="L127" s="188" t="s">
        <v>38</v>
      </c>
      <c r="M127" s="189" t="s">
        <v>38</v>
      </c>
    </row>
    <row r="128" spans="3:19" ht="24" customHeight="1" thickBot="1" x14ac:dyDescent="0.25">
      <c r="C128" s="190" t="s">
        <v>41</v>
      </c>
      <c r="D128" s="191">
        <v>11848</v>
      </c>
      <c r="E128" s="189">
        <v>6.9121097274860155E-2</v>
      </c>
      <c r="F128" s="191">
        <v>244</v>
      </c>
      <c r="G128" s="189">
        <v>0.25773195876288657</v>
      </c>
      <c r="H128" s="191">
        <v>120</v>
      </c>
      <c r="I128" s="189">
        <v>0.76470588235294112</v>
      </c>
      <c r="J128" s="191">
        <v>939</v>
      </c>
      <c r="K128" s="189">
        <v>0.63020833333333326</v>
      </c>
      <c r="L128" s="191">
        <v>10545</v>
      </c>
      <c r="M128" s="189">
        <v>2.9383053494728584E-2</v>
      </c>
    </row>
    <row r="129" spans="3:13" ht="24" customHeight="1" thickBot="1" x14ac:dyDescent="0.25">
      <c r="C129" s="192" t="s">
        <v>42</v>
      </c>
      <c r="D129" s="188">
        <v>13812</v>
      </c>
      <c r="E129" s="189">
        <v>5.2824148182025965E-2</v>
      </c>
      <c r="F129" s="188">
        <v>194</v>
      </c>
      <c r="G129" s="189">
        <v>0.22784810126582289</v>
      </c>
      <c r="H129" s="188">
        <v>75</v>
      </c>
      <c r="I129" s="189">
        <v>0.38888888888888884</v>
      </c>
      <c r="J129" s="188">
        <v>765</v>
      </c>
      <c r="K129" s="189">
        <v>0.68131868131868134</v>
      </c>
      <c r="L129" s="188">
        <v>12778</v>
      </c>
      <c r="M129" s="189">
        <v>2.6180533247671001E-2</v>
      </c>
    </row>
    <row r="130" spans="3:13" ht="24" customHeight="1" thickBot="1" x14ac:dyDescent="0.25">
      <c r="C130" s="190" t="s">
        <v>43</v>
      </c>
      <c r="D130" s="191">
        <v>51707</v>
      </c>
      <c r="E130" s="189">
        <v>-6.023154795441743E-2</v>
      </c>
      <c r="F130" s="191">
        <v>976</v>
      </c>
      <c r="G130" s="189">
        <v>-0.11833785004516717</v>
      </c>
      <c r="H130" s="191">
        <v>903</v>
      </c>
      <c r="I130" s="189">
        <v>0.36818181818181817</v>
      </c>
      <c r="J130" s="191">
        <v>21545</v>
      </c>
      <c r="K130" s="189">
        <v>3.0466806963841631E-2</v>
      </c>
      <c r="L130" s="191">
        <v>28283</v>
      </c>
      <c r="M130" s="189">
        <v>-0.12561058554380755</v>
      </c>
    </row>
    <row r="131" spans="3:13" ht="24" customHeight="1" thickBot="1" x14ac:dyDescent="0.25">
      <c r="C131" s="192" t="s">
        <v>44</v>
      </c>
      <c r="D131" s="188">
        <v>13012</v>
      </c>
      <c r="E131" s="189">
        <v>3.5410201320919876E-2</v>
      </c>
      <c r="F131" s="188">
        <v>503</v>
      </c>
      <c r="G131" s="189">
        <v>-0.22615384615384615</v>
      </c>
      <c r="H131" s="188">
        <v>380</v>
      </c>
      <c r="I131" s="189">
        <v>0.32867132867132876</v>
      </c>
      <c r="J131" s="188">
        <v>1997</v>
      </c>
      <c r="K131" s="189">
        <v>-2.1078431372549056E-2</v>
      </c>
      <c r="L131" s="188">
        <v>10132</v>
      </c>
      <c r="M131" s="189">
        <v>5.6407048274423888E-2</v>
      </c>
    </row>
    <row r="132" spans="3:13" ht="24" customHeight="1" thickBot="1" x14ac:dyDescent="0.25">
      <c r="C132" s="190" t="s">
        <v>45</v>
      </c>
      <c r="D132" s="191">
        <v>141921</v>
      </c>
      <c r="E132" s="189">
        <v>3.8975737426611978E-3</v>
      </c>
      <c r="F132" s="191">
        <v>1341</v>
      </c>
      <c r="G132" s="189">
        <v>8.0580177276390108E-2</v>
      </c>
      <c r="H132" s="191">
        <v>349</v>
      </c>
      <c r="I132" s="189">
        <v>0.20761245674740492</v>
      </c>
      <c r="J132" s="191">
        <v>8220</v>
      </c>
      <c r="K132" s="189">
        <v>0.26597874634221474</v>
      </c>
      <c r="L132" s="191">
        <v>132011</v>
      </c>
      <c r="M132" s="189">
        <v>-1.0018973055261782E-2</v>
      </c>
    </row>
    <row r="133" spans="3:13" ht="24" customHeight="1" thickBot="1" x14ac:dyDescent="0.25">
      <c r="C133" s="192" t="s">
        <v>46</v>
      </c>
      <c r="D133" s="188">
        <v>7043</v>
      </c>
      <c r="E133" s="189">
        <v>4.8065476190476186E-2</v>
      </c>
      <c r="F133" s="188">
        <v>137</v>
      </c>
      <c r="G133" s="189">
        <v>-8.0536912751677847E-2</v>
      </c>
      <c r="H133" s="188">
        <v>51</v>
      </c>
      <c r="I133" s="189">
        <v>1.125</v>
      </c>
      <c r="J133" s="188">
        <v>448</v>
      </c>
      <c r="K133" s="189">
        <v>6.1611374407583019E-2</v>
      </c>
      <c r="L133" s="188">
        <v>6407</v>
      </c>
      <c r="M133" s="189">
        <v>4.6040816326530676E-2</v>
      </c>
    </row>
    <row r="134" spans="3:13" ht="24" customHeight="1" thickBot="1" x14ac:dyDescent="0.25">
      <c r="C134" s="190" t="s">
        <v>47</v>
      </c>
      <c r="D134" s="191">
        <v>15684</v>
      </c>
      <c r="E134" s="189">
        <v>-8.0872011251758136E-2</v>
      </c>
      <c r="F134" s="191">
        <v>871</v>
      </c>
      <c r="G134" s="189">
        <v>-3.0066815144766168E-2</v>
      </c>
      <c r="H134" s="191">
        <v>139</v>
      </c>
      <c r="I134" s="189">
        <v>-0.27604166666666663</v>
      </c>
      <c r="J134" s="191">
        <v>1510</v>
      </c>
      <c r="K134" s="189">
        <v>0.16332819722650238</v>
      </c>
      <c r="L134" s="191">
        <v>13164</v>
      </c>
      <c r="M134" s="189">
        <v>-0.10302534750613246</v>
      </c>
    </row>
    <row r="135" spans="3:13" ht="24" customHeight="1" thickBot="1" x14ac:dyDescent="0.25">
      <c r="C135" s="192" t="s">
        <v>48</v>
      </c>
      <c r="D135" s="188">
        <v>70261</v>
      </c>
      <c r="E135" s="189">
        <v>-1.2772235492482742E-2</v>
      </c>
      <c r="F135" s="188">
        <v>1448</v>
      </c>
      <c r="G135" s="189">
        <v>0.22504230118443314</v>
      </c>
      <c r="H135" s="188">
        <v>165</v>
      </c>
      <c r="I135" s="189">
        <v>0.47321428571428581</v>
      </c>
      <c r="J135" s="188">
        <v>11486</v>
      </c>
      <c r="K135" s="189">
        <v>0.15704643900473458</v>
      </c>
      <c r="L135" s="188">
        <v>57162</v>
      </c>
      <c r="M135" s="189">
        <v>-4.6489516088675353E-2</v>
      </c>
    </row>
    <row r="136" spans="3:13" ht="24" customHeight="1" thickBot="1" x14ac:dyDescent="0.25">
      <c r="C136" s="193" t="s">
        <v>49</v>
      </c>
      <c r="D136" s="191">
        <v>27546</v>
      </c>
      <c r="E136" s="189">
        <v>9.1218815254423546E-3</v>
      </c>
      <c r="F136" s="191">
        <v>566</v>
      </c>
      <c r="G136" s="189">
        <v>0.33806146572104012</v>
      </c>
      <c r="H136" s="191">
        <v>62</v>
      </c>
      <c r="I136" s="189">
        <v>0.72222222222222232</v>
      </c>
      <c r="J136" s="191">
        <v>3319</v>
      </c>
      <c r="K136" s="189">
        <v>0.14804565894154265</v>
      </c>
      <c r="L136" s="191">
        <v>23599</v>
      </c>
      <c r="M136" s="189">
        <v>-1.4532091702509686E-2</v>
      </c>
    </row>
    <row r="137" spans="3:13" ht="24" customHeight="1" thickBot="1" x14ac:dyDescent="0.25">
      <c r="C137" s="187" t="s">
        <v>50</v>
      </c>
      <c r="D137" s="188">
        <v>12033</v>
      </c>
      <c r="E137" s="189">
        <v>-2.6219956300072789E-2</v>
      </c>
      <c r="F137" s="188">
        <v>306</v>
      </c>
      <c r="G137" s="189">
        <v>8.5106382978723305E-2</v>
      </c>
      <c r="H137" s="188">
        <v>20</v>
      </c>
      <c r="I137" s="189">
        <v>0.66666666666666674</v>
      </c>
      <c r="J137" s="188">
        <v>1336</v>
      </c>
      <c r="K137" s="189">
        <v>0.37307297019527241</v>
      </c>
      <c r="L137" s="188">
        <v>10371</v>
      </c>
      <c r="M137" s="189">
        <v>-6.4833183047790843E-2</v>
      </c>
    </row>
    <row r="138" spans="3:13" ht="24" customHeight="1" thickBot="1" x14ac:dyDescent="0.25">
      <c r="C138" s="193" t="s">
        <v>51</v>
      </c>
      <c r="D138" s="191">
        <v>14719</v>
      </c>
      <c r="E138" s="189">
        <v>-3.6336257692811347E-2</v>
      </c>
      <c r="F138" s="191">
        <v>226</v>
      </c>
      <c r="G138" s="189">
        <v>0.44871794871794868</v>
      </c>
      <c r="H138" s="191">
        <v>60</v>
      </c>
      <c r="I138" s="189">
        <v>0.13207547169811318</v>
      </c>
      <c r="J138" s="191">
        <v>2032</v>
      </c>
      <c r="K138" s="189">
        <v>0.41209173036831137</v>
      </c>
      <c r="L138" s="191">
        <v>12401</v>
      </c>
      <c r="M138" s="189">
        <v>-8.9901658593864675E-2</v>
      </c>
    </row>
    <row r="139" spans="3:13" ht="24" customHeight="1" thickBot="1" x14ac:dyDescent="0.25">
      <c r="C139" s="187" t="s">
        <v>52</v>
      </c>
      <c r="D139" s="188">
        <v>15963</v>
      </c>
      <c r="E139" s="189">
        <v>-1.7177687476911729E-2</v>
      </c>
      <c r="F139" s="188">
        <v>350</v>
      </c>
      <c r="G139" s="189">
        <v>9.0342679127725756E-2</v>
      </c>
      <c r="H139" s="188">
        <v>23</v>
      </c>
      <c r="I139" s="189">
        <v>1.0909090909090908</v>
      </c>
      <c r="J139" s="188">
        <v>4799</v>
      </c>
      <c r="K139" s="189">
        <v>3.7846020761245658E-2</v>
      </c>
      <c r="L139" s="188">
        <v>10791</v>
      </c>
      <c r="M139" s="189">
        <v>-4.3859649122807043E-2</v>
      </c>
    </row>
    <row r="140" spans="3:13" ht="24" customHeight="1" thickBot="1" x14ac:dyDescent="0.25">
      <c r="C140" s="190" t="s">
        <v>53</v>
      </c>
      <c r="D140" s="191">
        <v>3796</v>
      </c>
      <c r="E140" s="189">
        <v>0.10060887213685121</v>
      </c>
      <c r="F140" s="191">
        <v>163</v>
      </c>
      <c r="G140" s="189">
        <v>9.3959731543624248E-2</v>
      </c>
      <c r="H140" s="191">
        <v>103</v>
      </c>
      <c r="I140" s="189">
        <v>0.53731343283582089</v>
      </c>
      <c r="J140" s="191">
        <v>818</v>
      </c>
      <c r="K140" s="189">
        <v>0.36333333333333329</v>
      </c>
      <c r="L140" s="191">
        <v>2712</v>
      </c>
      <c r="M140" s="189">
        <v>3.0003797949107458E-2</v>
      </c>
    </row>
    <row r="141" spans="3:13" ht="24" customHeight="1" thickBot="1" x14ac:dyDescent="0.25">
      <c r="C141" s="192" t="s">
        <v>54</v>
      </c>
      <c r="D141" s="188">
        <v>3309</v>
      </c>
      <c r="E141" s="189">
        <v>-3.8640325392213848E-2</v>
      </c>
      <c r="F141" s="188">
        <v>82</v>
      </c>
      <c r="G141" s="189">
        <v>-0.31666666666666665</v>
      </c>
      <c r="H141" s="188">
        <v>50</v>
      </c>
      <c r="I141" s="189">
        <v>-0.15254237288135597</v>
      </c>
      <c r="J141" s="188">
        <v>849</v>
      </c>
      <c r="K141" s="189">
        <v>0.27669172932330821</v>
      </c>
      <c r="L141" s="188">
        <v>2328</v>
      </c>
      <c r="M141" s="189">
        <v>-0.10392609699769051</v>
      </c>
    </row>
    <row r="142" spans="3:13" ht="24" customHeight="1" thickBot="1" x14ac:dyDescent="0.25">
      <c r="C142" s="190" t="s">
        <v>55</v>
      </c>
      <c r="D142" s="191">
        <v>7740</v>
      </c>
      <c r="E142" s="189">
        <v>-3.7313432835820892E-2</v>
      </c>
      <c r="F142" s="191">
        <v>251</v>
      </c>
      <c r="G142" s="189">
        <v>0.200956937799043</v>
      </c>
      <c r="H142" s="191">
        <v>34</v>
      </c>
      <c r="I142" s="189">
        <v>-0.30612244897959184</v>
      </c>
      <c r="J142" s="191">
        <v>737</v>
      </c>
      <c r="K142" s="189">
        <v>2.0775623268697974E-2</v>
      </c>
      <c r="L142" s="191">
        <v>6718</v>
      </c>
      <c r="M142" s="189">
        <v>-4.8441926345609065E-2</v>
      </c>
    </row>
    <row r="143" spans="3:13" ht="24" customHeight="1" thickBot="1" x14ac:dyDescent="0.25">
      <c r="C143" s="192" t="s">
        <v>56</v>
      </c>
      <c r="D143" s="188">
        <v>10755</v>
      </c>
      <c r="E143" s="189">
        <v>8.2972510321216442E-2</v>
      </c>
      <c r="F143" s="188">
        <v>339</v>
      </c>
      <c r="G143" s="189">
        <v>0.85245901639344268</v>
      </c>
      <c r="H143" s="188">
        <v>61</v>
      </c>
      <c r="I143" s="189">
        <v>1.9047619047619047</v>
      </c>
      <c r="J143" s="188">
        <v>1393</v>
      </c>
      <c r="K143" s="189">
        <v>7.817337461300311E-2</v>
      </c>
      <c r="L143" s="188">
        <v>8962</v>
      </c>
      <c r="M143" s="189">
        <v>6.2477771191464138E-2</v>
      </c>
    </row>
    <row r="144" spans="3:13" ht="24" customHeight="1" thickBot="1" x14ac:dyDescent="0.25">
      <c r="C144" s="190" t="s">
        <v>57</v>
      </c>
      <c r="D144" s="191">
        <v>10589</v>
      </c>
      <c r="E144" s="189">
        <v>-0.10308317804506184</v>
      </c>
      <c r="F144" s="191">
        <v>714</v>
      </c>
      <c r="G144" s="189">
        <v>0.3600000000000001</v>
      </c>
      <c r="H144" s="191">
        <v>88</v>
      </c>
      <c r="I144" s="189">
        <v>1.1463414634146343</v>
      </c>
      <c r="J144" s="191">
        <v>2446</v>
      </c>
      <c r="K144" s="189">
        <v>5.1590713671539223E-2</v>
      </c>
      <c r="L144" s="191">
        <v>7341</v>
      </c>
      <c r="M144" s="189">
        <v>-0.17646398923042406</v>
      </c>
    </row>
    <row r="145" spans="3:13" ht="24" customHeight="1" thickBot="1" x14ac:dyDescent="0.25">
      <c r="C145" s="192" t="s">
        <v>58</v>
      </c>
      <c r="D145" s="188">
        <v>1195</v>
      </c>
      <c r="E145" s="189">
        <v>0.17618110236220463</v>
      </c>
      <c r="F145" s="188">
        <v>178</v>
      </c>
      <c r="G145" s="189">
        <v>0.21088435374149661</v>
      </c>
      <c r="H145" s="188">
        <v>52</v>
      </c>
      <c r="I145" s="189">
        <v>0.36842105263157898</v>
      </c>
      <c r="J145" s="188">
        <v>182</v>
      </c>
      <c r="K145" s="189">
        <v>-0.14953271028037385</v>
      </c>
      <c r="L145" s="188">
        <v>783</v>
      </c>
      <c r="M145" s="189">
        <v>0.26904376012965958</v>
      </c>
    </row>
    <row r="146" spans="3:13" ht="24" customHeight="1" thickBot="1" x14ac:dyDescent="0.25">
      <c r="C146" s="190" t="s">
        <v>59</v>
      </c>
      <c r="D146" s="191">
        <v>1357</v>
      </c>
      <c r="E146" s="189">
        <v>0.24839006439742417</v>
      </c>
      <c r="F146" s="191">
        <v>307</v>
      </c>
      <c r="G146" s="189">
        <v>0.4279069767441861</v>
      </c>
      <c r="H146" s="191">
        <v>39</v>
      </c>
      <c r="I146" s="189">
        <v>0.18181818181818188</v>
      </c>
      <c r="J146" s="191">
        <v>299</v>
      </c>
      <c r="K146" s="189">
        <v>0.70857142857142863</v>
      </c>
      <c r="L146" s="191">
        <v>712</v>
      </c>
      <c r="M146" s="189">
        <v>7.2289156626506035E-2</v>
      </c>
    </row>
    <row r="147" spans="3:13" ht="24" customHeight="1" thickBot="1" x14ac:dyDescent="0.25">
      <c r="C147" s="192" t="s">
        <v>60</v>
      </c>
      <c r="D147" s="194">
        <v>4291</v>
      </c>
      <c r="E147" s="195">
        <v>0.16224268689057419</v>
      </c>
      <c r="F147" s="194">
        <v>400</v>
      </c>
      <c r="G147" s="195">
        <v>-0.14712153518123672</v>
      </c>
      <c r="H147" s="194">
        <v>66</v>
      </c>
      <c r="I147" s="195">
        <v>0.11864406779661008</v>
      </c>
      <c r="J147" s="194">
        <v>789</v>
      </c>
      <c r="K147" s="195">
        <v>0.15859030837004395</v>
      </c>
      <c r="L147" s="194">
        <v>3036</v>
      </c>
      <c r="M147" s="195">
        <v>0.22271445831655257</v>
      </c>
    </row>
    <row r="148" spans="3:13" ht="30.75" customHeight="1" thickTop="1" thickBot="1" x14ac:dyDescent="0.25">
      <c r="C148" s="196" t="s">
        <v>61</v>
      </c>
      <c r="D148" s="197">
        <v>368320</v>
      </c>
      <c r="E148" s="198">
        <v>-6.0878200423124529E-3</v>
      </c>
      <c r="F148" s="197">
        <v>8148</v>
      </c>
      <c r="G148" s="198">
        <v>7.2669826224328604E-2</v>
      </c>
      <c r="H148" s="197">
        <v>2675</v>
      </c>
      <c r="I148" s="198">
        <v>0.3036062378167641</v>
      </c>
      <c r="J148" s="197">
        <v>54423</v>
      </c>
      <c r="K148" s="198">
        <v>0.11536254457515271</v>
      </c>
      <c r="L148" s="197">
        <v>303074</v>
      </c>
      <c r="M148" s="198">
        <v>-2.9025995245631653E-2</v>
      </c>
    </row>
    <row r="149" spans="3:13" ht="24" customHeight="1" thickBot="1" x14ac:dyDescent="0.25">
      <c r="C149" s="199" t="s">
        <v>8</v>
      </c>
      <c r="D149" s="200">
        <v>427345</v>
      </c>
      <c r="E149" s="201">
        <v>-7.0426789597932693E-3</v>
      </c>
      <c r="F149" s="200">
        <v>20822</v>
      </c>
      <c r="G149" s="201">
        <v>1.1539571112606506E-3</v>
      </c>
      <c r="H149" s="200">
        <v>4283</v>
      </c>
      <c r="I149" s="201">
        <v>0.22057566258193217</v>
      </c>
      <c r="J149" s="200">
        <v>77143</v>
      </c>
      <c r="K149" s="201">
        <v>8.4260977118119973E-2</v>
      </c>
      <c r="L149" s="200">
        <v>325097</v>
      </c>
      <c r="M149" s="201">
        <v>-2.9332290301294917E-2</v>
      </c>
    </row>
    <row r="150" spans="3:13" ht="13.5" thickBot="1" x14ac:dyDescent="0.25">
      <c r="C150" s="18"/>
      <c r="D150" s="5"/>
      <c r="E150" s="5"/>
      <c r="F150" s="5"/>
      <c r="G150" s="5"/>
      <c r="H150" s="5"/>
      <c r="I150" s="5"/>
      <c r="J150" s="5"/>
      <c r="K150" s="5"/>
      <c r="L150" s="5"/>
      <c r="M150" s="202"/>
    </row>
    <row r="151" spans="3:13" ht="35.25" customHeight="1" thickBot="1" x14ac:dyDescent="0.25">
      <c r="C151" s="164" t="s">
        <v>29</v>
      </c>
      <c r="D151" s="165"/>
      <c r="E151" s="165"/>
      <c r="F151" s="165"/>
      <c r="G151" s="165"/>
      <c r="H151" s="165"/>
      <c r="I151" s="165"/>
      <c r="J151" s="165"/>
      <c r="K151" s="165"/>
      <c r="L151" s="165"/>
      <c r="M151" s="166"/>
    </row>
    <row r="152" spans="3:13" ht="20.100000000000001" customHeight="1" x14ac:dyDescent="0.2">
      <c r="C152" s="167"/>
      <c r="D152" s="168"/>
      <c r="E152" s="168"/>
      <c r="F152" s="168"/>
      <c r="G152" s="169" t="str">
        <f>I2</f>
        <v>año 2016</v>
      </c>
      <c r="H152" s="170"/>
      <c r="I152" s="170"/>
      <c r="J152" s="168"/>
      <c r="K152" s="168"/>
      <c r="L152" s="168"/>
      <c r="M152" s="171"/>
    </row>
    <row r="153" spans="3:13" ht="5.25" customHeight="1" thickBot="1" x14ac:dyDescent="0.25">
      <c r="C153" s="172"/>
      <c r="D153" s="168"/>
      <c r="E153" s="168"/>
      <c r="F153" s="168"/>
      <c r="G153" s="173"/>
      <c r="H153" s="173"/>
      <c r="I153" s="173"/>
      <c r="J153" s="168"/>
      <c r="K153" s="168"/>
      <c r="L153" s="168"/>
      <c r="M153" s="174"/>
    </row>
    <row r="154" spans="3:13" ht="32.25" customHeight="1" thickTop="1" thickBot="1" x14ac:dyDescent="0.25">
      <c r="C154" s="175"/>
      <c r="D154" s="176" t="s">
        <v>7</v>
      </c>
      <c r="E154" s="177"/>
      <c r="F154" s="176" t="s">
        <v>30</v>
      </c>
      <c r="G154" s="177"/>
      <c r="H154" s="176" t="s">
        <v>31</v>
      </c>
      <c r="I154" s="177"/>
      <c r="J154" s="176" t="s">
        <v>32</v>
      </c>
      <c r="K154" s="177"/>
      <c r="L154" s="176" t="s">
        <v>33</v>
      </c>
      <c r="M154" s="177"/>
    </row>
    <row r="155" spans="3:13" ht="31.5" customHeight="1" thickBot="1" x14ac:dyDescent="0.25">
      <c r="C155" s="178"/>
      <c r="D155" s="179" t="s">
        <v>62</v>
      </c>
      <c r="E155" s="180" t="s">
        <v>35</v>
      </c>
      <c r="F155" s="179" t="s">
        <v>62</v>
      </c>
      <c r="G155" s="180" t="s">
        <v>35</v>
      </c>
      <c r="H155" s="179" t="s">
        <v>62</v>
      </c>
      <c r="I155" s="180" t="s">
        <v>35</v>
      </c>
      <c r="J155" s="179" t="s">
        <v>62</v>
      </c>
      <c r="K155" s="180" t="s">
        <v>35</v>
      </c>
      <c r="L155" s="179" t="s">
        <v>62</v>
      </c>
      <c r="M155" s="180" t="s">
        <v>35</v>
      </c>
    </row>
    <row r="156" spans="3:13" ht="24" customHeight="1" thickBot="1" x14ac:dyDescent="0.25">
      <c r="C156" s="181" t="s">
        <v>36</v>
      </c>
      <c r="D156" s="182">
        <v>1169226</v>
      </c>
      <c r="E156" s="183">
        <v>-2.3384950005136851E-2</v>
      </c>
      <c r="F156" s="182">
        <v>164845</v>
      </c>
      <c r="G156" s="183">
        <v>8.4556525629469803E-2</v>
      </c>
      <c r="H156" s="182">
        <v>21728</v>
      </c>
      <c r="I156" s="183">
        <v>0.12023097545885753</v>
      </c>
      <c r="J156" s="182">
        <v>458311</v>
      </c>
      <c r="K156" s="183">
        <v>9.6123122548550599E-2</v>
      </c>
      <c r="L156" s="182">
        <v>524342</v>
      </c>
      <c r="M156" s="183">
        <v>-0.13718953323438332</v>
      </c>
    </row>
    <row r="157" spans="3:13" ht="24" customHeight="1" thickBot="1" x14ac:dyDescent="0.25">
      <c r="C157" s="184" t="s">
        <v>37</v>
      </c>
      <c r="D157" s="185">
        <v>315973.06425566756</v>
      </c>
      <c r="E157" s="186">
        <v>-9.7515830179716323E-2</v>
      </c>
      <c r="F157" s="185" t="s">
        <v>38</v>
      </c>
      <c r="G157" s="186" t="s">
        <v>38</v>
      </c>
      <c r="H157" s="185" t="s">
        <v>38</v>
      </c>
      <c r="I157" s="186" t="s">
        <v>38</v>
      </c>
      <c r="J157" s="185" t="s">
        <v>38</v>
      </c>
      <c r="K157" s="186" t="s">
        <v>38</v>
      </c>
      <c r="L157" s="185" t="s">
        <v>38</v>
      </c>
      <c r="M157" s="186" t="s">
        <v>38</v>
      </c>
    </row>
    <row r="158" spans="3:13" ht="24" customHeight="1" thickBot="1" x14ac:dyDescent="0.25">
      <c r="C158" s="187" t="s">
        <v>39</v>
      </c>
      <c r="D158" s="188">
        <v>152045.20922451571</v>
      </c>
      <c r="E158" s="189">
        <v>-0.23899576584113824</v>
      </c>
      <c r="F158" s="188" t="s">
        <v>38</v>
      </c>
      <c r="G158" s="189" t="s">
        <v>38</v>
      </c>
      <c r="H158" s="188" t="s">
        <v>38</v>
      </c>
      <c r="I158" s="189" t="s">
        <v>38</v>
      </c>
      <c r="J158" s="188" t="s">
        <v>38</v>
      </c>
      <c r="K158" s="189" t="s">
        <v>38</v>
      </c>
      <c r="L158" s="188" t="s">
        <v>38</v>
      </c>
      <c r="M158" s="189" t="s">
        <v>38</v>
      </c>
    </row>
    <row r="159" spans="3:13" ht="24" customHeight="1" thickBot="1" x14ac:dyDescent="0.25">
      <c r="C159" s="187" t="s">
        <v>40</v>
      </c>
      <c r="D159" s="188">
        <v>701207.72652040434</v>
      </c>
      <c r="E159" s="189">
        <v>8.3259618818667613E-2</v>
      </c>
      <c r="F159" s="188" t="s">
        <v>38</v>
      </c>
      <c r="G159" s="189" t="s">
        <v>38</v>
      </c>
      <c r="H159" s="188" t="s">
        <v>38</v>
      </c>
      <c r="I159" s="189" t="s">
        <v>38</v>
      </c>
      <c r="J159" s="188" t="s">
        <v>38</v>
      </c>
      <c r="K159" s="189" t="s">
        <v>38</v>
      </c>
      <c r="L159" s="188" t="s">
        <v>38</v>
      </c>
      <c r="M159" s="189" t="s">
        <v>38</v>
      </c>
    </row>
    <row r="160" spans="3:13" ht="24" customHeight="1" thickBot="1" x14ac:dyDescent="0.25">
      <c r="C160" s="190" t="s">
        <v>41</v>
      </c>
      <c r="D160" s="191">
        <v>166893</v>
      </c>
      <c r="E160" s="189">
        <v>0.14194515149027009</v>
      </c>
      <c r="F160" s="191">
        <v>2164</v>
      </c>
      <c r="G160" s="189">
        <v>0.48219178082191783</v>
      </c>
      <c r="H160" s="191">
        <v>879</v>
      </c>
      <c r="I160" s="189">
        <v>0.20246238030095753</v>
      </c>
      <c r="J160" s="191">
        <v>10308</v>
      </c>
      <c r="K160" s="189">
        <v>0.35738741111403738</v>
      </c>
      <c r="L160" s="191">
        <v>153542</v>
      </c>
      <c r="M160" s="189">
        <v>0.12597992123963242</v>
      </c>
    </row>
    <row r="161" spans="3:13" ht="24" customHeight="1" thickBot="1" x14ac:dyDescent="0.25">
      <c r="C161" s="192" t="s">
        <v>42</v>
      </c>
      <c r="D161" s="188">
        <v>155028</v>
      </c>
      <c r="E161" s="189">
        <v>6.1392158070942893E-2</v>
      </c>
      <c r="F161" s="188">
        <v>1511</v>
      </c>
      <c r="G161" s="189">
        <v>0.13268365817091454</v>
      </c>
      <c r="H161" s="188">
        <v>511</v>
      </c>
      <c r="I161" s="189">
        <v>0.23132530120481931</v>
      </c>
      <c r="J161" s="188">
        <v>7317</v>
      </c>
      <c r="K161" s="189">
        <v>0.78987279843444225</v>
      </c>
      <c r="L161" s="188">
        <v>145689</v>
      </c>
      <c r="M161" s="189">
        <v>3.897335691465087E-2</v>
      </c>
    </row>
    <row r="162" spans="3:13" ht="24" customHeight="1" thickBot="1" x14ac:dyDescent="0.25">
      <c r="C162" s="190" t="s">
        <v>43</v>
      </c>
      <c r="D162" s="191">
        <v>656289</v>
      </c>
      <c r="E162" s="189">
        <v>0.11119595675693983</v>
      </c>
      <c r="F162" s="191">
        <v>9462</v>
      </c>
      <c r="G162" s="189">
        <v>5.3123671908201775E-3</v>
      </c>
      <c r="H162" s="191">
        <v>8662</v>
      </c>
      <c r="I162" s="189">
        <v>0.14804506295559983</v>
      </c>
      <c r="J162" s="191">
        <v>239273</v>
      </c>
      <c r="K162" s="189">
        <v>0.15818541770534345</v>
      </c>
      <c r="L162" s="191">
        <v>398892</v>
      </c>
      <c r="M162" s="189">
        <v>8.6706714069715085E-2</v>
      </c>
    </row>
    <row r="163" spans="3:13" ht="24" customHeight="1" thickBot="1" x14ac:dyDescent="0.25">
      <c r="C163" s="192" t="s">
        <v>44</v>
      </c>
      <c r="D163" s="188">
        <v>170132</v>
      </c>
      <c r="E163" s="189">
        <v>7.6522151149016615E-3</v>
      </c>
      <c r="F163" s="188">
        <v>6872</v>
      </c>
      <c r="G163" s="189">
        <v>0.15924426450742235</v>
      </c>
      <c r="H163" s="188">
        <v>3592</v>
      </c>
      <c r="I163" s="189">
        <v>0.22552030023882641</v>
      </c>
      <c r="J163" s="188">
        <v>28582</v>
      </c>
      <c r="K163" s="189">
        <v>-3.8937457969065226E-2</v>
      </c>
      <c r="L163" s="188">
        <v>131086</v>
      </c>
      <c r="M163" s="189">
        <v>6.4879722975099696E-3</v>
      </c>
    </row>
    <row r="164" spans="3:13" ht="24" customHeight="1" thickBot="1" x14ac:dyDescent="0.25">
      <c r="C164" s="190" t="s">
        <v>45</v>
      </c>
      <c r="D164" s="191">
        <v>2049093</v>
      </c>
      <c r="E164" s="189">
        <v>0.16081714645686418</v>
      </c>
      <c r="F164" s="191">
        <v>10715</v>
      </c>
      <c r="G164" s="189">
        <v>0.15252231902764324</v>
      </c>
      <c r="H164" s="191">
        <v>2156</v>
      </c>
      <c r="I164" s="189">
        <v>0.53342816500711243</v>
      </c>
      <c r="J164" s="191">
        <v>90982</v>
      </c>
      <c r="K164" s="189">
        <v>0.43348721423056924</v>
      </c>
      <c r="L164" s="191">
        <v>1945240</v>
      </c>
      <c r="M164" s="189">
        <v>0.15031897455063259</v>
      </c>
    </row>
    <row r="165" spans="3:13" ht="24" customHeight="1" thickBot="1" x14ac:dyDescent="0.25">
      <c r="C165" s="192" t="s">
        <v>46</v>
      </c>
      <c r="D165" s="188">
        <v>93501</v>
      </c>
      <c r="E165" s="189">
        <v>0.1786632714804357</v>
      </c>
      <c r="F165" s="188">
        <v>1136</v>
      </c>
      <c r="G165" s="189">
        <v>0.31633835457705684</v>
      </c>
      <c r="H165" s="188">
        <v>178</v>
      </c>
      <c r="I165" s="189">
        <v>5.3254437869822535E-2</v>
      </c>
      <c r="J165" s="188">
        <v>5648</v>
      </c>
      <c r="K165" s="189">
        <v>0.57369740874895525</v>
      </c>
      <c r="L165" s="188">
        <v>86539</v>
      </c>
      <c r="M165" s="189">
        <v>0.15837873291659421</v>
      </c>
    </row>
    <row r="166" spans="3:13" ht="24" customHeight="1" thickBot="1" x14ac:dyDescent="0.25">
      <c r="C166" s="190" t="s">
        <v>47</v>
      </c>
      <c r="D166" s="191">
        <v>159395</v>
      </c>
      <c r="E166" s="189">
        <v>4.5562778371783352E-2</v>
      </c>
      <c r="F166" s="191">
        <v>7962</v>
      </c>
      <c r="G166" s="189">
        <v>0.10752538600639872</v>
      </c>
      <c r="H166" s="191">
        <v>1399</v>
      </c>
      <c r="I166" s="189">
        <v>5.7512580877066011E-3</v>
      </c>
      <c r="J166" s="191">
        <v>15149</v>
      </c>
      <c r="K166" s="189">
        <v>0.20776528741130518</v>
      </c>
      <c r="L166" s="191">
        <v>134885</v>
      </c>
      <c r="M166" s="189">
        <v>2.7100497997350148E-2</v>
      </c>
    </row>
    <row r="167" spans="3:13" ht="24" customHeight="1" thickBot="1" x14ac:dyDescent="0.25">
      <c r="C167" s="192" t="s">
        <v>48</v>
      </c>
      <c r="D167" s="188">
        <v>410452</v>
      </c>
      <c r="E167" s="189">
        <v>-5.4715460261163917E-2</v>
      </c>
      <c r="F167" s="188">
        <v>8410</v>
      </c>
      <c r="G167" s="189">
        <v>-8.4177284111946027E-2</v>
      </c>
      <c r="H167" s="188">
        <v>580</v>
      </c>
      <c r="I167" s="189">
        <v>0.4285714285714286</v>
      </c>
      <c r="J167" s="188">
        <v>55272</v>
      </c>
      <c r="K167" s="189">
        <v>0.13452933207438722</v>
      </c>
      <c r="L167" s="188">
        <v>346190</v>
      </c>
      <c r="M167" s="189">
        <v>-7.904432792502325E-2</v>
      </c>
    </row>
    <row r="168" spans="3:13" ht="24" customHeight="1" thickBot="1" x14ac:dyDescent="0.25">
      <c r="C168" s="193" t="s">
        <v>49</v>
      </c>
      <c r="D168" s="191">
        <v>146723</v>
      </c>
      <c r="E168" s="189">
        <v>-5.9377504247203228E-2</v>
      </c>
      <c r="F168" s="191">
        <v>3156</v>
      </c>
      <c r="G168" s="189">
        <v>-0.10442678774120318</v>
      </c>
      <c r="H168" s="191">
        <v>211</v>
      </c>
      <c r="I168" s="189">
        <v>0.71544715447154461</v>
      </c>
      <c r="J168" s="191">
        <v>15551</v>
      </c>
      <c r="K168" s="189">
        <v>0.32518108223263731</v>
      </c>
      <c r="L168" s="191">
        <v>127805</v>
      </c>
      <c r="M168" s="189">
        <v>-9.1022239923756909E-2</v>
      </c>
    </row>
    <row r="169" spans="3:13" ht="24" customHeight="1" thickBot="1" x14ac:dyDescent="0.25">
      <c r="C169" s="187" t="s">
        <v>50</v>
      </c>
      <c r="D169" s="188">
        <v>79135</v>
      </c>
      <c r="E169" s="189">
        <v>-8.3279273434965995E-2</v>
      </c>
      <c r="F169" s="188">
        <v>2052</v>
      </c>
      <c r="G169" s="189">
        <v>-0.14854771784232368</v>
      </c>
      <c r="H169" s="188">
        <v>111</v>
      </c>
      <c r="I169" s="189">
        <v>0.60869565217391308</v>
      </c>
      <c r="J169" s="188">
        <v>5968</v>
      </c>
      <c r="K169" s="189">
        <v>0.15279119180992851</v>
      </c>
      <c r="L169" s="188">
        <v>71004</v>
      </c>
      <c r="M169" s="189">
        <v>-9.7422077591905243E-2</v>
      </c>
    </row>
    <row r="170" spans="3:13" ht="24" customHeight="1" thickBot="1" x14ac:dyDescent="0.25">
      <c r="C170" s="193" t="s">
        <v>51</v>
      </c>
      <c r="D170" s="191">
        <v>88750</v>
      </c>
      <c r="E170" s="189">
        <v>-7.562675110143624E-2</v>
      </c>
      <c r="F170" s="191">
        <v>1404</v>
      </c>
      <c r="G170" s="189">
        <v>6.042296072507547E-2</v>
      </c>
      <c r="H170" s="191">
        <v>168</v>
      </c>
      <c r="I170" s="189">
        <v>7.0063694267515908E-2</v>
      </c>
      <c r="J170" s="191">
        <v>8644</v>
      </c>
      <c r="K170" s="189">
        <v>-0.17785809396994479</v>
      </c>
      <c r="L170" s="191">
        <v>78534</v>
      </c>
      <c r="M170" s="189">
        <v>-6.5249476290230479E-2</v>
      </c>
    </row>
    <row r="171" spans="3:13" ht="24" customHeight="1" thickBot="1" x14ac:dyDescent="0.25">
      <c r="C171" s="187" t="s">
        <v>52</v>
      </c>
      <c r="D171" s="188">
        <v>95844</v>
      </c>
      <c r="E171" s="189">
        <v>-4.7971634164145627E-4</v>
      </c>
      <c r="F171" s="188">
        <v>1798</v>
      </c>
      <c r="G171" s="189">
        <v>-6.5974025974026018E-2</v>
      </c>
      <c r="H171" s="188">
        <v>90</v>
      </c>
      <c r="I171" s="189">
        <v>0.57894736842105265</v>
      </c>
      <c r="J171" s="188">
        <v>25109</v>
      </c>
      <c r="K171" s="189">
        <v>0.1792692090926169</v>
      </c>
      <c r="L171" s="188">
        <v>68847</v>
      </c>
      <c r="M171" s="189">
        <v>-5.1903161837611567E-2</v>
      </c>
    </row>
    <row r="172" spans="3:13" ht="24" customHeight="1" thickBot="1" x14ac:dyDescent="0.25">
      <c r="C172" s="190" t="s">
        <v>53</v>
      </c>
      <c r="D172" s="191">
        <v>56228</v>
      </c>
      <c r="E172" s="189">
        <v>7.7040953147147873E-2</v>
      </c>
      <c r="F172" s="191">
        <v>1442</v>
      </c>
      <c r="G172" s="189">
        <v>6.2638172439204221E-2</v>
      </c>
      <c r="H172" s="191">
        <v>807</v>
      </c>
      <c r="I172" s="189">
        <v>0.12395543175487456</v>
      </c>
      <c r="J172" s="191">
        <v>9232</v>
      </c>
      <c r="K172" s="189">
        <v>0.3721759809750298</v>
      </c>
      <c r="L172" s="191">
        <v>44747</v>
      </c>
      <c r="M172" s="189">
        <v>3.0965601456120595E-2</v>
      </c>
    </row>
    <row r="173" spans="3:13" ht="24" customHeight="1" thickBot="1" x14ac:dyDescent="0.25">
      <c r="C173" s="192" t="s">
        <v>54</v>
      </c>
      <c r="D173" s="188">
        <v>33899</v>
      </c>
      <c r="E173" s="189">
        <v>2.6916706105064581E-3</v>
      </c>
      <c r="F173" s="188">
        <v>741</v>
      </c>
      <c r="G173" s="189">
        <v>1.3679890560875485E-2</v>
      </c>
      <c r="H173" s="188">
        <v>396</v>
      </c>
      <c r="I173" s="189">
        <v>0.32441471571906355</v>
      </c>
      <c r="J173" s="188">
        <v>6834</v>
      </c>
      <c r="K173" s="189">
        <v>9.7654995181496895E-2</v>
      </c>
      <c r="L173" s="188">
        <v>25928</v>
      </c>
      <c r="M173" s="189">
        <v>-2.3501054534498356E-2</v>
      </c>
    </row>
    <row r="174" spans="3:13" ht="24" customHeight="1" thickBot="1" x14ac:dyDescent="0.25">
      <c r="C174" s="190" t="s">
        <v>55</v>
      </c>
      <c r="D174" s="191">
        <v>94809</v>
      </c>
      <c r="E174" s="189">
        <v>5.1540560324748741E-2</v>
      </c>
      <c r="F174" s="191">
        <v>2012</v>
      </c>
      <c r="G174" s="189">
        <v>0.36222071767095465</v>
      </c>
      <c r="H174" s="191">
        <v>222</v>
      </c>
      <c r="I174" s="189">
        <v>0.26857142857142846</v>
      </c>
      <c r="J174" s="191">
        <v>7693</v>
      </c>
      <c r="K174" s="189">
        <v>1.9210386857445583E-2</v>
      </c>
      <c r="L174" s="191">
        <v>84882</v>
      </c>
      <c r="M174" s="189">
        <v>4.8417776240705424E-2</v>
      </c>
    </row>
    <row r="175" spans="3:13" ht="24" customHeight="1" thickBot="1" x14ac:dyDescent="0.25">
      <c r="C175" s="192" t="s">
        <v>56</v>
      </c>
      <c r="D175" s="188">
        <v>135996</v>
      </c>
      <c r="E175" s="189">
        <v>0.17754630230927093</v>
      </c>
      <c r="F175" s="188">
        <v>2292</v>
      </c>
      <c r="G175" s="189">
        <v>0.40872771972956357</v>
      </c>
      <c r="H175" s="188">
        <v>279</v>
      </c>
      <c r="I175" s="189">
        <v>0.33492822966507174</v>
      </c>
      <c r="J175" s="188">
        <v>18078</v>
      </c>
      <c r="K175" s="189">
        <v>0.5291828793774318</v>
      </c>
      <c r="L175" s="188">
        <v>115347</v>
      </c>
      <c r="M175" s="189">
        <v>0.13270747203755162</v>
      </c>
    </row>
    <row r="176" spans="3:13" ht="24" customHeight="1" thickBot="1" x14ac:dyDescent="0.25">
      <c r="C176" s="190" t="s">
        <v>57</v>
      </c>
      <c r="D176" s="191">
        <v>152813</v>
      </c>
      <c r="E176" s="189">
        <v>0.13020679249748546</v>
      </c>
      <c r="F176" s="191">
        <v>5534</v>
      </c>
      <c r="G176" s="189">
        <v>0.27540908043327961</v>
      </c>
      <c r="H176" s="191">
        <v>416</v>
      </c>
      <c r="I176" s="189">
        <v>0.13043478260869557</v>
      </c>
      <c r="J176" s="191">
        <v>33052</v>
      </c>
      <c r="K176" s="189">
        <v>0.4684556602097032</v>
      </c>
      <c r="L176" s="191">
        <v>113811</v>
      </c>
      <c r="M176" s="189">
        <v>5.387386219477186E-2</v>
      </c>
    </row>
    <row r="177" spans="3:18" ht="24" customHeight="1" thickBot="1" x14ac:dyDescent="0.25">
      <c r="C177" s="192" t="s">
        <v>58</v>
      </c>
      <c r="D177" s="188">
        <v>17494</v>
      </c>
      <c r="E177" s="189">
        <v>0.17717515644976789</v>
      </c>
      <c r="F177" s="188">
        <v>2211</v>
      </c>
      <c r="G177" s="189">
        <v>0.39848197343453506</v>
      </c>
      <c r="H177" s="188">
        <v>439</v>
      </c>
      <c r="I177" s="189">
        <v>0.1737967914438503</v>
      </c>
      <c r="J177" s="188">
        <v>2610</v>
      </c>
      <c r="K177" s="189">
        <v>0.35514018691588789</v>
      </c>
      <c r="L177" s="188">
        <v>12234</v>
      </c>
      <c r="M177" s="189">
        <v>0.1142076502732241</v>
      </c>
    </row>
    <row r="178" spans="3:18" ht="24" customHeight="1" thickBot="1" x14ac:dyDescent="0.25">
      <c r="C178" s="190" t="s">
        <v>59</v>
      </c>
      <c r="D178" s="191">
        <v>19073</v>
      </c>
      <c r="E178" s="189">
        <v>0.13665077473182352</v>
      </c>
      <c r="F178" s="191">
        <v>3638</v>
      </c>
      <c r="G178" s="189">
        <v>0.24291083020157167</v>
      </c>
      <c r="H178" s="191">
        <v>403</v>
      </c>
      <c r="I178" s="189">
        <v>0.14814814814814814</v>
      </c>
      <c r="J178" s="191">
        <v>3967</v>
      </c>
      <c r="K178" s="189">
        <v>0.15018846042331102</v>
      </c>
      <c r="L178" s="191">
        <v>11065</v>
      </c>
      <c r="M178" s="189">
        <v>0.10066646772107823</v>
      </c>
    </row>
    <row r="179" spans="3:18" ht="24" customHeight="1" thickBot="1" x14ac:dyDescent="0.25">
      <c r="C179" s="192" t="s">
        <v>60</v>
      </c>
      <c r="D179" s="194">
        <v>56443</v>
      </c>
      <c r="E179" s="195">
        <v>0.18326659818452451</v>
      </c>
      <c r="F179" s="194">
        <v>5316</v>
      </c>
      <c r="G179" s="195">
        <v>0.15943293347873499</v>
      </c>
      <c r="H179" s="194">
        <v>628</v>
      </c>
      <c r="I179" s="195">
        <v>0.46386946386946382</v>
      </c>
      <c r="J179" s="194">
        <v>10413</v>
      </c>
      <c r="K179" s="195">
        <v>0.38692061800745869</v>
      </c>
      <c r="L179" s="194">
        <v>40086</v>
      </c>
      <c r="M179" s="195">
        <v>0.13948662554364821</v>
      </c>
    </row>
    <row r="180" spans="3:18" ht="30.75" customHeight="1" thickTop="1" thickBot="1" x14ac:dyDescent="0.25">
      <c r="C180" s="196" t="s">
        <v>61</v>
      </c>
      <c r="D180" s="197">
        <v>4427538</v>
      </c>
      <c r="E180" s="198">
        <v>0.10991345381546247</v>
      </c>
      <c r="F180" s="197">
        <v>71418</v>
      </c>
      <c r="G180" s="198">
        <v>0.12842471164480962</v>
      </c>
      <c r="H180" s="197">
        <v>21547</v>
      </c>
      <c r="I180" s="198">
        <v>0.20260088184405878</v>
      </c>
      <c r="J180" s="197">
        <v>544410</v>
      </c>
      <c r="K180" s="198">
        <v>0.22601334537404649</v>
      </c>
      <c r="L180" s="197">
        <v>3790163</v>
      </c>
      <c r="M180" s="198">
        <v>9.4212241485431836E-2</v>
      </c>
    </row>
    <row r="181" spans="3:18" ht="24" customHeight="1" thickBot="1" x14ac:dyDescent="0.25">
      <c r="C181" s="199" t="s">
        <v>8</v>
      </c>
      <c r="D181" s="200">
        <v>5596764</v>
      </c>
      <c r="E181" s="201">
        <v>7.9142441818426779E-2</v>
      </c>
      <c r="F181" s="200">
        <v>236263</v>
      </c>
      <c r="G181" s="201">
        <v>9.7453119846899305E-2</v>
      </c>
      <c r="H181" s="200">
        <v>43275</v>
      </c>
      <c r="I181" s="201">
        <v>0.15978345348806045</v>
      </c>
      <c r="J181" s="200">
        <v>1002721</v>
      </c>
      <c r="K181" s="201">
        <v>0.16302140299639634</v>
      </c>
      <c r="L181" s="200">
        <v>4314505</v>
      </c>
      <c r="M181" s="201">
        <v>5.9673460325351035E-2</v>
      </c>
    </row>
    <row r="182" spans="3:18" ht="18" customHeight="1" x14ac:dyDescent="0.2">
      <c r="C182" s="4"/>
    </row>
    <row r="183" spans="3:18" ht="17.25" hidden="1" customHeight="1" x14ac:dyDescent="0.2"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9"/>
    </row>
    <row r="184" spans="3:18" ht="21.75" hidden="1" customHeight="1" x14ac:dyDescent="0.2">
      <c r="C184" s="160"/>
      <c r="D184" s="161"/>
      <c r="E184" s="203" t="str">
        <f>$E$1</f>
        <v>INDICADORES TURÍSTICOS DE TENERIFE definitivo</v>
      </c>
      <c r="F184" s="204"/>
      <c r="G184" s="204"/>
      <c r="H184" s="204"/>
      <c r="I184" s="204"/>
      <c r="J184" s="204"/>
      <c r="K184" s="205"/>
      <c r="L184" s="161"/>
      <c r="M184" s="163"/>
    </row>
    <row r="185" spans="3:18" s="1" customFormat="1" ht="21.75" hidden="1" customHeight="1" x14ac:dyDescent="0.2">
      <c r="C185" s="160"/>
      <c r="D185" s="161"/>
      <c r="E185" s="162"/>
      <c r="F185" s="162"/>
      <c r="G185" s="162"/>
      <c r="H185" s="162"/>
      <c r="I185" s="162"/>
      <c r="J185" s="162"/>
      <c r="K185" s="162"/>
      <c r="L185" s="161"/>
      <c r="M185" s="163"/>
    </row>
    <row r="186" spans="3:18" ht="33" hidden="1" customHeight="1" x14ac:dyDescent="0.2">
      <c r="C186" s="206" t="s">
        <v>29</v>
      </c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8"/>
    </row>
    <row r="187" spans="3:18" ht="20.100000000000001" hidden="1" customHeight="1" x14ac:dyDescent="0.2">
      <c r="C187" s="209">
        <f>E3</f>
        <v>0</v>
      </c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1"/>
    </row>
    <row r="188" spans="3:18" ht="17.25" hidden="1" customHeight="1" x14ac:dyDescent="0.2">
      <c r="C188" s="211"/>
      <c r="D188" s="212" t="s">
        <v>24</v>
      </c>
      <c r="E188" s="213"/>
      <c r="F188" s="212" t="s">
        <v>23</v>
      </c>
      <c r="G188" s="213"/>
      <c r="H188" s="212" t="s">
        <v>22</v>
      </c>
      <c r="I188" s="213"/>
      <c r="J188" s="212" t="s">
        <v>21</v>
      </c>
      <c r="K188" s="213"/>
      <c r="L188" s="212" t="s">
        <v>20</v>
      </c>
      <c r="M188" s="213"/>
      <c r="N188" s="212" t="s">
        <v>63</v>
      </c>
      <c r="O188" s="213"/>
      <c r="P188" s="212" t="s">
        <v>64</v>
      </c>
      <c r="Q188" s="213"/>
    </row>
    <row r="189" spans="3:18" ht="28.5" hidden="1" customHeight="1" x14ac:dyDescent="0.2">
      <c r="C189" s="211"/>
      <c r="D189" s="214" t="s">
        <v>35</v>
      </c>
      <c r="E189" s="214" t="s">
        <v>34</v>
      </c>
      <c r="F189" s="214" t="s">
        <v>35</v>
      </c>
      <c r="G189" s="214" t="s">
        <v>34</v>
      </c>
      <c r="H189" s="214" t="s">
        <v>35</v>
      </c>
      <c r="I189" s="214" t="s">
        <v>34</v>
      </c>
      <c r="J189" s="214" t="s">
        <v>35</v>
      </c>
      <c r="K189" s="214" t="s">
        <v>34</v>
      </c>
      <c r="L189" s="214" t="s">
        <v>35</v>
      </c>
      <c r="M189" s="214" t="s">
        <v>34</v>
      </c>
      <c r="N189" s="214" t="s">
        <v>35</v>
      </c>
      <c r="O189" s="214" t="s">
        <v>34</v>
      </c>
      <c r="P189" s="214" t="s">
        <v>35</v>
      </c>
      <c r="Q189" s="214" t="s">
        <v>34</v>
      </c>
    </row>
    <row r="190" spans="3:18" ht="24" hidden="1" customHeight="1" x14ac:dyDescent="0.2">
      <c r="C190" s="215" t="s">
        <v>36</v>
      </c>
      <c r="D190" s="216" t="e">
        <f>VLOOKUP("españa",#REF!,6,FALSE)/VLOOKUP("españa",#REF!,6,FALSE)-1</f>
        <v>#REF!</v>
      </c>
      <c r="E190" s="217" t="e">
        <f>VLOOKUP("españa",#REF!,6,FALSE)</f>
        <v>#REF!</v>
      </c>
      <c r="F190" s="216" t="e">
        <f>VLOOKUP("españa",#REF!,5,FALSE)/VLOOKUP("españa",#REF!,5,FALSE)-1</f>
        <v>#REF!</v>
      </c>
      <c r="G190" s="217" t="e">
        <f>VLOOKUP("españa",#REF!,5,FALSE)</f>
        <v>#REF!</v>
      </c>
      <c r="H190" s="216" t="e">
        <f>VLOOKUP("españa",#REF!,4,FALSE)/VLOOKUP("españa",#REF!,4,FALSE)-1</f>
        <v>#REF!</v>
      </c>
      <c r="I190" s="217" t="e">
        <f>VLOOKUP("españa",#REF!,4,FALSE)</f>
        <v>#REF!</v>
      </c>
      <c r="J190" s="216" t="e">
        <f>VLOOKUP("españa",#REF!,3,FALSE)/VLOOKUP("españa",#REF!,3,FALSE)-1</f>
        <v>#REF!</v>
      </c>
      <c r="K190" s="217" t="e">
        <f>VLOOKUP("españa",#REF!,3,FALSE)</f>
        <v>#REF!</v>
      </c>
      <c r="L190" s="216" t="e">
        <f>VLOOKUP("españa",#REF!,2,FALSE)/VLOOKUP("españa",#REF!,2,FALSE)-1</f>
        <v>#REF!</v>
      </c>
      <c r="M190" s="217" t="e">
        <f>VLOOKUP("españa",#REF!,2,FALSE)</f>
        <v>#REF!</v>
      </c>
      <c r="N190" s="216" t="e">
        <f>VLOOKUP("españa",#REF!,7,FALSE)/VLOOKUP("españa",#REF!,7,FALSE)-1</f>
        <v>#REF!</v>
      </c>
      <c r="O190" s="217" t="e">
        <f>VLOOKUP("españa",#REF!,7,FALSE)</f>
        <v>#REF!</v>
      </c>
      <c r="P190" s="216" t="e">
        <f>VLOOKUP("españa",#REF!,8,FALSE)/VLOOKUP("españa",#REF!,8,FALSE)-1</f>
        <v>#REF!</v>
      </c>
      <c r="Q190" s="217" t="e">
        <f>VLOOKUP("españa",#REF!,8,FALSE)</f>
        <v>#REF!</v>
      </c>
    </row>
    <row r="191" spans="3:18" ht="24" hidden="1" customHeight="1" x14ac:dyDescent="0.2">
      <c r="C191" s="215" t="s">
        <v>41</v>
      </c>
      <c r="D191" s="216" t="e">
        <f>VLOOKUP("holanda",#REF!,6,FALSE)/VLOOKUP("holanda",#REF!,6,FALSE)-1</f>
        <v>#REF!</v>
      </c>
      <c r="E191" s="217" t="e">
        <f>VLOOKUP("holanda",#REF!,6,FALSE)</f>
        <v>#REF!</v>
      </c>
      <c r="F191" s="216" t="e">
        <f>VLOOKUP("holanda",#REF!,5,FALSE)/VLOOKUP("holanda",#REF!,5,FALSE)-1</f>
        <v>#REF!</v>
      </c>
      <c r="G191" s="217" t="e">
        <f>VLOOKUP("holanda",#REF!,5,FALSE)</f>
        <v>#REF!</v>
      </c>
      <c r="H191" s="216" t="e">
        <f>VLOOKUP("holanda",#REF!,4,FALSE)/VLOOKUP("holanda",#REF!,4,FALSE)-1</f>
        <v>#REF!</v>
      </c>
      <c r="I191" s="217" t="e">
        <f>VLOOKUP("holanda",#REF!,4,FALSE)</f>
        <v>#REF!</v>
      </c>
      <c r="J191" s="216" t="e">
        <f>VLOOKUP("holanda",#REF!,3,FALSE)/VLOOKUP("holanda",#REF!,3,FALSE)-1</f>
        <v>#REF!</v>
      </c>
      <c r="K191" s="217" t="e">
        <f>VLOOKUP("holanda",#REF!,3,FALSE)</f>
        <v>#REF!</v>
      </c>
      <c r="L191" s="216" t="e">
        <f>VLOOKUP("holanda",#REF!,2,FALSE)/VLOOKUP("holanda",#REF!,2,FALSE)-1</f>
        <v>#REF!</v>
      </c>
      <c r="M191" s="217" t="e">
        <f>VLOOKUP("holanda",#REF!,2,FALSE)</f>
        <v>#REF!</v>
      </c>
      <c r="N191" s="216" t="e">
        <f>VLOOKUP("holanda",#REF!,7,FALSE)/VLOOKUP("holanda",#REF!,7,FALSE)-1</f>
        <v>#REF!</v>
      </c>
      <c r="O191" s="217" t="e">
        <f>VLOOKUP("holanda",#REF!,7,FALSE)</f>
        <v>#REF!</v>
      </c>
      <c r="P191" s="216" t="e">
        <f>VLOOKUP("holanda",#REF!,8,FALSE)/VLOOKUP("holanda",#REF!,8,FALSE)-1</f>
        <v>#REF!</v>
      </c>
      <c r="Q191" s="217" t="e">
        <f>VLOOKUP("holanda",#REF!,8,FALSE)</f>
        <v>#REF!</v>
      </c>
    </row>
    <row r="192" spans="3:18" ht="24" hidden="1" customHeight="1" x14ac:dyDescent="0.2">
      <c r="C192" s="215" t="s">
        <v>42</v>
      </c>
      <c r="D192" s="216" t="e">
        <f>VLOOKUP("belgica",#REF!,6,FALSE)/VLOOKUP("belgica",#REF!,6,FALSE)-1</f>
        <v>#REF!</v>
      </c>
      <c r="E192" s="217" t="e">
        <f>VLOOKUP("belgica",#REF!,6,FALSE)</f>
        <v>#REF!</v>
      </c>
      <c r="F192" s="216" t="e">
        <f>VLOOKUP("belgica",#REF!,5,FALSE)/VLOOKUP("belgica",#REF!,5,FALSE)-1</f>
        <v>#REF!</v>
      </c>
      <c r="G192" s="217" t="e">
        <f>VLOOKUP("belgica",#REF!,5,FALSE)</f>
        <v>#REF!</v>
      </c>
      <c r="H192" s="216" t="e">
        <f>VLOOKUP("belgica",#REF!,4,FALSE)/VLOOKUP("belgica",#REF!,4,FALSE)-1</f>
        <v>#REF!</v>
      </c>
      <c r="I192" s="217" t="e">
        <f>VLOOKUP("belgica",#REF!,4,FALSE)</f>
        <v>#REF!</v>
      </c>
      <c r="J192" s="216" t="e">
        <f>VLOOKUP("belgica",#REF!,3,FALSE)/VLOOKUP("belgica",#REF!,3,FALSE)-1</f>
        <v>#REF!</v>
      </c>
      <c r="K192" s="217" t="e">
        <f>VLOOKUP("belgica",#REF!,3,FALSE)</f>
        <v>#REF!</v>
      </c>
      <c r="L192" s="216" t="e">
        <f>VLOOKUP("belgica",#REF!,2,FALSE)/VLOOKUP("belgica",#REF!,2,FALSE)-1</f>
        <v>#REF!</v>
      </c>
      <c r="M192" s="217" t="e">
        <f>VLOOKUP("belgica",#REF!,2,FALSE)</f>
        <v>#REF!</v>
      </c>
      <c r="N192" s="216" t="e">
        <f>VLOOKUP("belgica",#REF!,7,FALSE)/VLOOKUP("belgica",#REF!,7,FALSE)-1</f>
        <v>#REF!</v>
      </c>
      <c r="O192" s="217" t="e">
        <f>VLOOKUP("belgica",#REF!,7,FALSE)</f>
        <v>#REF!</v>
      </c>
      <c r="P192" s="216" t="e">
        <f>VLOOKUP("belgica",#REF!,8,FALSE)/VLOOKUP("belgica",#REF!,8,FALSE)-1</f>
        <v>#REF!</v>
      </c>
      <c r="Q192" s="217" t="e">
        <f>VLOOKUP("belgica",#REF!,8,FALSE)</f>
        <v>#REF!</v>
      </c>
    </row>
    <row r="193" spans="3:17" ht="24" hidden="1" customHeight="1" x14ac:dyDescent="0.2">
      <c r="C193" s="215" t="s">
        <v>43</v>
      </c>
      <c r="D193" s="216" t="e">
        <f>VLOOKUP("alemania",#REF!,6,FALSE)/VLOOKUP("alemania",#REF!,6,FALSE)-1</f>
        <v>#REF!</v>
      </c>
      <c r="E193" s="217" t="e">
        <f>VLOOKUP("alemania",#REF!,6,FALSE)</f>
        <v>#REF!</v>
      </c>
      <c r="F193" s="216" t="e">
        <f>VLOOKUP("alemania",#REF!,5,FALSE)/VLOOKUP("alemania",#REF!,5,FALSE)-1</f>
        <v>#REF!</v>
      </c>
      <c r="G193" s="217" t="e">
        <f>VLOOKUP("alemania",#REF!,5,FALSE)</f>
        <v>#REF!</v>
      </c>
      <c r="H193" s="216" t="e">
        <f>VLOOKUP("alemania",#REF!,4,FALSE)/VLOOKUP("alemania",#REF!,4,FALSE)-1</f>
        <v>#REF!</v>
      </c>
      <c r="I193" s="217" t="e">
        <f>VLOOKUP("alemania",#REF!,4,FALSE)</f>
        <v>#REF!</v>
      </c>
      <c r="J193" s="216" t="e">
        <f>VLOOKUP("alemania",#REF!,3,FALSE)/VLOOKUP("alemania",#REF!,3,FALSE)-1</f>
        <v>#REF!</v>
      </c>
      <c r="K193" s="217" t="e">
        <f>VLOOKUP("alemania",#REF!,3,FALSE)</f>
        <v>#REF!</v>
      </c>
      <c r="L193" s="216" t="e">
        <f>VLOOKUP("alemania",#REF!,2,FALSE)/VLOOKUP("alemania",#REF!,2,FALSE)-1</f>
        <v>#REF!</v>
      </c>
      <c r="M193" s="217" t="e">
        <f>VLOOKUP("alemania",#REF!,2,FALSE)</f>
        <v>#REF!</v>
      </c>
      <c r="N193" s="216" t="e">
        <f>VLOOKUP("alemania",#REF!,7,FALSE)/VLOOKUP("alemania",#REF!,7,FALSE)-1</f>
        <v>#REF!</v>
      </c>
      <c r="O193" s="217" t="e">
        <f>VLOOKUP("alemania",#REF!,7,FALSE)</f>
        <v>#REF!</v>
      </c>
      <c r="P193" s="216" t="e">
        <f>VLOOKUP("alemania",#REF!,8,FALSE)/VLOOKUP("alemania",#REF!,8,FALSE)-1</f>
        <v>#REF!</v>
      </c>
      <c r="Q193" s="217" t="e">
        <f>VLOOKUP("alemania",#REF!,8,FALSE)</f>
        <v>#REF!</v>
      </c>
    </row>
    <row r="194" spans="3:17" ht="24" hidden="1" customHeight="1" x14ac:dyDescent="0.2">
      <c r="C194" s="215" t="s">
        <v>44</v>
      </c>
      <c r="D194" s="216" t="e">
        <f>VLOOKUP("francia",#REF!,6,FALSE)/VLOOKUP("francia",#REF!,6,FALSE)-1</f>
        <v>#REF!</v>
      </c>
      <c r="E194" s="217" t="e">
        <f>VLOOKUP("francia",#REF!,6,FALSE)</f>
        <v>#REF!</v>
      </c>
      <c r="F194" s="216" t="e">
        <f>VLOOKUP("francia",#REF!,5,FALSE)/VLOOKUP("francia",#REF!,5,FALSE)-1</f>
        <v>#REF!</v>
      </c>
      <c r="G194" s="217" t="e">
        <f>VLOOKUP("francia",#REF!,5,FALSE)</f>
        <v>#REF!</v>
      </c>
      <c r="H194" s="216" t="e">
        <f>VLOOKUP("francia",#REF!,4,FALSE)/VLOOKUP("francia",#REF!,4,FALSE)-1</f>
        <v>#REF!</v>
      </c>
      <c r="I194" s="217" t="e">
        <f>VLOOKUP("francia",#REF!,4,FALSE)</f>
        <v>#REF!</v>
      </c>
      <c r="J194" s="216" t="e">
        <f>VLOOKUP("francia",#REF!,3,FALSE)/VLOOKUP("francia",#REF!,3,FALSE)-1</f>
        <v>#REF!</v>
      </c>
      <c r="K194" s="217" t="e">
        <f>VLOOKUP("francia",#REF!,3,FALSE)</f>
        <v>#REF!</v>
      </c>
      <c r="L194" s="216" t="e">
        <f>VLOOKUP("francia",#REF!,2,FALSE)/VLOOKUP("francia",#REF!,2,FALSE)-1</f>
        <v>#REF!</v>
      </c>
      <c r="M194" s="217" t="e">
        <f>VLOOKUP("francia",#REF!,2,FALSE)</f>
        <v>#REF!</v>
      </c>
      <c r="N194" s="216" t="e">
        <f>VLOOKUP("francia",#REF!,7,FALSE)/VLOOKUP("francia",#REF!,7,FALSE)-1</f>
        <v>#REF!</v>
      </c>
      <c r="O194" s="217" t="e">
        <f>VLOOKUP("francia",#REF!,7,FALSE)</f>
        <v>#REF!</v>
      </c>
      <c r="P194" s="216" t="e">
        <f>VLOOKUP("francia",#REF!,8,FALSE)/VLOOKUP("francia",#REF!,8,FALSE)-1</f>
        <v>#REF!</v>
      </c>
      <c r="Q194" s="217" t="e">
        <f>VLOOKUP("francia",#REF!,8,FALSE)</f>
        <v>#REF!</v>
      </c>
    </row>
    <row r="195" spans="3:17" ht="24" hidden="1" customHeight="1" x14ac:dyDescent="0.2">
      <c r="C195" s="215" t="s">
        <v>45</v>
      </c>
      <c r="D195" s="216" t="e">
        <f>VLOOKUP("reino unido",#REF!,6,FALSE)/VLOOKUP("reino unido",#REF!,6,FALSE)-1</f>
        <v>#REF!</v>
      </c>
      <c r="E195" s="217" t="e">
        <f>VLOOKUP("reino unido",#REF!,6,FALSE)</f>
        <v>#REF!</v>
      </c>
      <c r="F195" s="216" t="e">
        <f>VLOOKUP("reino unido",#REF!,5,FALSE)/VLOOKUP("reino unido",#REF!,5,FALSE)-1</f>
        <v>#REF!</v>
      </c>
      <c r="G195" s="217" t="e">
        <f>VLOOKUP("reino unido",#REF!,5,FALSE)</f>
        <v>#REF!</v>
      </c>
      <c r="H195" s="216" t="e">
        <f>VLOOKUP("reino unido",#REF!,4,FALSE)/VLOOKUP("reino unido",#REF!,4,FALSE)-1</f>
        <v>#REF!</v>
      </c>
      <c r="I195" s="217" t="e">
        <f>VLOOKUP("reino unido",#REF!,4,FALSE)</f>
        <v>#REF!</v>
      </c>
      <c r="J195" s="216" t="e">
        <f>VLOOKUP("reino unido",#REF!,3,FALSE)/VLOOKUP("reino unido",#REF!,3,FALSE)-1</f>
        <v>#REF!</v>
      </c>
      <c r="K195" s="217" t="e">
        <f>VLOOKUP("reino unido",#REF!,3,FALSE)</f>
        <v>#REF!</v>
      </c>
      <c r="L195" s="216" t="e">
        <f>VLOOKUP("reino unido",#REF!,2,FALSE)/VLOOKUP("reino unido",#REF!,2,FALSE)-1</f>
        <v>#REF!</v>
      </c>
      <c r="M195" s="217" t="e">
        <f>VLOOKUP("reino unido",#REF!,2,FALSE)</f>
        <v>#REF!</v>
      </c>
      <c r="N195" s="216" t="e">
        <f>VLOOKUP("reino unido",#REF!,7,FALSE)/VLOOKUP("reino unido",#REF!,7,FALSE)-1</f>
        <v>#REF!</v>
      </c>
      <c r="O195" s="217" t="e">
        <f>VLOOKUP("reino unido",#REF!,7,FALSE)</f>
        <v>#REF!</v>
      </c>
      <c r="P195" s="216" t="e">
        <f>VLOOKUP("reino unido",#REF!,8,FALSE)/VLOOKUP("reino unido",#REF!,8,FALSE)-1</f>
        <v>#REF!</v>
      </c>
      <c r="Q195" s="217" t="e">
        <f>VLOOKUP("reino unido",#REF!,8,FALSE)</f>
        <v>#REF!</v>
      </c>
    </row>
    <row r="196" spans="3:17" ht="24" hidden="1" customHeight="1" x14ac:dyDescent="0.2">
      <c r="C196" s="215" t="s">
        <v>46</v>
      </c>
      <c r="D196" s="216" t="e">
        <f>VLOOKUP("irlanda",#REF!,6,FALSE)/VLOOKUP("irlanda",#REF!,6,FALSE)-1</f>
        <v>#REF!</v>
      </c>
      <c r="E196" s="217" t="e">
        <f>VLOOKUP("irlanda",#REF!,6,FALSE)</f>
        <v>#REF!</v>
      </c>
      <c r="F196" s="216" t="e">
        <f>VLOOKUP("irlanda",#REF!,5,FALSE)/VLOOKUP("irlanda",#REF!,5,FALSE)-1</f>
        <v>#REF!</v>
      </c>
      <c r="G196" s="217" t="e">
        <f>VLOOKUP("irlanda",#REF!,5,FALSE)</f>
        <v>#REF!</v>
      </c>
      <c r="H196" s="216" t="e">
        <f>VLOOKUP("irlanda",#REF!,4,FALSE)/VLOOKUP("irlanda",#REF!,4,FALSE)-1</f>
        <v>#REF!</v>
      </c>
      <c r="I196" s="217" t="e">
        <f>VLOOKUP("irlanda",#REF!,4,FALSE)</f>
        <v>#REF!</v>
      </c>
      <c r="J196" s="216" t="e">
        <f>VLOOKUP("irlanda",#REF!,3,FALSE)/VLOOKUP("irlanda",#REF!,3,FALSE)-1</f>
        <v>#REF!</v>
      </c>
      <c r="K196" s="217" t="e">
        <f>VLOOKUP("irlanda",#REF!,3,FALSE)</f>
        <v>#REF!</v>
      </c>
      <c r="L196" s="216" t="e">
        <f>VLOOKUP("irlanda",#REF!,2,FALSE)/VLOOKUP("irlanda",#REF!,2,FALSE)-1</f>
        <v>#REF!</v>
      </c>
      <c r="M196" s="217" t="e">
        <f>VLOOKUP("irlanda",#REF!,2,FALSE)</f>
        <v>#REF!</v>
      </c>
      <c r="N196" s="216" t="e">
        <f>VLOOKUP("irlanda",#REF!,7,FALSE)/VLOOKUP("irlanda",#REF!,7,FALSE)-1</f>
        <v>#REF!</v>
      </c>
      <c r="O196" s="217" t="e">
        <f>VLOOKUP("irlanda",#REF!,7,FALSE)</f>
        <v>#REF!</v>
      </c>
      <c r="P196" s="216" t="e">
        <f>VLOOKUP("irlanda",#REF!,8,FALSE)/VLOOKUP("irlanda",#REF!,8,FALSE)-1</f>
        <v>#REF!</v>
      </c>
      <c r="Q196" s="217" t="e">
        <f>VLOOKUP("irlanda",#REF!,8,FALSE)</f>
        <v>#REF!</v>
      </c>
    </row>
    <row r="197" spans="3:17" ht="24" hidden="1" customHeight="1" x14ac:dyDescent="0.2">
      <c r="C197" s="215" t="s">
        <v>47</v>
      </c>
      <c r="D197" s="216" t="e">
        <f>VLOOKUP("italia",#REF!,6,FALSE)/VLOOKUP("italia",#REF!,6,FALSE)-1</f>
        <v>#REF!</v>
      </c>
      <c r="E197" s="217" t="e">
        <f>VLOOKUP("italia",#REF!,6,FALSE)</f>
        <v>#REF!</v>
      </c>
      <c r="F197" s="216" t="e">
        <f>VLOOKUP("italia",#REF!,5,FALSE)/VLOOKUP("italia",#REF!,5,FALSE)-1</f>
        <v>#REF!</v>
      </c>
      <c r="G197" s="217" t="e">
        <f>VLOOKUP("italia",#REF!,5,FALSE)</f>
        <v>#REF!</v>
      </c>
      <c r="H197" s="216" t="e">
        <f>VLOOKUP("italia",#REF!,4,FALSE)/VLOOKUP("italia",#REF!,4,FALSE)-1</f>
        <v>#REF!</v>
      </c>
      <c r="I197" s="217" t="e">
        <f>VLOOKUP("italia",#REF!,4,FALSE)</f>
        <v>#REF!</v>
      </c>
      <c r="J197" s="216" t="e">
        <f>VLOOKUP("italia",#REF!,3,FALSE)/VLOOKUP("italia",#REF!,3,FALSE)-1</f>
        <v>#REF!</v>
      </c>
      <c r="K197" s="217" t="e">
        <f>VLOOKUP("italia",#REF!,3,FALSE)</f>
        <v>#REF!</v>
      </c>
      <c r="L197" s="216" t="e">
        <f>VLOOKUP("italia",#REF!,2,FALSE)/VLOOKUP("italia",#REF!,2,FALSE)-1</f>
        <v>#REF!</v>
      </c>
      <c r="M197" s="217" t="e">
        <f>VLOOKUP("italia",#REF!,2,FALSE)</f>
        <v>#REF!</v>
      </c>
      <c r="N197" s="216" t="e">
        <f>VLOOKUP("italia",#REF!,7,FALSE)/VLOOKUP("italia",#REF!,7,FALSE)-1</f>
        <v>#REF!</v>
      </c>
      <c r="O197" s="217" t="e">
        <f>VLOOKUP("italia",#REF!,7,FALSE)</f>
        <v>#REF!</v>
      </c>
      <c r="P197" s="216" t="e">
        <f>VLOOKUP("italia",#REF!,8,FALSE)/VLOOKUP("italia",#REF!,8,FALSE)-1</f>
        <v>#REF!</v>
      </c>
      <c r="Q197" s="217" t="e">
        <f>VLOOKUP("italia",#REF!,8,FALSE)</f>
        <v>#REF!</v>
      </c>
    </row>
    <row r="198" spans="3:17" ht="24" hidden="1" customHeight="1" x14ac:dyDescent="0.2">
      <c r="C198" s="215" t="s">
        <v>48</v>
      </c>
      <c r="D198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217" t="e">
        <f>(VLOOKUP("suecia",#REF!,6,FALSE)+VLOOKUP("noruega",#REF!,6,FALSE)+VLOOKUP("dinamarca",#REF!,6,FALSE)+VLOOKUP("finlandia",#REF!,6,FALSE))</f>
        <v>#REF!</v>
      </c>
      <c r="F198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217" t="e">
        <f>(VLOOKUP("suecia",#REF!,5,FALSE)+VLOOKUP("noruega",#REF!,5,FALSE)+VLOOKUP("dinamarca",#REF!,5,FALSE)+VLOOKUP("finlandia",#REF!,5,FALSE))</f>
        <v>#REF!</v>
      </c>
      <c r="H198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217" t="e">
        <f>(VLOOKUP("suecia",#REF!,4,FALSE)+VLOOKUP("noruega",#REF!,4,FALSE)+VLOOKUP("dinamarca",#REF!,4,FALSE)+VLOOKUP("finlandia",#REF!,4,FALSE))</f>
        <v>#REF!</v>
      </c>
      <c r="J198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217" t="e">
        <f>(VLOOKUP("suecia",#REF!,3,FALSE)+VLOOKUP("noruega",#REF!,3,FALSE)+VLOOKUP("dinamarca",#REF!,3,FALSE)+VLOOKUP("finlandia",#REF!,3,FALSE))</f>
        <v>#REF!</v>
      </c>
      <c r="L198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217" t="e">
        <f>(VLOOKUP("suecia",#REF!,2,FALSE)+VLOOKUP("noruega",#REF!,2,FALSE)+VLOOKUP("dinamarca",#REF!,2,FALSE)+VLOOKUP("finlandia",#REF!,2,FALSE))</f>
        <v>#REF!</v>
      </c>
      <c r="N198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217" t="e">
        <f>(VLOOKUP("suecia",#REF!,7,FALSE)+VLOOKUP("noruega",#REF!,7,FALSE)+VLOOKUP("dinamarca",#REF!,7,FALSE)+VLOOKUP("finlandia",#REF!,7,FALSE))</f>
        <v>#REF!</v>
      </c>
      <c r="P198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217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218" t="s">
        <v>49</v>
      </c>
      <c r="D199" s="216" t="e">
        <f>VLOOKUP("suecia",#REF!,6,FALSE)/VLOOKUP("suecia",#REF!,6,FALSE)-1</f>
        <v>#REF!</v>
      </c>
      <c r="E199" s="217" t="e">
        <f>VLOOKUP("suecia",#REF!,6,FALSE)</f>
        <v>#REF!</v>
      </c>
      <c r="F199" s="216" t="e">
        <f>VLOOKUP("suecia",#REF!,5,FALSE)/VLOOKUP("suecia",#REF!,5,FALSE)-1</f>
        <v>#REF!</v>
      </c>
      <c r="G199" s="217" t="e">
        <f>VLOOKUP("suecia",#REF!,5,FALSE)</f>
        <v>#REF!</v>
      </c>
      <c r="H199" s="216" t="e">
        <f>VLOOKUP("suecia",#REF!,4,FALSE)/VLOOKUP("suecia",#REF!,4,FALSE)-1</f>
        <v>#REF!</v>
      </c>
      <c r="I199" s="217" t="e">
        <f>VLOOKUP("suecia",#REF!,4,FALSE)</f>
        <v>#REF!</v>
      </c>
      <c r="J199" s="216" t="e">
        <f>VLOOKUP("suecia",#REF!,3,FALSE)/VLOOKUP("suecia",#REF!,3,FALSE)-1</f>
        <v>#REF!</v>
      </c>
      <c r="K199" s="217" t="e">
        <f>VLOOKUP("suecia",#REF!,3,FALSE)</f>
        <v>#REF!</v>
      </c>
      <c r="L199" s="216" t="e">
        <f>VLOOKUP("suecia",#REF!,2,FALSE)/VLOOKUP("suecia",#REF!,2,FALSE)-1</f>
        <v>#REF!</v>
      </c>
      <c r="M199" s="217" t="e">
        <f>VLOOKUP("suecia",#REF!,2,FALSE)</f>
        <v>#REF!</v>
      </c>
      <c r="N199" s="216" t="e">
        <f>VLOOKUP("suecia",#REF!,7,FALSE)/VLOOKUP("suecia",#REF!,7,FALSE)-1</f>
        <v>#REF!</v>
      </c>
      <c r="O199" s="217" t="e">
        <f>VLOOKUP("suecia",#REF!,7,FALSE)</f>
        <v>#REF!</v>
      </c>
      <c r="P199" s="216" t="e">
        <f>VLOOKUP("suecia",#REF!,8,FALSE)/VLOOKUP("suecia",#REF!,8,FALSE)-1</f>
        <v>#REF!</v>
      </c>
      <c r="Q199" s="217" t="e">
        <f>VLOOKUP("suecia",#REF!,8,FALSE)</f>
        <v>#REF!</v>
      </c>
    </row>
    <row r="200" spans="3:17" ht="24" hidden="1" customHeight="1" x14ac:dyDescent="0.2">
      <c r="C200" s="218" t="s">
        <v>50</v>
      </c>
      <c r="D200" s="216" t="e">
        <f>VLOOKUP("noruega",#REF!,6,FALSE)/VLOOKUP("noruega",#REF!,6,FALSE)-1</f>
        <v>#REF!</v>
      </c>
      <c r="E200" s="217" t="e">
        <f>VLOOKUP("noruega",#REF!,6,FALSE)</f>
        <v>#REF!</v>
      </c>
      <c r="F200" s="216" t="e">
        <f>VLOOKUP("noruega",#REF!,5,FALSE)/VLOOKUP("noruega",#REF!,5,FALSE)-1</f>
        <v>#REF!</v>
      </c>
      <c r="G200" s="217" t="e">
        <f>VLOOKUP("noruega",#REF!,5,FALSE)</f>
        <v>#REF!</v>
      </c>
      <c r="H200" s="216" t="e">
        <f>VLOOKUP("noruega",#REF!,4,FALSE)/VLOOKUP("noruega",#REF!,4,FALSE)-1</f>
        <v>#REF!</v>
      </c>
      <c r="I200" s="217" t="e">
        <f>VLOOKUP("noruega",#REF!,4,FALSE)</f>
        <v>#REF!</v>
      </c>
      <c r="J200" s="216" t="e">
        <f>VLOOKUP("noruega",#REF!,3,FALSE)/VLOOKUP("noruega",#REF!,3,FALSE)-1</f>
        <v>#REF!</v>
      </c>
      <c r="K200" s="217" t="e">
        <f>VLOOKUP("noruega",#REF!,3,FALSE)</f>
        <v>#REF!</v>
      </c>
      <c r="L200" s="216" t="e">
        <f>VLOOKUP("noruega",#REF!,2,FALSE)/VLOOKUP("noruega",#REF!,2,FALSE)-1</f>
        <v>#REF!</v>
      </c>
      <c r="M200" s="217" t="e">
        <f>VLOOKUP("noruega",#REF!,2,FALSE)</f>
        <v>#REF!</v>
      </c>
      <c r="N200" s="216" t="e">
        <f>VLOOKUP("noruega",#REF!,7,FALSE)/VLOOKUP("noruega",#REF!,7,FALSE)-1</f>
        <v>#REF!</v>
      </c>
      <c r="O200" s="217" t="e">
        <f>VLOOKUP("noruega",#REF!,7,FALSE)</f>
        <v>#REF!</v>
      </c>
      <c r="P200" s="216" t="e">
        <f>VLOOKUP("noruega",#REF!,8,FALSE)/VLOOKUP("noruega",#REF!,8,FALSE)-1</f>
        <v>#REF!</v>
      </c>
      <c r="Q200" s="217" t="e">
        <f>VLOOKUP("noruega",#REF!,8,FALSE)</f>
        <v>#REF!</v>
      </c>
    </row>
    <row r="201" spans="3:17" ht="24" hidden="1" customHeight="1" x14ac:dyDescent="0.2">
      <c r="C201" s="218" t="s">
        <v>51</v>
      </c>
      <c r="D201" s="216" t="e">
        <f>VLOOKUP("dinamarca",#REF!,6,FALSE)/VLOOKUP("dinamarca",#REF!,6,FALSE)-1</f>
        <v>#REF!</v>
      </c>
      <c r="E201" s="217" t="e">
        <f>VLOOKUP("dinamarca",#REF!,6,FALSE)</f>
        <v>#REF!</v>
      </c>
      <c r="F201" s="216" t="e">
        <f>VLOOKUP("dinamarca",#REF!,5,FALSE)/VLOOKUP("dinamarca",#REF!,5,FALSE)-1</f>
        <v>#REF!</v>
      </c>
      <c r="G201" s="217" t="e">
        <f>VLOOKUP("dinamarca",#REF!,5,FALSE)</f>
        <v>#REF!</v>
      </c>
      <c r="H201" s="216" t="e">
        <f>VLOOKUP("dinamarca",#REF!,4,FALSE)/VLOOKUP("dinamarca",#REF!,4,FALSE)-1</f>
        <v>#REF!</v>
      </c>
      <c r="I201" s="217" t="e">
        <f>VLOOKUP("dinamarca",#REF!,4,FALSE)</f>
        <v>#REF!</v>
      </c>
      <c r="J201" s="216" t="e">
        <f>VLOOKUP("dinamarca",#REF!,3,FALSE)/VLOOKUP("dinamarca",#REF!,3,FALSE)-1</f>
        <v>#REF!</v>
      </c>
      <c r="K201" s="217" t="e">
        <f>VLOOKUP("dinamarca",#REF!,3,FALSE)</f>
        <v>#REF!</v>
      </c>
      <c r="L201" s="216" t="e">
        <f>VLOOKUP("dinamarca",#REF!,2,FALSE)/VLOOKUP("dinamarca",#REF!,2,FALSE)-1</f>
        <v>#REF!</v>
      </c>
      <c r="M201" s="217" t="e">
        <f>VLOOKUP("dinamarca",#REF!,2,FALSE)</f>
        <v>#REF!</v>
      </c>
      <c r="N201" s="216" t="e">
        <f>VLOOKUP("dinamarca",#REF!,7,FALSE)/VLOOKUP("dinamarca",#REF!,7,FALSE)-1</f>
        <v>#REF!</v>
      </c>
      <c r="O201" s="217" t="e">
        <f>VLOOKUP("dinamarca",#REF!,7,FALSE)</f>
        <v>#REF!</v>
      </c>
      <c r="P201" s="216" t="e">
        <f>VLOOKUP("dinamarca",#REF!,8,FALSE)/VLOOKUP("dinamarca",#REF!,8,FALSE)-1</f>
        <v>#REF!</v>
      </c>
      <c r="Q201" s="217" t="e">
        <f>VLOOKUP("dinamarca",#REF!,8,FALSE)</f>
        <v>#REF!</v>
      </c>
    </row>
    <row r="202" spans="3:17" ht="24" hidden="1" customHeight="1" x14ac:dyDescent="0.2">
      <c r="C202" s="218" t="s">
        <v>52</v>
      </c>
      <c r="D202" s="216" t="s">
        <v>38</v>
      </c>
      <c r="E202" s="217" t="e">
        <f>VLOOKUP("finlandia",#REF!,6,FALSE)</f>
        <v>#REF!</v>
      </c>
      <c r="F202" s="216" t="e">
        <f>VLOOKUP("finlandia",#REF!,5,FALSE)/VLOOKUP("finlandia",#REF!,5,FALSE)-1</f>
        <v>#REF!</v>
      </c>
      <c r="G202" s="217" t="e">
        <f>VLOOKUP("finlandia",#REF!,5,FALSE)</f>
        <v>#REF!</v>
      </c>
      <c r="H202" s="216" t="e">
        <f>VLOOKUP("finlandia",#REF!,4,FALSE)/VLOOKUP("finlandia",#REF!,4,FALSE)-1</f>
        <v>#REF!</v>
      </c>
      <c r="I202" s="217" t="e">
        <f>VLOOKUP("finlandia",#REF!,4,FALSE)</f>
        <v>#REF!</v>
      </c>
      <c r="J202" s="216" t="e">
        <f>VLOOKUP("finlandia",#REF!,3,FALSE)/VLOOKUP("finlandia",#REF!,3,FALSE)-1</f>
        <v>#REF!</v>
      </c>
      <c r="K202" s="217" t="e">
        <f>VLOOKUP("finlandia",#REF!,3,FALSE)</f>
        <v>#REF!</v>
      </c>
      <c r="L202" s="216" t="s">
        <v>38</v>
      </c>
      <c r="M202" s="217" t="e">
        <f>VLOOKUP("finlandia",#REF!,2,FALSE)</f>
        <v>#REF!</v>
      </c>
      <c r="N202" s="216" t="e">
        <f>VLOOKUP("finlandia",#REF!,7,FALSE)/VLOOKUP("finlandia",#REF!,7,FALSE)-1</f>
        <v>#REF!</v>
      </c>
      <c r="O202" s="217" t="e">
        <f>VLOOKUP("finlandia",#REF!,7,FALSE)</f>
        <v>#REF!</v>
      </c>
      <c r="P202" s="216" t="e">
        <f>VLOOKUP("finlandia",#REF!,8,FALSE)/VLOOKUP("finlandia",#REF!,8,FALSE)-1</f>
        <v>#REF!</v>
      </c>
      <c r="Q202" s="217" t="e">
        <f>VLOOKUP("finlandia",#REF!,8,FALSE)</f>
        <v>#REF!</v>
      </c>
    </row>
    <row r="203" spans="3:17" ht="24" hidden="1" customHeight="1" x14ac:dyDescent="0.2">
      <c r="C203" s="215" t="s">
        <v>53</v>
      </c>
      <c r="D203" s="216" t="e">
        <f>VLOOKUP("suiza",#REF!,6,FALSE)/VLOOKUP("suiza",#REF!,6,FALSE)-1</f>
        <v>#REF!</v>
      </c>
      <c r="E203" s="217" t="e">
        <f>VLOOKUP("suiza",#REF!,6,FALSE)</f>
        <v>#REF!</v>
      </c>
      <c r="F203" s="216" t="e">
        <f>VLOOKUP("suiza",#REF!,5,FALSE)/VLOOKUP("suiza",#REF!,5,FALSE)-1</f>
        <v>#REF!</v>
      </c>
      <c r="G203" s="217" t="e">
        <f>VLOOKUP("suiza",#REF!,5,FALSE)</f>
        <v>#REF!</v>
      </c>
      <c r="H203" s="216" t="e">
        <f>VLOOKUP("suiza",#REF!,4,FALSE)/VLOOKUP("suiza",#REF!,4,FALSE)-1</f>
        <v>#REF!</v>
      </c>
      <c r="I203" s="217" t="e">
        <f>VLOOKUP("suiza",#REF!,4,FALSE)</f>
        <v>#REF!</v>
      </c>
      <c r="J203" s="216" t="e">
        <f>VLOOKUP("suiza",#REF!,3,FALSE)/VLOOKUP("suiza",#REF!,3,FALSE)-1</f>
        <v>#REF!</v>
      </c>
      <c r="K203" s="217" t="e">
        <f>VLOOKUP("suiza",#REF!,3,FALSE)</f>
        <v>#REF!</v>
      </c>
      <c r="L203" s="216" t="e">
        <f>VLOOKUP("suiza",#REF!,2,FALSE)/VLOOKUP("suiza",#REF!,2,FALSE)-1</f>
        <v>#REF!</v>
      </c>
      <c r="M203" s="217" t="e">
        <f>VLOOKUP("suiza",#REF!,2,FALSE)</f>
        <v>#REF!</v>
      </c>
      <c r="N203" s="216" t="e">
        <f>VLOOKUP("suiza",#REF!,7,FALSE)/VLOOKUP("suiza",#REF!,7,FALSE)-1</f>
        <v>#REF!</v>
      </c>
      <c r="O203" s="217" t="e">
        <f>VLOOKUP("suiza",#REF!,7,FALSE)</f>
        <v>#REF!</v>
      </c>
      <c r="P203" s="216" t="e">
        <f>VLOOKUP("suiza",#REF!,8,FALSE)/VLOOKUP("suiza",#REF!,8,FALSE)-1</f>
        <v>#REF!</v>
      </c>
      <c r="Q203" s="217" t="e">
        <f>VLOOKUP("suiza",#REF!,8,FALSE)</f>
        <v>#REF!</v>
      </c>
    </row>
    <row r="204" spans="3:17" ht="24" hidden="1" customHeight="1" x14ac:dyDescent="0.2">
      <c r="C204" s="215" t="s">
        <v>54</v>
      </c>
      <c r="D204" s="216" t="e">
        <f>VLOOKUP("austria",#REF!,6,FALSE)/VLOOKUP("austria",#REF!,6,FALSE)-1</f>
        <v>#REF!</v>
      </c>
      <c r="E204" s="217" t="e">
        <f>VLOOKUP("austria",#REF!,6,FALSE)</f>
        <v>#REF!</v>
      </c>
      <c r="F204" s="216" t="e">
        <f>VLOOKUP("austria",#REF!,5,FALSE)/VLOOKUP("austria",#REF!,5,FALSE)-1</f>
        <v>#REF!</v>
      </c>
      <c r="G204" s="217" t="e">
        <f>VLOOKUP("austria",#REF!,5,FALSE)</f>
        <v>#REF!</v>
      </c>
      <c r="H204" s="216" t="e">
        <f>VLOOKUP("austria",#REF!,4,FALSE)/VLOOKUP("austria",#REF!,4,FALSE)-1</f>
        <v>#REF!</v>
      </c>
      <c r="I204" s="217" t="e">
        <f>VLOOKUP("austria",#REF!,4,FALSE)</f>
        <v>#REF!</v>
      </c>
      <c r="J204" s="216" t="e">
        <f>VLOOKUP("austria",#REF!,3,FALSE)/VLOOKUP("austria",#REF!,3,FALSE)-1</f>
        <v>#REF!</v>
      </c>
      <c r="K204" s="217" t="e">
        <f>VLOOKUP("austria",#REF!,3,FALSE)</f>
        <v>#REF!</v>
      </c>
      <c r="L204" s="216" t="e">
        <f>VLOOKUP("austria",#REF!,2,FALSE)/VLOOKUP("austria",#REF!,2,FALSE)-1</f>
        <v>#REF!</v>
      </c>
      <c r="M204" s="217" t="e">
        <f>VLOOKUP("austria",#REF!,2,FALSE)</f>
        <v>#REF!</v>
      </c>
      <c r="N204" s="216" t="e">
        <f>VLOOKUP("austria",#REF!,7,FALSE)/VLOOKUP("austria",#REF!,7,FALSE)-1</f>
        <v>#REF!</v>
      </c>
      <c r="O204" s="217" t="e">
        <f>VLOOKUP("austria",#REF!,7,FALSE)</f>
        <v>#REF!</v>
      </c>
      <c r="P204" s="216" t="e">
        <f>VLOOKUP("austria",#REF!,8,FALSE)/VLOOKUP("austria",#REF!,8,FALSE)-1</f>
        <v>#REF!</v>
      </c>
      <c r="Q204" s="217" t="e">
        <f>VLOOKUP("austria",#REF!,8,FALSE)</f>
        <v>#REF!</v>
      </c>
    </row>
    <row r="205" spans="3:17" ht="24" hidden="1" customHeight="1" x14ac:dyDescent="0.2">
      <c r="C205" s="215" t="s">
        <v>55</v>
      </c>
      <c r="D205" s="216" t="e">
        <f>VLOOKUP("rusia",#REF!,6,FALSE)/VLOOKUP("rusia",#REF!,6,FALSE)-1</f>
        <v>#REF!</v>
      </c>
      <c r="E205" s="217" t="e">
        <f>VLOOKUP("rusia",#REF!,6,FALSE)</f>
        <v>#REF!</v>
      </c>
      <c r="F205" s="216" t="e">
        <f>VLOOKUP("rusia",#REF!,5,FALSE)/VLOOKUP("rusia",#REF!,5,FALSE)-1</f>
        <v>#REF!</v>
      </c>
      <c r="G205" s="217" t="e">
        <f>VLOOKUP("rusia",#REF!,5,FALSE)</f>
        <v>#REF!</v>
      </c>
      <c r="H205" s="216" t="e">
        <f>VLOOKUP("rusia",#REF!,4,FALSE)/VLOOKUP("rusia",#REF!,4,FALSE)-1</f>
        <v>#REF!</v>
      </c>
      <c r="I205" s="217" t="e">
        <f>VLOOKUP("rusia",#REF!,4,FALSE)</f>
        <v>#REF!</v>
      </c>
      <c r="J205" s="216" t="e">
        <f>VLOOKUP("rusia",#REF!,3,FALSE)/VLOOKUP("rusia",#REF!,3,FALSE)-1</f>
        <v>#REF!</v>
      </c>
      <c r="K205" s="217" t="e">
        <f>VLOOKUP("rusia",#REF!,3,FALSE)</f>
        <v>#REF!</v>
      </c>
      <c r="L205" s="216" t="e">
        <f>VLOOKUP("rusia",#REF!,2,FALSE)/VLOOKUP("rusia",#REF!,2,FALSE)-1</f>
        <v>#REF!</v>
      </c>
      <c r="M205" s="217" t="e">
        <f>VLOOKUP("rusia",#REF!,2,FALSE)</f>
        <v>#REF!</v>
      </c>
      <c r="N205" s="216" t="e">
        <f>VLOOKUP("rusia",#REF!,7,FALSE)/VLOOKUP("rusia",#REF!,7,FALSE)-1</f>
        <v>#REF!</v>
      </c>
      <c r="O205" s="217" t="e">
        <f>VLOOKUP("rusia",#REF!,7,FALSE)</f>
        <v>#REF!</v>
      </c>
      <c r="P205" s="216" t="e">
        <f>VLOOKUP("rusia",#REF!,8,FALSE)/VLOOKUP("rusia",#REF!,8,FALSE)-1</f>
        <v>#REF!</v>
      </c>
      <c r="Q205" s="217" t="e">
        <f>VLOOKUP("rusia",#REF!,8,FALSE)</f>
        <v>#REF!</v>
      </c>
    </row>
    <row r="206" spans="3:17" ht="24" hidden="1" customHeight="1" x14ac:dyDescent="0.2">
      <c r="C206" s="215" t="s">
        <v>56</v>
      </c>
      <c r="D206" s="216" t="e">
        <f>VLOOKUP("paises del este",#REF!,6,FALSE)/VLOOKUP("paises del este",#REF!,6,FALSE)-1</f>
        <v>#REF!</v>
      </c>
      <c r="E206" s="217" t="e">
        <f>VLOOKUP("paises del este",#REF!,6,FALSE)</f>
        <v>#REF!</v>
      </c>
      <c r="F206" s="216" t="e">
        <f>VLOOKUP("paises del este",#REF!,5,FALSE)/VLOOKUP("paises del este",#REF!,5,FALSE)-1</f>
        <v>#REF!</v>
      </c>
      <c r="G206" s="217" t="e">
        <f>VLOOKUP("paises del este",#REF!,5,FALSE)</f>
        <v>#REF!</v>
      </c>
      <c r="H206" s="216" t="e">
        <f>VLOOKUP("paises del este",#REF!,4,FALSE)/VLOOKUP("paises del este",#REF!,4,FALSE)-1</f>
        <v>#REF!</v>
      </c>
      <c r="I206" s="217" t="e">
        <f>VLOOKUP("paises del este",#REF!,4,FALSE)</f>
        <v>#REF!</v>
      </c>
      <c r="J206" s="216" t="e">
        <f>VLOOKUP("paises del este",#REF!,3,FALSE)/VLOOKUP("paises del este",#REF!,3,FALSE)-1</f>
        <v>#REF!</v>
      </c>
      <c r="K206" s="217" t="e">
        <f>VLOOKUP("paises del este",#REF!,3,FALSE)</f>
        <v>#REF!</v>
      </c>
      <c r="L206" s="216" t="e">
        <f>VLOOKUP("paises del este",#REF!,2,FALSE)/VLOOKUP("paises del este",#REF!,2,FALSE)-1</f>
        <v>#REF!</v>
      </c>
      <c r="M206" s="217" t="e">
        <f>VLOOKUP("paises del este",#REF!,2,FALSE)</f>
        <v>#REF!</v>
      </c>
      <c r="N206" s="216" t="e">
        <f>VLOOKUP("paises del este",#REF!,7,FALSE)/VLOOKUP("paises del este",#REF!,7,FALSE)-1</f>
        <v>#REF!</v>
      </c>
      <c r="O206" s="217" t="e">
        <f>VLOOKUP("paises del este",#REF!,7,FALSE)</f>
        <v>#REF!</v>
      </c>
      <c r="P206" s="216" t="e">
        <f>VLOOKUP("paises del este",#REF!,8,FALSE)/VLOOKUP("paises del este",#REF!,8,FALSE)-1</f>
        <v>#REF!</v>
      </c>
      <c r="Q206" s="217" t="e">
        <f>VLOOKUP("paises del este",#REF!,8,FALSE)</f>
        <v>#REF!</v>
      </c>
    </row>
    <row r="207" spans="3:17" ht="24" hidden="1" customHeight="1" x14ac:dyDescent="0.2">
      <c r="C207" s="215" t="s">
        <v>57</v>
      </c>
      <c r="D207" s="216" t="e">
        <f>VLOOKUP("resto de europa",#REF!,6,FALSE)/VLOOKUP("resto de europa",#REF!,6,FALSE)-1</f>
        <v>#REF!</v>
      </c>
      <c r="E207" s="217" t="e">
        <f>VLOOKUP("resto de europa",#REF!,6,FALSE)</f>
        <v>#REF!</v>
      </c>
      <c r="F207" s="216" t="e">
        <f>VLOOKUP("resto de europa",#REF!,5,FALSE)/VLOOKUP("resto de europa",#REF!,5,FALSE)-1</f>
        <v>#REF!</v>
      </c>
      <c r="G207" s="217" t="e">
        <f>VLOOKUP("resto de europa",#REF!,5,FALSE)</f>
        <v>#REF!</v>
      </c>
      <c r="H207" s="216" t="e">
        <f>VLOOKUP("resto de europa",#REF!,4,FALSE)/VLOOKUP("resto de europa",#REF!,4,FALSE)-1</f>
        <v>#REF!</v>
      </c>
      <c r="I207" s="217" t="e">
        <f>VLOOKUP("resto de europa",#REF!,4,FALSE)</f>
        <v>#REF!</v>
      </c>
      <c r="J207" s="216" t="e">
        <f>VLOOKUP("resto de europa",#REF!,3,FALSE)/VLOOKUP("resto de europa",#REF!,3,FALSE)-1</f>
        <v>#REF!</v>
      </c>
      <c r="K207" s="217" t="e">
        <f>VLOOKUP("resto de europa",#REF!,3,FALSE)</f>
        <v>#REF!</v>
      </c>
      <c r="L207" s="216" t="e">
        <f>VLOOKUP("resto de europa",#REF!,2,FALSE)/VLOOKUP("resto de europa",#REF!,2,FALSE)-1</f>
        <v>#REF!</v>
      </c>
      <c r="M207" s="217" t="e">
        <f>VLOOKUP("resto de europa",#REF!,2,FALSE)</f>
        <v>#REF!</v>
      </c>
      <c r="N207" s="216" t="e">
        <f>VLOOKUP("resto de europa",#REF!,7,FALSE)/VLOOKUP("resto de europa",#REF!,7,FALSE)-1</f>
        <v>#REF!</v>
      </c>
      <c r="O207" s="217" t="e">
        <f>VLOOKUP("resto de europa",#REF!,7,FALSE)</f>
        <v>#REF!</v>
      </c>
      <c r="P207" s="216" t="e">
        <f>VLOOKUP("resto de europa",#REF!,8,FALSE)/VLOOKUP("resto de europa",#REF!,8,FALSE)-1</f>
        <v>#REF!</v>
      </c>
      <c r="Q207" s="217" t="e">
        <f>VLOOKUP("resto de europa",#REF!,8,FALSE)</f>
        <v>#REF!</v>
      </c>
    </row>
    <row r="208" spans="3:17" ht="24" hidden="1" customHeight="1" x14ac:dyDescent="0.2">
      <c r="C208" s="215" t="s">
        <v>58</v>
      </c>
      <c r="D208" s="216" t="e">
        <f>VLOOKUP("usa",#REF!,6,FALSE)/VLOOKUP("usa",#REF!,6,FALSE)-1</f>
        <v>#REF!</v>
      </c>
      <c r="E208" s="217" t="e">
        <f>VLOOKUP("usa",#REF!,6,FALSE)</f>
        <v>#REF!</v>
      </c>
      <c r="F208" s="216" t="e">
        <f>VLOOKUP("usa",#REF!,5,FALSE)/VLOOKUP("usa",#REF!,5,FALSE)-1</f>
        <v>#REF!</v>
      </c>
      <c r="G208" s="217" t="e">
        <f>VLOOKUP("usa",#REF!,5,FALSE)</f>
        <v>#REF!</v>
      </c>
      <c r="H208" s="216" t="e">
        <f>VLOOKUP("usa",#REF!,4,FALSE)/VLOOKUP("usa",#REF!,4,FALSE)-1</f>
        <v>#REF!</v>
      </c>
      <c r="I208" s="217" t="e">
        <f>VLOOKUP("usa",#REF!,4,FALSE)</f>
        <v>#REF!</v>
      </c>
      <c r="J208" s="216" t="e">
        <f>VLOOKUP("usa",#REF!,3,FALSE)/VLOOKUP("usa",#REF!,3,FALSE)-1</f>
        <v>#REF!</v>
      </c>
      <c r="K208" s="217" t="e">
        <f>VLOOKUP("usa",#REF!,3,FALSE)</f>
        <v>#REF!</v>
      </c>
      <c r="L208" s="216" t="e">
        <f>VLOOKUP("usa",#REF!,2,FALSE)/VLOOKUP("usa",#REF!,2,FALSE)-1</f>
        <v>#REF!</v>
      </c>
      <c r="M208" s="217" t="e">
        <f>VLOOKUP("usa",#REF!,2,FALSE)</f>
        <v>#REF!</v>
      </c>
      <c r="N208" s="216" t="e">
        <f>VLOOKUP("usa",#REF!,7,FALSE)/VLOOKUP("usa",#REF!,7,FALSE)-1</f>
        <v>#REF!</v>
      </c>
      <c r="O208" s="217" t="e">
        <f>VLOOKUP("usa",#REF!,7,FALSE)</f>
        <v>#REF!</v>
      </c>
      <c r="P208" s="216" t="e">
        <f>VLOOKUP("usa",#REF!,8,FALSE)/VLOOKUP("usa",#REF!,8,FALSE)-1</f>
        <v>#REF!</v>
      </c>
      <c r="Q208" s="217" t="e">
        <f>VLOOKUP("usa",#REF!,8,FALSE)</f>
        <v>#REF!</v>
      </c>
    </row>
    <row r="209" spans="3:18" ht="24" hidden="1" customHeight="1" x14ac:dyDescent="0.2">
      <c r="C209" s="215" t="s">
        <v>59</v>
      </c>
      <c r="D209" s="216" t="e">
        <f>VLOOKUP("resto de america",#REF!,6,FALSE)/VLOOKUP("resto de america",#REF!,6,FALSE)-1</f>
        <v>#REF!</v>
      </c>
      <c r="E209" s="217" t="e">
        <f>VLOOKUP("resto de america",#REF!,6,FALSE)</f>
        <v>#REF!</v>
      </c>
      <c r="F209" s="216" t="e">
        <f>VLOOKUP("resto de america",#REF!,5,FALSE)/VLOOKUP("resto de america",#REF!,5,FALSE)-1</f>
        <v>#REF!</v>
      </c>
      <c r="G209" s="217" t="e">
        <f>VLOOKUP("resto de america",#REF!,5,FALSE)</f>
        <v>#REF!</v>
      </c>
      <c r="H209" s="216" t="e">
        <f>VLOOKUP("resto de america",#REF!,4,FALSE)/VLOOKUP("resto de america",#REF!,4,FALSE)-1</f>
        <v>#REF!</v>
      </c>
      <c r="I209" s="217" t="e">
        <f>VLOOKUP("resto de america",#REF!,4,FALSE)</f>
        <v>#REF!</v>
      </c>
      <c r="J209" s="216" t="e">
        <f>VLOOKUP("resto de america",#REF!,3,FALSE)/VLOOKUP("resto de america",#REF!,3,FALSE)-1</f>
        <v>#REF!</v>
      </c>
      <c r="K209" s="217" t="e">
        <f>VLOOKUP("resto de america",#REF!,3,FALSE)</f>
        <v>#REF!</v>
      </c>
      <c r="L209" s="216" t="e">
        <f>VLOOKUP("resto de america",#REF!,2,FALSE)/VLOOKUP("resto de america",#REF!,2,FALSE)-1</f>
        <v>#REF!</v>
      </c>
      <c r="M209" s="217" t="e">
        <f>VLOOKUP("resto de america",#REF!,2,FALSE)</f>
        <v>#REF!</v>
      </c>
      <c r="N209" s="216" t="e">
        <f>VLOOKUP("resto de america",#REF!,7,FALSE)/VLOOKUP("resto de america",#REF!,7,FALSE)-1</f>
        <v>#REF!</v>
      </c>
      <c r="O209" s="217" t="e">
        <f>VLOOKUP("resto de america",#REF!,7,FALSE)</f>
        <v>#REF!</v>
      </c>
      <c r="P209" s="216" t="e">
        <f>VLOOKUP("resto de america",#REF!,8,FALSE)/VLOOKUP("resto de america",#REF!,8,FALSE)-1</f>
        <v>#REF!</v>
      </c>
      <c r="Q209" s="217" t="e">
        <f>VLOOKUP("resto de america",#REF!,8,FALSE)</f>
        <v>#REF!</v>
      </c>
    </row>
    <row r="210" spans="3:18" ht="24" hidden="1" customHeight="1" x14ac:dyDescent="0.2">
      <c r="C210" s="215" t="s">
        <v>60</v>
      </c>
      <c r="D210" s="216" t="e">
        <f>VLOOKUP("resto del mundo",#REF!,6,FALSE)/VLOOKUP("resto del mundo",#REF!,6,FALSE)-1</f>
        <v>#REF!</v>
      </c>
      <c r="E210" s="217" t="e">
        <f>VLOOKUP("resto del mundo",#REF!,6,FALSE)</f>
        <v>#REF!</v>
      </c>
      <c r="F210" s="216" t="e">
        <f>VLOOKUP("resto del mundo",#REF!,5,FALSE)/VLOOKUP("resto del mundo",#REF!,5,FALSE)-1</f>
        <v>#REF!</v>
      </c>
      <c r="G210" s="217" t="e">
        <f>VLOOKUP("resto del mundo",#REF!,5,FALSE)</f>
        <v>#REF!</v>
      </c>
      <c r="H210" s="216" t="e">
        <f>VLOOKUP("resto del mundo",#REF!,4,FALSE)/VLOOKUP("resto del mundo",#REF!,4,FALSE)-1</f>
        <v>#REF!</v>
      </c>
      <c r="I210" s="217" t="e">
        <f>VLOOKUP("resto del mundo",#REF!,4,FALSE)</f>
        <v>#REF!</v>
      </c>
      <c r="J210" s="216" t="e">
        <f>VLOOKUP("resto del mundo",#REF!,3,FALSE)/VLOOKUP("resto del mundo",#REF!,3,FALSE)-1</f>
        <v>#REF!</v>
      </c>
      <c r="K210" s="217" t="e">
        <f>VLOOKUP("resto del mundo",#REF!,3,FALSE)</f>
        <v>#REF!</v>
      </c>
      <c r="L210" s="216" t="e">
        <f>VLOOKUP("resto del mundo",#REF!,2,FALSE)/VLOOKUP("resto del mundo",#REF!,2,FALSE)-1</f>
        <v>#REF!</v>
      </c>
      <c r="M210" s="217" t="e">
        <f>VLOOKUP("resto del mundo",#REF!,2,FALSE)</f>
        <v>#REF!</v>
      </c>
      <c r="N210" s="216" t="e">
        <f>VLOOKUP("resto del mundo",#REF!,7,FALSE)/VLOOKUP("resto del mundo",#REF!,7,FALSE)-1</f>
        <v>#REF!</v>
      </c>
      <c r="O210" s="217" t="e">
        <f>VLOOKUP("resto del mundo",#REF!,7,FALSE)</f>
        <v>#REF!</v>
      </c>
      <c r="P210" s="216" t="e">
        <f>VLOOKUP("resto del mundo",#REF!,8,FALSE)/VLOOKUP("resto del mundo",#REF!,8,FALSE)-1</f>
        <v>#REF!</v>
      </c>
      <c r="Q210" s="217" t="e">
        <f>VLOOKUP("resto del mundo",#REF!,8,FALSE)</f>
        <v>#REF!</v>
      </c>
    </row>
    <row r="211" spans="3:18" ht="24" hidden="1" customHeight="1" x14ac:dyDescent="0.2">
      <c r="C211" s="215" t="s">
        <v>61</v>
      </c>
      <c r="D211" s="216" t="e">
        <f>(VLOOKUP("total",#REF!,6,FALSE)-VLOOKUP("españa",#REF!,6,FALSE))/(VLOOKUP("total",#REF!,6,FALSE)-VLOOKUP("españa",#REF!,6,FALSE))-1</f>
        <v>#REF!</v>
      </c>
      <c r="E211" s="217" t="e">
        <f>VLOOKUP("total",#REF!,6,FALSE)-VLOOKUP("españa",#REF!,6,FALSE)</f>
        <v>#REF!</v>
      </c>
      <c r="F211" s="216" t="e">
        <f>(VLOOKUP("total",#REF!,5,FALSE)-VLOOKUP("españa",#REF!,5,FALSE))/(VLOOKUP("total",#REF!,5,FALSE)-VLOOKUP("españa",#REF!,5,FALSE))-1</f>
        <v>#REF!</v>
      </c>
      <c r="G211" s="217" t="e">
        <f>VLOOKUP("total",#REF!,5,FALSE)-VLOOKUP("españa",#REF!,5,FALSE)</f>
        <v>#REF!</v>
      </c>
      <c r="H211" s="216" t="e">
        <f>(VLOOKUP("total",#REF!,4,FALSE)-VLOOKUP("españa",#REF!,4,FALSE))/(VLOOKUP("total",#REF!,4,FALSE)-VLOOKUP("españa",#REF!,4,FALSE))-1</f>
        <v>#REF!</v>
      </c>
      <c r="I211" s="217" t="e">
        <f>VLOOKUP("total",#REF!,4,FALSE)-VLOOKUP("españa",#REF!,4,FALSE)</f>
        <v>#REF!</v>
      </c>
      <c r="J211" s="216" t="e">
        <f>(VLOOKUP("total",#REF!,3,FALSE)-VLOOKUP("españa",#REF!,3,FALSE))/(VLOOKUP("total",#REF!,3,FALSE)-VLOOKUP("españa",#REF!,3,FALSE))-1</f>
        <v>#REF!</v>
      </c>
      <c r="K211" s="217" t="e">
        <f>VLOOKUP("total",#REF!,3,FALSE)-VLOOKUP("españa",#REF!,3,FALSE)</f>
        <v>#REF!</v>
      </c>
      <c r="L211" s="216" t="e">
        <f>(VLOOKUP("total",#REF!,2,FALSE)-VLOOKUP("españa",#REF!,2,FALSE))/(VLOOKUP("total",#REF!,2,FALSE)-VLOOKUP("españa",#REF!,2,FALSE))-1</f>
        <v>#REF!</v>
      </c>
      <c r="M211" s="217" t="e">
        <f>VLOOKUP("total",#REF!,2,FALSE)-VLOOKUP("españa",#REF!,2,FALSE)</f>
        <v>#REF!</v>
      </c>
      <c r="N211" s="216" t="e">
        <f>(VLOOKUP("total",#REF!,7,FALSE)-VLOOKUP("españa",#REF!,7,FALSE))/(VLOOKUP("total",#REF!,7,FALSE)-VLOOKUP("españa",#REF!,7,FALSE))-1</f>
        <v>#REF!</v>
      </c>
      <c r="O211" s="217" t="e">
        <f>VLOOKUP("total",#REF!,7,FALSE)-VLOOKUP("españa",#REF!,7,FALSE)</f>
        <v>#REF!</v>
      </c>
      <c r="P211" s="216" t="e">
        <f>(VLOOKUP("total",#REF!,8,FALSE)-VLOOKUP("españa",#REF!,8,FALSE))/(VLOOKUP("total",#REF!,8,FALSE)-VLOOKUP("españa",#REF!,8,FALSE))-1</f>
        <v>#REF!</v>
      </c>
      <c r="Q211" s="217" t="e">
        <f>VLOOKUP("total",#REF!,8,FALSE)-VLOOKUP("españa",#REF!,8,FALSE)</f>
        <v>#REF!</v>
      </c>
    </row>
    <row r="212" spans="3:18" ht="24" hidden="1" customHeight="1" x14ac:dyDescent="0.2">
      <c r="C212" s="215" t="s">
        <v>8</v>
      </c>
      <c r="D212" s="216" t="e">
        <f>VLOOKUP("total",#REF!,6,FALSE)/VLOOKUP("total",#REF!,6,FALSE)-1</f>
        <v>#REF!</v>
      </c>
      <c r="E212" s="217" t="e">
        <f>VLOOKUP("total",#REF!,6,FALSE)</f>
        <v>#REF!</v>
      </c>
      <c r="F212" s="216" t="e">
        <f>VLOOKUP("total",#REF!,5,FALSE)/VLOOKUP("total",#REF!,5,FALSE)-1</f>
        <v>#REF!</v>
      </c>
      <c r="G212" s="217" t="e">
        <f>VLOOKUP("total",#REF!,5,FALSE)</f>
        <v>#REF!</v>
      </c>
      <c r="H212" s="216" t="e">
        <f>VLOOKUP("total",#REF!,4,FALSE)/VLOOKUP("total",#REF!,4,FALSE)-1</f>
        <v>#REF!</v>
      </c>
      <c r="I212" s="217" t="e">
        <f>VLOOKUP("total",#REF!,4,FALSE)</f>
        <v>#REF!</v>
      </c>
      <c r="J212" s="216" t="e">
        <f>VLOOKUP("total",#REF!,3,FALSE)/VLOOKUP("total",#REF!,3,FALSE)-1</f>
        <v>#REF!</v>
      </c>
      <c r="K212" s="217" t="e">
        <f>VLOOKUP("total",#REF!,3,FALSE)</f>
        <v>#REF!</v>
      </c>
      <c r="L212" s="216" t="e">
        <f>VLOOKUP("total",#REF!,2,FALSE)/VLOOKUP("total",#REF!,2,FALSE)-1</f>
        <v>#REF!</v>
      </c>
      <c r="M212" s="217" t="e">
        <f>VLOOKUP("total",#REF!,2,FALSE)</f>
        <v>#REF!</v>
      </c>
      <c r="N212" s="216" t="e">
        <f>VLOOKUP("total",#REF!,7,FALSE)/VLOOKUP("total",#REF!,7,FALSE)-1</f>
        <v>#REF!</v>
      </c>
      <c r="O212" s="217" t="e">
        <f>VLOOKUP("total",#REF!,7,FALSE)</f>
        <v>#REF!</v>
      </c>
      <c r="P212" s="216" t="e">
        <f>VLOOKUP("total",#REF!,8,FALSE)/VLOOKUP("total",#REF!,8,FALSE)-1</f>
        <v>#REF!</v>
      </c>
      <c r="Q212" s="217" t="e">
        <f>VLOOKUP("total",#REF!,8,FALSE)</f>
        <v>#REF!</v>
      </c>
    </row>
    <row r="213" spans="3:18" hidden="1" x14ac:dyDescent="0.2"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3"/>
    </row>
    <row r="214" spans="3:18" ht="35.25" hidden="1" customHeight="1" x14ac:dyDescent="0.2">
      <c r="C214" s="206" t="s">
        <v>29</v>
      </c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8"/>
    </row>
    <row r="215" spans="3:18" ht="20.100000000000001" hidden="1" customHeight="1" x14ac:dyDescent="0.2">
      <c r="C215" s="219" t="str">
        <f>I2</f>
        <v>año 2016</v>
      </c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1"/>
    </row>
    <row r="216" spans="3:18" ht="13.5" hidden="1" thickBot="1" x14ac:dyDescent="0.25">
      <c r="C216" s="211"/>
      <c r="D216" s="212" t="s">
        <v>24</v>
      </c>
      <c r="E216" s="213"/>
      <c r="F216" s="212" t="s">
        <v>23</v>
      </c>
      <c r="G216" s="213"/>
      <c r="H216" s="212" t="s">
        <v>22</v>
      </c>
      <c r="I216" s="213"/>
      <c r="J216" s="212" t="s">
        <v>21</v>
      </c>
      <c r="K216" s="213"/>
      <c r="L216" s="212" t="s">
        <v>20</v>
      </c>
      <c r="M216" s="213"/>
      <c r="N216" s="212" t="s">
        <v>63</v>
      </c>
      <c r="O216" s="213"/>
      <c r="P216" s="212" t="s">
        <v>64</v>
      </c>
      <c r="Q216" s="213"/>
    </row>
    <row r="217" spans="3:18" ht="28.5" hidden="1" customHeight="1" x14ac:dyDescent="0.2">
      <c r="C217" s="211"/>
      <c r="D217" s="214" t="s">
        <v>65</v>
      </c>
      <c r="E217" s="214" t="s">
        <v>66</v>
      </c>
      <c r="F217" s="214" t="s">
        <v>65</v>
      </c>
      <c r="G217" s="214" t="s">
        <v>66</v>
      </c>
      <c r="H217" s="214" t="s">
        <v>65</v>
      </c>
      <c r="I217" s="214" t="s">
        <v>66</v>
      </c>
      <c r="J217" s="214" t="s">
        <v>65</v>
      </c>
      <c r="K217" s="214" t="s">
        <v>66</v>
      </c>
      <c r="L217" s="214" t="s">
        <v>65</v>
      </c>
      <c r="M217" s="214" t="s">
        <v>66</v>
      </c>
      <c r="N217" s="214" t="s">
        <v>65</v>
      </c>
      <c r="O217" s="214" t="s">
        <v>66</v>
      </c>
      <c r="P217" s="214" t="s">
        <v>65</v>
      </c>
      <c r="Q217" s="214" t="s">
        <v>66</v>
      </c>
    </row>
    <row r="218" spans="3:18" ht="24" hidden="1" customHeight="1" x14ac:dyDescent="0.2">
      <c r="C218" s="215" t="s">
        <v>36</v>
      </c>
      <c r="D218" s="216" t="e">
        <f>VLOOKUP("españa",#REF!,6,FALSE)/VLOOKUP("españa",#REF!,6,FALSE)-1</f>
        <v>#REF!</v>
      </c>
      <c r="E218" s="217" t="e">
        <f>VLOOKUP("españa",#REF!,6,FALSE)</f>
        <v>#REF!</v>
      </c>
      <c r="F218" s="216" t="e">
        <f>VLOOKUP("españa",#REF!,5,FALSE)/VLOOKUP("españa",#REF!,5,FALSE)-1</f>
        <v>#REF!</v>
      </c>
      <c r="G218" s="217" t="e">
        <f>VLOOKUP("españa",#REF!,5,FALSE)</f>
        <v>#REF!</v>
      </c>
      <c r="H218" s="216" t="e">
        <f>VLOOKUP("españa",#REF!,4,FALSE)/VLOOKUP("españa",#REF!,4,FALSE)-1</f>
        <v>#REF!</v>
      </c>
      <c r="I218" s="217" t="e">
        <f>VLOOKUP("españa",#REF!,4,FALSE)</f>
        <v>#REF!</v>
      </c>
      <c r="J218" s="216" t="e">
        <f>VLOOKUP("españa",#REF!,3,FALSE)/VLOOKUP("españa",#REF!,3,FALSE)-1</f>
        <v>#REF!</v>
      </c>
      <c r="K218" s="217" t="e">
        <f>VLOOKUP("españa",#REF!,3,FALSE)</f>
        <v>#REF!</v>
      </c>
      <c r="L218" s="216" t="e">
        <f>VLOOKUP("españa",#REF!,2,FALSE)/VLOOKUP("españa",#REF!,2,FALSE)-1</f>
        <v>#REF!</v>
      </c>
      <c r="M218" s="217" t="e">
        <f>VLOOKUP("españa",#REF!,2,FALSE)</f>
        <v>#REF!</v>
      </c>
      <c r="N218" s="216" t="e">
        <f>VLOOKUP("españa",#REF!,7,FALSE)/VLOOKUP("españa",#REF!,7,FALSE)-1</f>
        <v>#REF!</v>
      </c>
      <c r="O218" s="217" t="e">
        <f>VLOOKUP("españa",#REF!,7,FALSE)</f>
        <v>#REF!</v>
      </c>
      <c r="P218" s="216" t="e">
        <f>VLOOKUP("españa",#REF!,8,FALSE)/VLOOKUP("españa",#REF!,8,FALSE)-1</f>
        <v>#REF!</v>
      </c>
      <c r="Q218" s="217" t="e">
        <f>VLOOKUP("españa",#REF!,8,FALSE)</f>
        <v>#REF!</v>
      </c>
    </row>
    <row r="219" spans="3:18" ht="24" hidden="1" customHeight="1" x14ac:dyDescent="0.2">
      <c r="C219" s="215" t="s">
        <v>41</v>
      </c>
      <c r="D219" s="216" t="e">
        <f>VLOOKUP("holanda",#REF!,6,FALSE)/VLOOKUP("holanda",#REF!,6,FALSE)-1</f>
        <v>#REF!</v>
      </c>
      <c r="E219" s="217" t="e">
        <f>VLOOKUP("holanda",#REF!,6,FALSE)</f>
        <v>#REF!</v>
      </c>
      <c r="F219" s="216" t="e">
        <f>VLOOKUP("holanda",#REF!,5,FALSE)/VLOOKUP("holanda",#REF!,5,FALSE)-1</f>
        <v>#REF!</v>
      </c>
      <c r="G219" s="217" t="e">
        <f>VLOOKUP("holanda",#REF!,5,FALSE)</f>
        <v>#REF!</v>
      </c>
      <c r="H219" s="216" t="e">
        <f>VLOOKUP("holanda",#REF!,4,FALSE)/VLOOKUP("holanda",#REF!,4,FALSE)-1</f>
        <v>#REF!</v>
      </c>
      <c r="I219" s="217" t="e">
        <f>VLOOKUP("holanda",#REF!,4,FALSE)</f>
        <v>#REF!</v>
      </c>
      <c r="J219" s="216" t="e">
        <f>VLOOKUP("holanda",#REF!,3,FALSE)/VLOOKUP("holanda",#REF!,3,FALSE)-1</f>
        <v>#REF!</v>
      </c>
      <c r="K219" s="217" t="e">
        <f>VLOOKUP("holanda",#REF!,3,FALSE)</f>
        <v>#REF!</v>
      </c>
      <c r="L219" s="216" t="e">
        <f>VLOOKUP("holanda",#REF!,2,FALSE)/VLOOKUP("holanda",#REF!,2,FALSE)-1</f>
        <v>#REF!</v>
      </c>
      <c r="M219" s="217" t="e">
        <f>VLOOKUP("holanda",#REF!,2,FALSE)</f>
        <v>#REF!</v>
      </c>
      <c r="N219" s="216" t="e">
        <f>VLOOKUP("holanda",#REF!,7,FALSE)/VLOOKUP("holanda",#REF!,7,FALSE)-1</f>
        <v>#REF!</v>
      </c>
      <c r="O219" s="217" t="e">
        <f>VLOOKUP("holanda",#REF!,7,FALSE)</f>
        <v>#REF!</v>
      </c>
      <c r="P219" s="216" t="e">
        <f>VLOOKUP("holanda",#REF!,8,FALSE)/VLOOKUP("holanda",#REF!,8,FALSE)-1</f>
        <v>#REF!</v>
      </c>
      <c r="Q219" s="217" t="e">
        <f>VLOOKUP("holanda",#REF!,8,FALSE)</f>
        <v>#REF!</v>
      </c>
    </row>
    <row r="220" spans="3:18" ht="24" hidden="1" customHeight="1" x14ac:dyDescent="0.2">
      <c r="C220" s="215" t="s">
        <v>42</v>
      </c>
      <c r="D220" s="216" t="e">
        <f>VLOOKUP("belgica",#REF!,6,FALSE)/VLOOKUP("belgica",#REF!,6,FALSE)-1</f>
        <v>#REF!</v>
      </c>
      <c r="E220" s="217" t="e">
        <f>VLOOKUP("belgica",#REF!,6,FALSE)</f>
        <v>#REF!</v>
      </c>
      <c r="F220" s="216" t="e">
        <f>VLOOKUP("belgica",#REF!,5,FALSE)/VLOOKUP("belgica",#REF!,5,FALSE)-1</f>
        <v>#REF!</v>
      </c>
      <c r="G220" s="217" t="e">
        <f>VLOOKUP("belgica",#REF!,5,FALSE)</f>
        <v>#REF!</v>
      </c>
      <c r="H220" s="216" t="e">
        <f>VLOOKUP("belgica",#REF!,4,FALSE)/VLOOKUP("belgica",#REF!,4,FALSE)-1</f>
        <v>#REF!</v>
      </c>
      <c r="I220" s="217" t="e">
        <f>VLOOKUP("belgica",#REF!,4,FALSE)</f>
        <v>#REF!</v>
      </c>
      <c r="J220" s="216" t="e">
        <f>VLOOKUP("belgica",#REF!,3,FALSE)/VLOOKUP("belgica",#REF!,3,FALSE)-1</f>
        <v>#REF!</v>
      </c>
      <c r="K220" s="217" t="e">
        <f>VLOOKUP("belgica",#REF!,3,FALSE)</f>
        <v>#REF!</v>
      </c>
      <c r="L220" s="216" t="e">
        <f>VLOOKUP("belgica",#REF!,2,FALSE)/VLOOKUP("belgica",#REF!,2,FALSE)-1</f>
        <v>#REF!</v>
      </c>
      <c r="M220" s="217" t="e">
        <f>VLOOKUP("belgica",#REF!,2,FALSE)</f>
        <v>#REF!</v>
      </c>
      <c r="N220" s="216" t="e">
        <f>VLOOKUP("belgica",#REF!,7,FALSE)/VLOOKUP("belgica",#REF!,7,FALSE)-1</f>
        <v>#REF!</v>
      </c>
      <c r="O220" s="217" t="e">
        <f>VLOOKUP("belgica",#REF!,7,FALSE)</f>
        <v>#REF!</v>
      </c>
      <c r="P220" s="216" t="e">
        <f>VLOOKUP("belgica",#REF!,8,FALSE)/VLOOKUP("belgica",#REF!,8,FALSE)-1</f>
        <v>#REF!</v>
      </c>
      <c r="Q220" s="217" t="e">
        <f>VLOOKUP("belgica",#REF!,8,FALSE)</f>
        <v>#REF!</v>
      </c>
    </row>
    <row r="221" spans="3:18" ht="24" hidden="1" customHeight="1" x14ac:dyDescent="0.2">
      <c r="C221" s="215" t="s">
        <v>43</v>
      </c>
      <c r="D221" s="216" t="e">
        <f>VLOOKUP("alemania",#REF!,6,FALSE)/VLOOKUP("alemania",#REF!,6,FALSE)-1</f>
        <v>#REF!</v>
      </c>
      <c r="E221" s="217" t="e">
        <f>VLOOKUP("alemania",#REF!,6,FALSE)</f>
        <v>#REF!</v>
      </c>
      <c r="F221" s="216" t="e">
        <f>VLOOKUP("alemania",#REF!,5,FALSE)/VLOOKUP("alemania",#REF!,5,FALSE)-1</f>
        <v>#REF!</v>
      </c>
      <c r="G221" s="217" t="e">
        <f>VLOOKUP("alemania",#REF!,5,FALSE)</f>
        <v>#REF!</v>
      </c>
      <c r="H221" s="216" t="e">
        <f>VLOOKUP("alemania",#REF!,4,FALSE)/VLOOKUP("alemania",#REF!,4,FALSE)-1</f>
        <v>#REF!</v>
      </c>
      <c r="I221" s="217" t="e">
        <f>VLOOKUP("alemania",#REF!,4,FALSE)</f>
        <v>#REF!</v>
      </c>
      <c r="J221" s="216" t="e">
        <f>VLOOKUP("alemania",#REF!,3,FALSE)/VLOOKUP("alemania",#REF!,3,FALSE)-1</f>
        <v>#REF!</v>
      </c>
      <c r="K221" s="217" t="e">
        <f>VLOOKUP("alemania",#REF!,3,FALSE)</f>
        <v>#REF!</v>
      </c>
      <c r="L221" s="216" t="e">
        <f>VLOOKUP("alemania",#REF!,2,FALSE)/VLOOKUP("alemania",#REF!,2,FALSE)-1</f>
        <v>#REF!</v>
      </c>
      <c r="M221" s="217" t="e">
        <f>VLOOKUP("alemania",#REF!,2,FALSE)</f>
        <v>#REF!</v>
      </c>
      <c r="N221" s="216" t="e">
        <f>VLOOKUP("alemania",#REF!,7,FALSE)/VLOOKUP("alemania",#REF!,7,FALSE)-1</f>
        <v>#REF!</v>
      </c>
      <c r="O221" s="217" t="e">
        <f>VLOOKUP("alemania",#REF!,7,FALSE)</f>
        <v>#REF!</v>
      </c>
      <c r="P221" s="216" t="e">
        <f>VLOOKUP("alemania",#REF!,8,FALSE)/VLOOKUP("alemania",#REF!,8,FALSE)-1</f>
        <v>#REF!</v>
      </c>
      <c r="Q221" s="217" t="e">
        <f>VLOOKUP("alemania",#REF!,8,FALSE)</f>
        <v>#REF!</v>
      </c>
    </row>
    <row r="222" spans="3:18" ht="24" hidden="1" customHeight="1" x14ac:dyDescent="0.2">
      <c r="C222" s="215" t="s">
        <v>44</v>
      </c>
      <c r="D222" s="216" t="e">
        <f>VLOOKUP("francia",#REF!,6,FALSE)/VLOOKUP("francia",#REF!,6,FALSE)-1</f>
        <v>#REF!</v>
      </c>
      <c r="E222" s="217" t="e">
        <f>VLOOKUP("francia",#REF!,6,FALSE)</f>
        <v>#REF!</v>
      </c>
      <c r="F222" s="216" t="e">
        <f>VLOOKUP("francia",#REF!,5,FALSE)/VLOOKUP("francia",#REF!,5,FALSE)-1</f>
        <v>#REF!</v>
      </c>
      <c r="G222" s="217" t="e">
        <f>VLOOKUP("francia",#REF!,5,FALSE)</f>
        <v>#REF!</v>
      </c>
      <c r="H222" s="216" t="e">
        <f>VLOOKUP("francia",#REF!,4,FALSE)/VLOOKUP("francia",#REF!,4,FALSE)-1</f>
        <v>#REF!</v>
      </c>
      <c r="I222" s="217" t="e">
        <f>VLOOKUP("francia",#REF!,4,FALSE)</f>
        <v>#REF!</v>
      </c>
      <c r="J222" s="216" t="e">
        <f>VLOOKUP("francia",#REF!,3,FALSE)/VLOOKUP("francia",#REF!,3,FALSE)-1</f>
        <v>#REF!</v>
      </c>
      <c r="K222" s="217" t="e">
        <f>VLOOKUP("francia",#REF!,3,FALSE)</f>
        <v>#REF!</v>
      </c>
      <c r="L222" s="216" t="e">
        <f>VLOOKUP("francia",#REF!,2,FALSE)/VLOOKUP("francia",#REF!,2,FALSE)-1</f>
        <v>#REF!</v>
      </c>
      <c r="M222" s="217" t="e">
        <f>VLOOKUP("francia",#REF!,2,FALSE)</f>
        <v>#REF!</v>
      </c>
      <c r="N222" s="216" t="e">
        <f>VLOOKUP("francia",#REF!,7,FALSE)/VLOOKUP("francia",#REF!,7,FALSE)-1</f>
        <v>#REF!</v>
      </c>
      <c r="O222" s="217" t="e">
        <f>VLOOKUP("francia",#REF!,7,FALSE)</f>
        <v>#REF!</v>
      </c>
      <c r="P222" s="216" t="e">
        <f>VLOOKUP("francia",#REF!,8,FALSE)/VLOOKUP("francia",#REF!,8,FALSE)-1</f>
        <v>#REF!</v>
      </c>
      <c r="Q222" s="217" t="e">
        <f>VLOOKUP("francia",#REF!,8,FALSE)</f>
        <v>#REF!</v>
      </c>
    </row>
    <row r="223" spans="3:18" ht="24" hidden="1" customHeight="1" x14ac:dyDescent="0.2">
      <c r="C223" s="215" t="s">
        <v>45</v>
      </c>
      <c r="D223" s="216" t="e">
        <f>VLOOKUP("reino unido",#REF!,6,FALSE)/VLOOKUP("reino unido",#REF!,6,FALSE)-1</f>
        <v>#REF!</v>
      </c>
      <c r="E223" s="217" t="e">
        <f>VLOOKUP("reino unido",#REF!,6,FALSE)</f>
        <v>#REF!</v>
      </c>
      <c r="F223" s="216" t="e">
        <f>VLOOKUP("reino unido",#REF!,5,FALSE)/VLOOKUP("reino unido",#REF!,5,FALSE)-1</f>
        <v>#REF!</v>
      </c>
      <c r="G223" s="217" t="e">
        <f>VLOOKUP("reino unido",#REF!,5,FALSE)</f>
        <v>#REF!</v>
      </c>
      <c r="H223" s="216" t="e">
        <f>VLOOKUP("reino unido",#REF!,4,FALSE)/VLOOKUP("reino unido",#REF!,4,FALSE)-1</f>
        <v>#REF!</v>
      </c>
      <c r="I223" s="217" t="e">
        <f>VLOOKUP("reino unido",#REF!,4,FALSE)</f>
        <v>#REF!</v>
      </c>
      <c r="J223" s="216" t="e">
        <f>VLOOKUP("reino unido",#REF!,3,FALSE)/VLOOKUP("reino unido",#REF!,3,FALSE)-1</f>
        <v>#REF!</v>
      </c>
      <c r="K223" s="217" t="e">
        <f>VLOOKUP("reino unido",#REF!,3,FALSE)</f>
        <v>#REF!</v>
      </c>
      <c r="L223" s="216" t="e">
        <f>VLOOKUP("reino unido",#REF!,2,FALSE)/VLOOKUP("reino unido",#REF!,2,FALSE)-1</f>
        <v>#REF!</v>
      </c>
      <c r="M223" s="217" t="e">
        <f>VLOOKUP("reino unido",#REF!,2,FALSE)</f>
        <v>#REF!</v>
      </c>
      <c r="N223" s="216" t="e">
        <f>VLOOKUP("reino unido",#REF!,7,FALSE)/VLOOKUP("reino unido",#REF!,7,FALSE)-1</f>
        <v>#REF!</v>
      </c>
      <c r="O223" s="217" t="e">
        <f>VLOOKUP("reino unido",#REF!,7,FALSE)</f>
        <v>#REF!</v>
      </c>
      <c r="P223" s="216" t="e">
        <f>VLOOKUP("reino unido",#REF!,8,FALSE)/VLOOKUP("reino unido",#REF!,8,FALSE)-1</f>
        <v>#REF!</v>
      </c>
      <c r="Q223" s="217" t="e">
        <f>VLOOKUP("reino unido",#REF!,8,FALSE)</f>
        <v>#REF!</v>
      </c>
    </row>
    <row r="224" spans="3:18" ht="24" hidden="1" customHeight="1" x14ac:dyDescent="0.2">
      <c r="C224" s="215" t="s">
        <v>46</v>
      </c>
      <c r="D224" s="216" t="e">
        <f>VLOOKUP("irlanda",#REF!,6,FALSE)/VLOOKUP("irlanda",#REF!,6,FALSE)-1</f>
        <v>#REF!</v>
      </c>
      <c r="E224" s="217" t="e">
        <f>VLOOKUP("irlanda",#REF!,6,FALSE)</f>
        <v>#REF!</v>
      </c>
      <c r="F224" s="216" t="e">
        <f>VLOOKUP("irlanda",#REF!,5,FALSE)/VLOOKUP("irlanda",#REF!,5,FALSE)-1</f>
        <v>#REF!</v>
      </c>
      <c r="G224" s="217" t="e">
        <f>VLOOKUP("irlanda",#REF!,5,FALSE)</f>
        <v>#REF!</v>
      </c>
      <c r="H224" s="216" t="e">
        <f>VLOOKUP("irlanda",#REF!,4,FALSE)/VLOOKUP("irlanda",#REF!,4,FALSE)-1</f>
        <v>#REF!</v>
      </c>
      <c r="I224" s="217" t="e">
        <f>VLOOKUP("irlanda",#REF!,4,FALSE)</f>
        <v>#REF!</v>
      </c>
      <c r="J224" s="216" t="e">
        <f>VLOOKUP("irlanda",#REF!,3,FALSE)/VLOOKUP("irlanda",#REF!,3,FALSE)-1</f>
        <v>#REF!</v>
      </c>
      <c r="K224" s="217" t="e">
        <f>VLOOKUP("irlanda",#REF!,3,FALSE)</f>
        <v>#REF!</v>
      </c>
      <c r="L224" s="216" t="e">
        <f>VLOOKUP("irlanda",#REF!,2,FALSE)/VLOOKUP("irlanda",#REF!,2,FALSE)-1</f>
        <v>#REF!</v>
      </c>
      <c r="M224" s="217" t="e">
        <f>VLOOKUP("irlanda",#REF!,2,FALSE)</f>
        <v>#REF!</v>
      </c>
      <c r="N224" s="216" t="e">
        <f>VLOOKUP("irlanda",#REF!,7,FALSE)/VLOOKUP("irlanda",#REF!,7,FALSE)-1</f>
        <v>#REF!</v>
      </c>
      <c r="O224" s="217" t="e">
        <f>VLOOKUP("irlanda",#REF!,7,FALSE)</f>
        <v>#REF!</v>
      </c>
      <c r="P224" s="216" t="e">
        <f>VLOOKUP("irlanda",#REF!,8,FALSE)/VLOOKUP("irlanda",#REF!,8,FALSE)-1</f>
        <v>#REF!</v>
      </c>
      <c r="Q224" s="217" t="e">
        <f>VLOOKUP("irlanda",#REF!,8,FALSE)</f>
        <v>#REF!</v>
      </c>
    </row>
    <row r="225" spans="3:17" ht="24" hidden="1" customHeight="1" x14ac:dyDescent="0.2">
      <c r="C225" s="215" t="s">
        <v>47</v>
      </c>
      <c r="D225" s="216" t="e">
        <f>VLOOKUP("italia",#REF!,6,FALSE)/VLOOKUP("italia",#REF!,6,FALSE)-1</f>
        <v>#REF!</v>
      </c>
      <c r="E225" s="217" t="e">
        <f>VLOOKUP("italia",#REF!,6,FALSE)</f>
        <v>#REF!</v>
      </c>
      <c r="F225" s="216" t="e">
        <f>VLOOKUP("italia",#REF!,5,FALSE)/VLOOKUP("italia",#REF!,5,FALSE)-1</f>
        <v>#REF!</v>
      </c>
      <c r="G225" s="217" t="e">
        <f>VLOOKUP("italia",#REF!,5,FALSE)</f>
        <v>#REF!</v>
      </c>
      <c r="H225" s="216" t="e">
        <f>VLOOKUP("italia",#REF!,4,FALSE)/VLOOKUP("italia",#REF!,4,FALSE)-1</f>
        <v>#REF!</v>
      </c>
      <c r="I225" s="217" t="e">
        <f>VLOOKUP("italia",#REF!,4,FALSE)</f>
        <v>#REF!</v>
      </c>
      <c r="J225" s="216" t="e">
        <f>VLOOKUP("italia",#REF!,3,FALSE)/VLOOKUP("italia",#REF!,3,FALSE)-1</f>
        <v>#REF!</v>
      </c>
      <c r="K225" s="217" t="e">
        <f>VLOOKUP("italia",#REF!,3,FALSE)</f>
        <v>#REF!</v>
      </c>
      <c r="L225" s="216" t="e">
        <f>VLOOKUP("italia",#REF!,2,FALSE)/VLOOKUP("italia",#REF!,2,FALSE)-1</f>
        <v>#REF!</v>
      </c>
      <c r="M225" s="217" t="e">
        <f>VLOOKUP("italia",#REF!,2,FALSE)</f>
        <v>#REF!</v>
      </c>
      <c r="N225" s="216" t="e">
        <f>VLOOKUP("italia",#REF!,7,FALSE)/VLOOKUP("italia",#REF!,7,FALSE)-1</f>
        <v>#REF!</v>
      </c>
      <c r="O225" s="217" t="e">
        <f>VLOOKUP("italia",#REF!,7,FALSE)</f>
        <v>#REF!</v>
      </c>
      <c r="P225" s="216" t="e">
        <f>VLOOKUP("italia",#REF!,8,FALSE)/VLOOKUP("italia",#REF!,8,FALSE)-1</f>
        <v>#REF!</v>
      </c>
      <c r="Q225" s="217" t="e">
        <f>VLOOKUP("italia",#REF!,8,FALSE)</f>
        <v>#REF!</v>
      </c>
    </row>
    <row r="226" spans="3:17" ht="24" hidden="1" customHeight="1" x14ac:dyDescent="0.2">
      <c r="C226" s="215" t="s">
        <v>48</v>
      </c>
      <c r="D226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217" t="e">
        <f>(VLOOKUP("suecia",#REF!,6,FALSE)+VLOOKUP("noruega",#REF!,6,FALSE)+VLOOKUP("dinamarca",#REF!,6,FALSE)+VLOOKUP("finlandia",#REF!,6,FALSE))</f>
        <v>#REF!</v>
      </c>
      <c r="F226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217" t="e">
        <f>(VLOOKUP("suecia",#REF!,5,FALSE)+VLOOKUP("noruega",#REF!,5,FALSE)+VLOOKUP("dinamarca",#REF!,5,FALSE)+VLOOKUP("finlandia",#REF!,5,FALSE))</f>
        <v>#REF!</v>
      </c>
      <c r="H226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217" t="e">
        <f>(VLOOKUP("suecia",#REF!,4,FALSE)+VLOOKUP("noruega",#REF!,4,FALSE)+VLOOKUP("dinamarca",#REF!,4,FALSE)+VLOOKUP("finlandia",#REF!,4,FALSE))</f>
        <v>#REF!</v>
      </c>
      <c r="J226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217" t="e">
        <f>(VLOOKUP("suecia",#REF!,3,FALSE)+VLOOKUP("noruega",#REF!,3,FALSE)+VLOOKUP("dinamarca",#REF!,3,FALSE)+VLOOKUP("finlandia",#REF!,3,FALSE))</f>
        <v>#REF!</v>
      </c>
      <c r="L226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217" t="e">
        <f>(VLOOKUP("suecia",#REF!,2,FALSE)+VLOOKUP("noruega",#REF!,2,FALSE)+VLOOKUP("dinamarca",#REF!,2,FALSE)+VLOOKUP("finlandia",#REF!,2,FALSE))</f>
        <v>#REF!</v>
      </c>
      <c r="N226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217" t="e">
        <f>(VLOOKUP("suecia",#REF!,7,FALSE)+VLOOKUP("noruega",#REF!,7,FALSE)+VLOOKUP("dinamarca",#REF!,7,FALSE)+VLOOKUP("finlandia",#REF!,7,FALSE))</f>
        <v>#REF!</v>
      </c>
      <c r="P226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217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218" t="s">
        <v>49</v>
      </c>
      <c r="D227" s="216" t="e">
        <f>VLOOKUP("suecia",#REF!,6,FALSE)/VLOOKUP("suecia",#REF!,6,FALSE)-1</f>
        <v>#REF!</v>
      </c>
      <c r="E227" s="217" t="e">
        <f>VLOOKUP("suecia",#REF!,6,FALSE)</f>
        <v>#REF!</v>
      </c>
      <c r="F227" s="216" t="e">
        <f>VLOOKUP("suecia",#REF!,5,FALSE)/VLOOKUP("suecia",#REF!,5,FALSE)-1</f>
        <v>#REF!</v>
      </c>
      <c r="G227" s="217" t="e">
        <f>VLOOKUP("suecia",#REF!,5,FALSE)</f>
        <v>#REF!</v>
      </c>
      <c r="H227" s="216" t="e">
        <f>VLOOKUP("suecia",#REF!,4,FALSE)/VLOOKUP("suecia",#REF!,4,FALSE)-1</f>
        <v>#REF!</v>
      </c>
      <c r="I227" s="217" t="e">
        <f>VLOOKUP("suecia",#REF!,4,FALSE)</f>
        <v>#REF!</v>
      </c>
      <c r="J227" s="216" t="e">
        <f>VLOOKUP("suecia",#REF!,3,FALSE)/VLOOKUP("suecia",#REF!,3,FALSE)-1</f>
        <v>#REF!</v>
      </c>
      <c r="K227" s="217" t="e">
        <f>VLOOKUP("suecia",#REF!,3,FALSE)</f>
        <v>#REF!</v>
      </c>
      <c r="L227" s="216" t="e">
        <f>VLOOKUP("suecia",#REF!,2,FALSE)/VLOOKUP("suecia",#REF!,2,FALSE)-1</f>
        <v>#REF!</v>
      </c>
      <c r="M227" s="217" t="e">
        <f>VLOOKUP("suecia",#REF!,2,FALSE)</f>
        <v>#REF!</v>
      </c>
      <c r="N227" s="216" t="e">
        <f>VLOOKUP("suecia",#REF!,7,FALSE)/VLOOKUP("suecia",#REF!,7,FALSE)-1</f>
        <v>#REF!</v>
      </c>
      <c r="O227" s="217" t="e">
        <f>VLOOKUP("suecia",#REF!,7,FALSE)</f>
        <v>#REF!</v>
      </c>
      <c r="P227" s="216" t="e">
        <f>VLOOKUP("suecia",#REF!,8,FALSE)/VLOOKUP("suecia",#REF!,8,FALSE)-1</f>
        <v>#REF!</v>
      </c>
      <c r="Q227" s="217" t="e">
        <f>VLOOKUP("suecia",#REF!,8,FALSE)</f>
        <v>#REF!</v>
      </c>
    </row>
    <row r="228" spans="3:17" ht="24" hidden="1" customHeight="1" x14ac:dyDescent="0.2">
      <c r="C228" s="218" t="s">
        <v>50</v>
      </c>
      <c r="D228" s="216" t="e">
        <f>VLOOKUP("noruega",#REF!,6,FALSE)/VLOOKUP("noruega",#REF!,6,FALSE)-1</f>
        <v>#REF!</v>
      </c>
      <c r="E228" s="217" t="e">
        <f>VLOOKUP("noruega",#REF!,6,FALSE)</f>
        <v>#REF!</v>
      </c>
      <c r="F228" s="216" t="e">
        <f>VLOOKUP("noruega",#REF!,5,FALSE)/VLOOKUP("noruega",#REF!,5,FALSE)-1</f>
        <v>#REF!</v>
      </c>
      <c r="G228" s="217" t="e">
        <f>VLOOKUP("noruega",#REF!,5,FALSE)</f>
        <v>#REF!</v>
      </c>
      <c r="H228" s="216" t="e">
        <f>VLOOKUP("noruega",#REF!,4,FALSE)/VLOOKUP("noruega",#REF!,4,FALSE)-1</f>
        <v>#REF!</v>
      </c>
      <c r="I228" s="217" t="e">
        <f>VLOOKUP("noruega",#REF!,4,FALSE)</f>
        <v>#REF!</v>
      </c>
      <c r="J228" s="216" t="e">
        <f>VLOOKUP("noruega",#REF!,3,FALSE)/VLOOKUP("noruega",#REF!,3,FALSE)-1</f>
        <v>#REF!</v>
      </c>
      <c r="K228" s="217" t="e">
        <f>VLOOKUP("noruega",#REF!,3,FALSE)</f>
        <v>#REF!</v>
      </c>
      <c r="L228" s="216" t="e">
        <f>VLOOKUP("noruega",#REF!,2,FALSE)/VLOOKUP("noruega",#REF!,2,FALSE)-1</f>
        <v>#REF!</v>
      </c>
      <c r="M228" s="217" t="e">
        <f>VLOOKUP("noruega",#REF!,2,FALSE)</f>
        <v>#REF!</v>
      </c>
      <c r="N228" s="216" t="e">
        <f>VLOOKUP("noruega",#REF!,7,FALSE)/VLOOKUP("noruega",#REF!,7,FALSE)-1</f>
        <v>#REF!</v>
      </c>
      <c r="O228" s="217" t="e">
        <f>VLOOKUP("noruega",#REF!,7,FALSE)</f>
        <v>#REF!</v>
      </c>
      <c r="P228" s="216" t="e">
        <f>VLOOKUP("noruega",#REF!,8,FALSE)/VLOOKUP("noruega",#REF!,8,FALSE)-1</f>
        <v>#REF!</v>
      </c>
      <c r="Q228" s="217" t="e">
        <f>VLOOKUP("noruega",#REF!,8,FALSE)</f>
        <v>#REF!</v>
      </c>
    </row>
    <row r="229" spans="3:17" ht="24" hidden="1" customHeight="1" x14ac:dyDescent="0.2">
      <c r="C229" s="218" t="s">
        <v>51</v>
      </c>
      <c r="D229" s="216" t="e">
        <f>VLOOKUP("dinamarca",#REF!,6,FALSE)/VLOOKUP("dinamarca",#REF!,6,FALSE)-1</f>
        <v>#REF!</v>
      </c>
      <c r="E229" s="217" t="e">
        <f>VLOOKUP("dinamarca",#REF!,6,FALSE)</f>
        <v>#REF!</v>
      </c>
      <c r="F229" s="216" t="e">
        <f>VLOOKUP("dinamarca",#REF!,5,FALSE)/VLOOKUP("dinamarca",#REF!,5,FALSE)-1</f>
        <v>#REF!</v>
      </c>
      <c r="G229" s="217" t="e">
        <f>VLOOKUP("dinamarca",#REF!,5,FALSE)</f>
        <v>#REF!</v>
      </c>
      <c r="H229" s="216" t="e">
        <f>VLOOKUP("dinamarca",#REF!,4,FALSE)/VLOOKUP("dinamarca",#REF!,4,FALSE)-1</f>
        <v>#REF!</v>
      </c>
      <c r="I229" s="217" t="e">
        <f>VLOOKUP("dinamarca",#REF!,4,FALSE)</f>
        <v>#REF!</v>
      </c>
      <c r="J229" s="216" t="e">
        <f>VLOOKUP("dinamarca",#REF!,3,FALSE)/VLOOKUP("dinamarca",#REF!,3,FALSE)-1</f>
        <v>#REF!</v>
      </c>
      <c r="K229" s="217" t="e">
        <f>VLOOKUP("dinamarca",#REF!,3,FALSE)</f>
        <v>#REF!</v>
      </c>
      <c r="L229" s="216" t="e">
        <f>VLOOKUP("dinamarca",#REF!,2,FALSE)/VLOOKUP("dinamarca",#REF!,2,FALSE)-1</f>
        <v>#REF!</v>
      </c>
      <c r="M229" s="217" t="e">
        <f>VLOOKUP("dinamarca",#REF!,2,FALSE)</f>
        <v>#REF!</v>
      </c>
      <c r="N229" s="216" t="e">
        <f>VLOOKUP("dinamarca",#REF!,7,FALSE)/VLOOKUP("dinamarca",#REF!,7,FALSE)-1</f>
        <v>#REF!</v>
      </c>
      <c r="O229" s="217" t="e">
        <f>VLOOKUP("dinamarca",#REF!,7,FALSE)</f>
        <v>#REF!</v>
      </c>
      <c r="P229" s="216" t="e">
        <f>VLOOKUP("dinamarca",#REF!,8,FALSE)/VLOOKUP("dinamarca",#REF!,8,FALSE)-1</f>
        <v>#REF!</v>
      </c>
      <c r="Q229" s="217" t="e">
        <f>VLOOKUP("dinamarca",#REF!,8,FALSE)</f>
        <v>#REF!</v>
      </c>
    </row>
    <row r="230" spans="3:17" ht="24" hidden="1" customHeight="1" x14ac:dyDescent="0.2">
      <c r="C230" s="218" t="s">
        <v>52</v>
      </c>
      <c r="D230" s="216" t="s">
        <v>38</v>
      </c>
      <c r="E230" s="217" t="e">
        <f>VLOOKUP("finlandia",#REF!,6,FALSE)</f>
        <v>#REF!</v>
      </c>
      <c r="F230" s="216" t="e">
        <f>VLOOKUP("finlandia",#REF!,5,FALSE)/VLOOKUP("finlandia",#REF!,5,FALSE)-1</f>
        <v>#REF!</v>
      </c>
      <c r="G230" s="217" t="e">
        <f>VLOOKUP("finlandia",#REF!,5,FALSE)</f>
        <v>#REF!</v>
      </c>
      <c r="H230" s="216" t="e">
        <f>VLOOKUP("finlandia",#REF!,4,FALSE)/VLOOKUP("finlandia",#REF!,4,FALSE)-1</f>
        <v>#REF!</v>
      </c>
      <c r="I230" s="217" t="e">
        <f>VLOOKUP("finlandia",#REF!,4,FALSE)</f>
        <v>#REF!</v>
      </c>
      <c r="J230" s="216" t="e">
        <f>VLOOKUP("finlandia",#REF!,3,FALSE)/VLOOKUP("finlandia",#REF!,3,FALSE)-1</f>
        <v>#REF!</v>
      </c>
      <c r="K230" s="217" t="e">
        <f>VLOOKUP("finlandia",#REF!,3,FALSE)</f>
        <v>#REF!</v>
      </c>
      <c r="L230" s="216" t="s">
        <v>38</v>
      </c>
      <c r="M230" s="217" t="e">
        <f>VLOOKUP("finlandia",#REF!,2,FALSE)</f>
        <v>#REF!</v>
      </c>
      <c r="N230" s="216" t="e">
        <f>VLOOKUP("finlandia",#REF!,7,FALSE)/VLOOKUP("finlandia",#REF!,7,FALSE)-1</f>
        <v>#REF!</v>
      </c>
      <c r="O230" s="217" t="e">
        <f>VLOOKUP("finlandia",#REF!,7,FALSE)</f>
        <v>#REF!</v>
      </c>
      <c r="P230" s="216" t="e">
        <f>VLOOKUP("finlandia",#REF!,8,FALSE)/VLOOKUP("finlandia",#REF!,8,FALSE)-1</f>
        <v>#REF!</v>
      </c>
      <c r="Q230" s="217" t="e">
        <f>VLOOKUP("finlandia",#REF!,8,FALSE)</f>
        <v>#REF!</v>
      </c>
    </row>
    <row r="231" spans="3:17" ht="24" hidden="1" customHeight="1" x14ac:dyDescent="0.2">
      <c r="C231" s="215" t="s">
        <v>53</v>
      </c>
      <c r="D231" s="216" t="e">
        <f>VLOOKUP("suiza",#REF!,6,FALSE)/VLOOKUP("suiza",#REF!,6,FALSE)-1</f>
        <v>#REF!</v>
      </c>
      <c r="E231" s="217" t="e">
        <f>VLOOKUP("suiza",#REF!,6,FALSE)</f>
        <v>#REF!</v>
      </c>
      <c r="F231" s="216" t="e">
        <f>VLOOKUP("suiza",#REF!,5,FALSE)/VLOOKUP("suiza",#REF!,5,FALSE)-1</f>
        <v>#REF!</v>
      </c>
      <c r="G231" s="217" t="e">
        <f>VLOOKUP("suiza",#REF!,5,FALSE)</f>
        <v>#REF!</v>
      </c>
      <c r="H231" s="216" t="e">
        <f>VLOOKUP("suiza",#REF!,4,FALSE)/VLOOKUP("suiza",#REF!,4,FALSE)-1</f>
        <v>#REF!</v>
      </c>
      <c r="I231" s="217" t="e">
        <f>VLOOKUP("suiza",#REF!,4,FALSE)</f>
        <v>#REF!</v>
      </c>
      <c r="J231" s="216" t="e">
        <f>VLOOKUP("suiza",#REF!,3,FALSE)/VLOOKUP("suiza",#REF!,3,FALSE)-1</f>
        <v>#REF!</v>
      </c>
      <c r="K231" s="217" t="e">
        <f>VLOOKUP("suiza",#REF!,3,FALSE)</f>
        <v>#REF!</v>
      </c>
      <c r="L231" s="216" t="e">
        <f>VLOOKUP("suiza",#REF!,2,FALSE)/VLOOKUP("suiza",#REF!,2,FALSE)-1</f>
        <v>#REF!</v>
      </c>
      <c r="M231" s="217" t="e">
        <f>VLOOKUP("suiza",#REF!,2,FALSE)</f>
        <v>#REF!</v>
      </c>
      <c r="N231" s="216" t="e">
        <f>VLOOKUP("suiza",#REF!,7,FALSE)/VLOOKUP("suiza",#REF!,7,FALSE)-1</f>
        <v>#REF!</v>
      </c>
      <c r="O231" s="217" t="e">
        <f>VLOOKUP("suiza",#REF!,7,FALSE)</f>
        <v>#REF!</v>
      </c>
      <c r="P231" s="216" t="e">
        <f>VLOOKUP("suiza",#REF!,8,FALSE)/VLOOKUP("suiza",#REF!,8,FALSE)-1</f>
        <v>#REF!</v>
      </c>
      <c r="Q231" s="217" t="e">
        <f>VLOOKUP("suiza",#REF!,8,FALSE)</f>
        <v>#REF!</v>
      </c>
    </row>
    <row r="232" spans="3:17" ht="24" hidden="1" customHeight="1" x14ac:dyDescent="0.2">
      <c r="C232" s="215" t="s">
        <v>54</v>
      </c>
      <c r="D232" s="216" t="e">
        <f>VLOOKUP("austria",#REF!,6,FALSE)/VLOOKUP("austria",#REF!,6,FALSE)-1</f>
        <v>#REF!</v>
      </c>
      <c r="E232" s="217" t="e">
        <f>VLOOKUP("austria",#REF!,6,FALSE)</f>
        <v>#REF!</v>
      </c>
      <c r="F232" s="216" t="e">
        <f>VLOOKUP("austria",#REF!,5,FALSE)/VLOOKUP("austria",#REF!,5,FALSE)-1</f>
        <v>#REF!</v>
      </c>
      <c r="G232" s="217" t="e">
        <f>VLOOKUP("austria",#REF!,5,FALSE)</f>
        <v>#REF!</v>
      </c>
      <c r="H232" s="216" t="e">
        <f>VLOOKUP("austria",#REF!,4,FALSE)/VLOOKUP("austria",#REF!,4,FALSE)-1</f>
        <v>#REF!</v>
      </c>
      <c r="I232" s="217" t="e">
        <f>VLOOKUP("austria",#REF!,4,FALSE)</f>
        <v>#REF!</v>
      </c>
      <c r="J232" s="216" t="e">
        <f>VLOOKUP("austria",#REF!,3,FALSE)/VLOOKUP("austria",#REF!,3,FALSE)-1</f>
        <v>#REF!</v>
      </c>
      <c r="K232" s="217" t="e">
        <f>VLOOKUP("austria",#REF!,3,FALSE)</f>
        <v>#REF!</v>
      </c>
      <c r="L232" s="216" t="e">
        <f>VLOOKUP("austria",#REF!,2,FALSE)/VLOOKUP("austria",#REF!,2,FALSE)-1</f>
        <v>#REF!</v>
      </c>
      <c r="M232" s="217" t="e">
        <f>VLOOKUP("austria",#REF!,2,FALSE)</f>
        <v>#REF!</v>
      </c>
      <c r="N232" s="216" t="e">
        <f>VLOOKUP("austria",#REF!,7,FALSE)/VLOOKUP("austria",#REF!,7,FALSE)-1</f>
        <v>#REF!</v>
      </c>
      <c r="O232" s="217" t="e">
        <f>VLOOKUP("austria",#REF!,7,FALSE)</f>
        <v>#REF!</v>
      </c>
      <c r="P232" s="216" t="e">
        <f>VLOOKUP("austria",#REF!,8,FALSE)/VLOOKUP("austria",#REF!,8,FALSE)-1</f>
        <v>#REF!</v>
      </c>
      <c r="Q232" s="217" t="e">
        <f>VLOOKUP("austria",#REF!,8,FALSE)</f>
        <v>#REF!</v>
      </c>
    </row>
    <row r="233" spans="3:17" ht="24" hidden="1" customHeight="1" x14ac:dyDescent="0.2">
      <c r="C233" s="215" t="s">
        <v>55</v>
      </c>
      <c r="D233" s="216" t="e">
        <f>VLOOKUP("rusia",#REF!,6,FALSE)/VLOOKUP("rusia",#REF!,6,FALSE)-1</f>
        <v>#REF!</v>
      </c>
      <c r="E233" s="217" t="e">
        <f>VLOOKUP("rusia",#REF!,6,FALSE)</f>
        <v>#REF!</v>
      </c>
      <c r="F233" s="216" t="e">
        <f>VLOOKUP("rusia",#REF!,5,FALSE)/VLOOKUP("rusia",#REF!,5,FALSE)-1</f>
        <v>#REF!</v>
      </c>
      <c r="G233" s="217" t="e">
        <f>VLOOKUP("rusia",#REF!,5,FALSE)</f>
        <v>#REF!</v>
      </c>
      <c r="H233" s="216" t="e">
        <f>VLOOKUP("rusia",#REF!,4,FALSE)/VLOOKUP("rusia",#REF!,4,FALSE)-1</f>
        <v>#REF!</v>
      </c>
      <c r="I233" s="217" t="e">
        <f>VLOOKUP("rusia",#REF!,4,FALSE)</f>
        <v>#REF!</v>
      </c>
      <c r="J233" s="216" t="e">
        <f>VLOOKUP("rusia",#REF!,3,FALSE)/VLOOKUP("rusia",#REF!,3,FALSE)-1</f>
        <v>#REF!</v>
      </c>
      <c r="K233" s="217" t="e">
        <f>VLOOKUP("rusia",#REF!,3,FALSE)</f>
        <v>#REF!</v>
      </c>
      <c r="L233" s="216" t="e">
        <f>VLOOKUP("rusia",#REF!,2,FALSE)/VLOOKUP("rusia",#REF!,2,FALSE)-1</f>
        <v>#REF!</v>
      </c>
      <c r="M233" s="217" t="e">
        <f>VLOOKUP("rusia",#REF!,2,FALSE)</f>
        <v>#REF!</v>
      </c>
      <c r="N233" s="216" t="e">
        <f>VLOOKUP("rusia",#REF!,7,FALSE)/VLOOKUP("rusia",#REF!,7,FALSE)-1</f>
        <v>#REF!</v>
      </c>
      <c r="O233" s="217" t="e">
        <f>VLOOKUP("rusia",#REF!,7,FALSE)</f>
        <v>#REF!</v>
      </c>
      <c r="P233" s="216" t="e">
        <f>VLOOKUP("rusia",#REF!,8,FALSE)/VLOOKUP("rusia",#REF!,8,FALSE)-1</f>
        <v>#REF!</v>
      </c>
      <c r="Q233" s="217" t="e">
        <f>VLOOKUP("rusia",#REF!,8,FALSE)</f>
        <v>#REF!</v>
      </c>
    </row>
    <row r="234" spans="3:17" ht="24" hidden="1" customHeight="1" x14ac:dyDescent="0.2">
      <c r="C234" s="215" t="s">
        <v>56</v>
      </c>
      <c r="D234" s="216" t="e">
        <f>VLOOKUP("paises del este",#REF!,6,FALSE)/VLOOKUP("paises del este",#REF!,6,FALSE)-1</f>
        <v>#REF!</v>
      </c>
      <c r="E234" s="217" t="e">
        <f>VLOOKUP("paises del este",#REF!,6,FALSE)</f>
        <v>#REF!</v>
      </c>
      <c r="F234" s="216" t="e">
        <f>VLOOKUP("paises del este",#REF!,5,FALSE)/VLOOKUP("paises del este",#REF!,5,FALSE)-1</f>
        <v>#REF!</v>
      </c>
      <c r="G234" s="217" t="e">
        <f>VLOOKUP("paises del este",#REF!,5,FALSE)</f>
        <v>#REF!</v>
      </c>
      <c r="H234" s="216" t="e">
        <f>VLOOKUP("paises del este",#REF!,4,FALSE)/VLOOKUP("paises del este",#REF!,4,FALSE)-1</f>
        <v>#REF!</v>
      </c>
      <c r="I234" s="217" t="e">
        <f>VLOOKUP("paises del este",#REF!,4,FALSE)</f>
        <v>#REF!</v>
      </c>
      <c r="J234" s="216" t="e">
        <f>VLOOKUP("paises del este",#REF!,3,FALSE)/VLOOKUP("paises del este",#REF!,3,FALSE)-1</f>
        <v>#REF!</v>
      </c>
      <c r="K234" s="217" t="e">
        <f>VLOOKUP("paises del este",#REF!,3,FALSE)</f>
        <v>#REF!</v>
      </c>
      <c r="L234" s="216" t="e">
        <f>VLOOKUP("paises del este",#REF!,2,FALSE)/VLOOKUP("paises del este",#REF!,2,FALSE)-1</f>
        <v>#REF!</v>
      </c>
      <c r="M234" s="217" t="e">
        <f>VLOOKUP("paises del este",#REF!,2,FALSE)</f>
        <v>#REF!</v>
      </c>
      <c r="N234" s="216" t="e">
        <f>VLOOKUP("paises del este",#REF!,7,FALSE)/VLOOKUP("paises del este",#REF!,7,FALSE)-1</f>
        <v>#REF!</v>
      </c>
      <c r="O234" s="217" t="e">
        <f>VLOOKUP("paises del este",#REF!,7,FALSE)</f>
        <v>#REF!</v>
      </c>
      <c r="P234" s="216" t="e">
        <f>VLOOKUP("paises del este",#REF!,8,FALSE)/VLOOKUP("paises del este",#REF!,8,FALSE)-1</f>
        <v>#REF!</v>
      </c>
      <c r="Q234" s="217" t="e">
        <f>VLOOKUP("paises del este",#REF!,8,FALSE)</f>
        <v>#REF!</v>
      </c>
    </row>
    <row r="235" spans="3:17" ht="24" hidden="1" customHeight="1" x14ac:dyDescent="0.2">
      <c r="C235" s="215" t="s">
        <v>57</v>
      </c>
      <c r="D235" s="216" t="e">
        <f>VLOOKUP("resto de europa",#REF!,6,FALSE)/VLOOKUP("resto de europa",#REF!,6,FALSE)-1</f>
        <v>#REF!</v>
      </c>
      <c r="E235" s="217" t="e">
        <f>VLOOKUP("resto de europa",#REF!,6,FALSE)</f>
        <v>#REF!</v>
      </c>
      <c r="F235" s="216" t="e">
        <f>VLOOKUP("resto de europa",#REF!,5,FALSE)/VLOOKUP("resto de europa",#REF!,5,FALSE)-1</f>
        <v>#REF!</v>
      </c>
      <c r="G235" s="217" t="e">
        <f>VLOOKUP("resto de europa",#REF!,5,FALSE)</f>
        <v>#REF!</v>
      </c>
      <c r="H235" s="216" t="e">
        <f>VLOOKUP("resto de europa",#REF!,4,FALSE)/VLOOKUP("resto de europa",#REF!,4,FALSE)-1</f>
        <v>#REF!</v>
      </c>
      <c r="I235" s="217" t="e">
        <f>VLOOKUP("resto de europa",#REF!,4,FALSE)</f>
        <v>#REF!</v>
      </c>
      <c r="J235" s="216" t="e">
        <f>VLOOKUP("resto de europa",#REF!,3,FALSE)/VLOOKUP("resto de europa",#REF!,3,FALSE)-1</f>
        <v>#REF!</v>
      </c>
      <c r="K235" s="217" t="e">
        <f>VLOOKUP("resto de europa",#REF!,3,FALSE)</f>
        <v>#REF!</v>
      </c>
      <c r="L235" s="216" t="e">
        <f>VLOOKUP("resto de europa",#REF!,2,FALSE)/VLOOKUP("resto de europa",#REF!,2,FALSE)-1</f>
        <v>#REF!</v>
      </c>
      <c r="M235" s="217" t="e">
        <f>VLOOKUP("resto de europa",#REF!,2,FALSE)</f>
        <v>#REF!</v>
      </c>
      <c r="N235" s="216" t="e">
        <f>VLOOKUP("resto de europa",#REF!,7,FALSE)/VLOOKUP("resto de europa",#REF!,7,FALSE)-1</f>
        <v>#REF!</v>
      </c>
      <c r="O235" s="217" t="e">
        <f>VLOOKUP("resto de europa",#REF!,7,FALSE)</f>
        <v>#REF!</v>
      </c>
      <c r="P235" s="216" t="e">
        <f>VLOOKUP("resto de europa",#REF!,8,FALSE)/VLOOKUP("resto de europa",#REF!,8,FALSE)-1</f>
        <v>#REF!</v>
      </c>
      <c r="Q235" s="217" t="e">
        <f>VLOOKUP("resto de europa",#REF!,8,FALSE)</f>
        <v>#REF!</v>
      </c>
    </row>
    <row r="236" spans="3:17" ht="24" hidden="1" customHeight="1" x14ac:dyDescent="0.2">
      <c r="C236" s="215" t="s">
        <v>58</v>
      </c>
      <c r="D236" s="216" t="e">
        <f>VLOOKUP("usa",#REF!,6,FALSE)/VLOOKUP("usa",#REF!,6,FALSE)-1</f>
        <v>#REF!</v>
      </c>
      <c r="E236" s="217" t="e">
        <f>VLOOKUP("usa",#REF!,6,FALSE)</f>
        <v>#REF!</v>
      </c>
      <c r="F236" s="216" t="e">
        <f>VLOOKUP("usa",#REF!,5,FALSE)/VLOOKUP("usa",#REF!,5,FALSE)-1</f>
        <v>#REF!</v>
      </c>
      <c r="G236" s="217" t="e">
        <f>VLOOKUP("usa",#REF!,5,FALSE)</f>
        <v>#REF!</v>
      </c>
      <c r="H236" s="216" t="e">
        <f>VLOOKUP("usa",#REF!,4,FALSE)/VLOOKUP("usa",#REF!,4,FALSE)-1</f>
        <v>#REF!</v>
      </c>
      <c r="I236" s="217" t="e">
        <f>VLOOKUP("usa",#REF!,4,FALSE)</f>
        <v>#REF!</v>
      </c>
      <c r="J236" s="216" t="e">
        <f>VLOOKUP("usa",#REF!,3,FALSE)/VLOOKUP("usa",#REF!,3,FALSE)-1</f>
        <v>#REF!</v>
      </c>
      <c r="K236" s="217" t="e">
        <f>VLOOKUP("usa",#REF!,3,FALSE)</f>
        <v>#REF!</v>
      </c>
      <c r="L236" s="216" t="e">
        <f>VLOOKUP("usa",#REF!,2,FALSE)/VLOOKUP("usa",#REF!,2,FALSE)-1</f>
        <v>#REF!</v>
      </c>
      <c r="M236" s="217" t="e">
        <f>VLOOKUP("usa",#REF!,2,FALSE)</f>
        <v>#REF!</v>
      </c>
      <c r="N236" s="216" t="e">
        <f>VLOOKUP("usa",#REF!,7,FALSE)/VLOOKUP("usa",#REF!,7,FALSE)-1</f>
        <v>#REF!</v>
      </c>
      <c r="O236" s="217" t="e">
        <f>VLOOKUP("usa",#REF!,7,FALSE)</f>
        <v>#REF!</v>
      </c>
      <c r="P236" s="216" t="e">
        <f>VLOOKUP("usa",#REF!,8,FALSE)/VLOOKUP("usa",#REF!,8,FALSE)-1</f>
        <v>#REF!</v>
      </c>
      <c r="Q236" s="217" t="e">
        <f>VLOOKUP("usa",#REF!,8,FALSE)</f>
        <v>#REF!</v>
      </c>
    </row>
    <row r="237" spans="3:17" ht="24" hidden="1" customHeight="1" x14ac:dyDescent="0.2">
      <c r="C237" s="215" t="s">
        <v>59</v>
      </c>
      <c r="D237" s="216" t="e">
        <f>VLOOKUP("resto de america",#REF!,6,FALSE)/VLOOKUP("resto de america",#REF!,6,FALSE)-1</f>
        <v>#REF!</v>
      </c>
      <c r="E237" s="217" t="e">
        <f>VLOOKUP("resto de america",#REF!,6,FALSE)</f>
        <v>#REF!</v>
      </c>
      <c r="F237" s="216" t="e">
        <f>VLOOKUP("resto de america",#REF!,5,FALSE)/VLOOKUP("resto de america",#REF!,5,FALSE)-1</f>
        <v>#REF!</v>
      </c>
      <c r="G237" s="217" t="e">
        <f>VLOOKUP("resto de america",#REF!,5,FALSE)</f>
        <v>#REF!</v>
      </c>
      <c r="H237" s="216" t="e">
        <f>VLOOKUP("resto de america",#REF!,4,FALSE)/VLOOKUP("resto de america",#REF!,4,FALSE)-1</f>
        <v>#REF!</v>
      </c>
      <c r="I237" s="217" t="e">
        <f>VLOOKUP("resto de america",#REF!,4,FALSE)</f>
        <v>#REF!</v>
      </c>
      <c r="J237" s="216" t="e">
        <f>VLOOKUP("resto de america",#REF!,3,FALSE)/VLOOKUP("resto de america",#REF!,3,FALSE)-1</f>
        <v>#REF!</v>
      </c>
      <c r="K237" s="217" t="e">
        <f>VLOOKUP("resto de america",#REF!,3,FALSE)</f>
        <v>#REF!</v>
      </c>
      <c r="L237" s="216" t="e">
        <f>VLOOKUP("resto de america",#REF!,2,FALSE)/VLOOKUP("resto de america",#REF!,2,FALSE)-1</f>
        <v>#REF!</v>
      </c>
      <c r="M237" s="217" t="e">
        <f>VLOOKUP("resto de america",#REF!,2,FALSE)</f>
        <v>#REF!</v>
      </c>
      <c r="N237" s="216" t="e">
        <f>VLOOKUP("resto de america",#REF!,7,FALSE)/VLOOKUP("resto de america",#REF!,7,FALSE)-1</f>
        <v>#REF!</v>
      </c>
      <c r="O237" s="217" t="e">
        <f>VLOOKUP("resto de america",#REF!,7,FALSE)</f>
        <v>#REF!</v>
      </c>
      <c r="P237" s="216" t="e">
        <f>VLOOKUP("resto de america",#REF!,8,FALSE)/VLOOKUP("resto de america",#REF!,8,FALSE)-1</f>
        <v>#REF!</v>
      </c>
      <c r="Q237" s="217" t="e">
        <f>VLOOKUP("resto de america",#REF!,8,FALSE)</f>
        <v>#REF!</v>
      </c>
    </row>
    <row r="238" spans="3:17" ht="24" hidden="1" customHeight="1" x14ac:dyDescent="0.2">
      <c r="C238" s="215" t="s">
        <v>60</v>
      </c>
      <c r="D238" s="216" t="e">
        <f>VLOOKUP("resto del mundo",#REF!,6,FALSE)/VLOOKUP("resto del mundo",#REF!,6,FALSE)-1</f>
        <v>#REF!</v>
      </c>
      <c r="E238" s="217" t="e">
        <f>VLOOKUP("resto del mundo",#REF!,6,FALSE)</f>
        <v>#REF!</v>
      </c>
      <c r="F238" s="216" t="e">
        <f>VLOOKUP("resto del mundo",#REF!,5,FALSE)/VLOOKUP("resto del mundo",#REF!,5,FALSE)-1</f>
        <v>#REF!</v>
      </c>
      <c r="G238" s="217" t="e">
        <f>VLOOKUP("resto del mundo",#REF!,5,FALSE)</f>
        <v>#REF!</v>
      </c>
      <c r="H238" s="216" t="e">
        <f>VLOOKUP("resto del mundo",#REF!,4,FALSE)/VLOOKUP("resto del mundo",#REF!,4,FALSE)-1</f>
        <v>#REF!</v>
      </c>
      <c r="I238" s="217" t="e">
        <f>VLOOKUP("resto del mundo",#REF!,4,FALSE)</f>
        <v>#REF!</v>
      </c>
      <c r="J238" s="216" t="e">
        <f>VLOOKUP("resto del mundo",#REF!,3,FALSE)/VLOOKUP("resto del mundo",#REF!,3,FALSE)-1</f>
        <v>#REF!</v>
      </c>
      <c r="K238" s="217" t="e">
        <f>VLOOKUP("resto del mundo",#REF!,3,FALSE)</f>
        <v>#REF!</v>
      </c>
      <c r="L238" s="216" t="e">
        <f>VLOOKUP("resto del mundo",#REF!,2,FALSE)/VLOOKUP("resto del mundo",#REF!,2,FALSE)-1</f>
        <v>#REF!</v>
      </c>
      <c r="M238" s="217" t="e">
        <f>VLOOKUP("resto del mundo",#REF!,2,FALSE)</f>
        <v>#REF!</v>
      </c>
      <c r="N238" s="216" t="e">
        <f>VLOOKUP("resto del mundo",#REF!,7,FALSE)/VLOOKUP("resto del mundo",#REF!,7,FALSE)-1</f>
        <v>#REF!</v>
      </c>
      <c r="O238" s="217" t="e">
        <f>VLOOKUP("resto del mundo",#REF!,7,FALSE)</f>
        <v>#REF!</v>
      </c>
      <c r="P238" s="216" t="e">
        <f>VLOOKUP("resto del mundo",#REF!,8,FALSE)/VLOOKUP("resto del mundo",#REF!,8,FALSE)-1</f>
        <v>#REF!</v>
      </c>
      <c r="Q238" s="217" t="e">
        <f>VLOOKUP("resto del mundo",#REF!,8,FALSE)</f>
        <v>#REF!</v>
      </c>
    </row>
    <row r="239" spans="3:17" ht="24" hidden="1" customHeight="1" x14ac:dyDescent="0.2">
      <c r="C239" s="215" t="s">
        <v>61</v>
      </c>
      <c r="D239" s="216" t="e">
        <f>(VLOOKUP("total",#REF!,6,FALSE)-VLOOKUP("españa",#REF!,6,FALSE))/(VLOOKUP("total",#REF!,6,FALSE)-VLOOKUP("españa",#REF!,6,FALSE))-1</f>
        <v>#REF!</v>
      </c>
      <c r="E239" s="217" t="e">
        <f>VLOOKUP("total",#REF!,6,FALSE)-VLOOKUP("españa",#REF!,6,FALSE)</f>
        <v>#REF!</v>
      </c>
      <c r="F239" s="216" t="e">
        <f>(VLOOKUP("total",#REF!,5,FALSE)-VLOOKUP("españa",#REF!,5,FALSE))/(VLOOKUP("total",#REF!,5,FALSE)-VLOOKUP("españa",#REF!,5,FALSE))-1</f>
        <v>#REF!</v>
      </c>
      <c r="G239" s="217" t="e">
        <f>VLOOKUP("total",#REF!,5,FALSE)-VLOOKUP("españa",#REF!,5,FALSE)</f>
        <v>#REF!</v>
      </c>
      <c r="H239" s="216" t="e">
        <f>(VLOOKUP("total",#REF!,4,FALSE)-VLOOKUP("españa",#REF!,4,FALSE))/(VLOOKUP("total",#REF!,4,FALSE)-VLOOKUP("españa",#REF!,4,FALSE))-1</f>
        <v>#REF!</v>
      </c>
      <c r="I239" s="217" t="e">
        <f>VLOOKUP("total",#REF!,4,FALSE)-VLOOKUP("españa",#REF!,4,FALSE)</f>
        <v>#REF!</v>
      </c>
      <c r="J239" s="216" t="e">
        <f>(VLOOKUP("total",#REF!,3,FALSE)-VLOOKUP("españa",#REF!,3,FALSE))/(VLOOKUP("total",#REF!,3,FALSE)-VLOOKUP("españa",#REF!,3,FALSE))-1</f>
        <v>#REF!</v>
      </c>
      <c r="K239" s="217" t="e">
        <f>VLOOKUP("total",#REF!,3,FALSE)-VLOOKUP("españa",#REF!,3,FALSE)</f>
        <v>#REF!</v>
      </c>
      <c r="L239" s="216" t="e">
        <f>(VLOOKUP("total",#REF!,2,FALSE)-VLOOKUP("españa",#REF!,2,FALSE))/(VLOOKUP("total",#REF!,2,FALSE)-VLOOKUP("españa",#REF!,2,FALSE))-1</f>
        <v>#REF!</v>
      </c>
      <c r="M239" s="217" t="e">
        <f>VLOOKUP("total",#REF!,2,FALSE)-VLOOKUP("españa",#REF!,2,FALSE)</f>
        <v>#REF!</v>
      </c>
      <c r="N239" s="216" t="e">
        <f>(VLOOKUP("total",#REF!,7,FALSE)-VLOOKUP("españa",#REF!,7,FALSE))/(VLOOKUP("total",#REF!,7,FALSE)-VLOOKUP("españa",#REF!,7,FALSE))-1</f>
        <v>#REF!</v>
      </c>
      <c r="O239" s="217" t="e">
        <f>VLOOKUP("total",#REF!,7,FALSE)-VLOOKUP("españa",#REF!,7,FALSE)</f>
        <v>#REF!</v>
      </c>
      <c r="P239" s="216" t="e">
        <f>(VLOOKUP("total",#REF!,8,FALSE)-VLOOKUP("españa",#REF!,8,FALSE))/(VLOOKUP("total",#REF!,8,FALSE)-VLOOKUP("españa",#REF!,8,FALSE))-1</f>
        <v>#REF!</v>
      </c>
      <c r="Q239" s="217" t="e">
        <f>VLOOKUP("total",#REF!,8,FALSE)-VLOOKUP("españa",#REF!,8,FALSE)</f>
        <v>#REF!</v>
      </c>
    </row>
    <row r="240" spans="3:17" ht="24" hidden="1" customHeight="1" x14ac:dyDescent="0.2">
      <c r="C240" s="215" t="s">
        <v>8</v>
      </c>
      <c r="D240" s="216" t="e">
        <f>VLOOKUP("total",#REF!,6,FALSE)/VLOOKUP("total",#REF!,6,FALSE)-1</f>
        <v>#REF!</v>
      </c>
      <c r="E240" s="217" t="e">
        <f>VLOOKUP("total",#REF!,6,FALSE)</f>
        <v>#REF!</v>
      </c>
      <c r="F240" s="216" t="e">
        <f>VLOOKUP("total",#REF!,5,FALSE)/VLOOKUP("total",#REF!,5,FALSE)-1</f>
        <v>#REF!</v>
      </c>
      <c r="G240" s="217" t="e">
        <f>VLOOKUP("total",#REF!,5,FALSE)</f>
        <v>#REF!</v>
      </c>
      <c r="H240" s="216" t="e">
        <f>VLOOKUP("total",#REF!,4,FALSE)/VLOOKUP("total",#REF!,4,FALSE)-1</f>
        <v>#REF!</v>
      </c>
      <c r="I240" s="217" t="e">
        <f>VLOOKUP("total",#REF!,4,FALSE)</f>
        <v>#REF!</v>
      </c>
      <c r="J240" s="216" t="e">
        <f>VLOOKUP("total",#REF!,3,FALSE)/VLOOKUP("total",#REF!,3,FALSE)-1</f>
        <v>#REF!</v>
      </c>
      <c r="K240" s="217" t="e">
        <f>VLOOKUP("total",#REF!,3,FALSE)</f>
        <v>#REF!</v>
      </c>
      <c r="L240" s="216" t="e">
        <f>VLOOKUP("total",#REF!,2,FALSE)/VLOOKUP("total",#REF!,2,FALSE)-1</f>
        <v>#REF!</v>
      </c>
      <c r="M240" s="217" t="e">
        <f>VLOOKUP("total",#REF!,2,FALSE)</f>
        <v>#REF!</v>
      </c>
      <c r="N240" s="216" t="e">
        <f>VLOOKUP("total",#REF!,7,FALSE)/VLOOKUP("total",#REF!,7,FALSE)-1</f>
        <v>#REF!</v>
      </c>
      <c r="O240" s="217" t="e">
        <f>VLOOKUP("total",#REF!,7,FALSE)</f>
        <v>#REF!</v>
      </c>
      <c r="P240" s="216" t="e">
        <f>VLOOKUP("total",#REF!,8,FALSE)/VLOOKUP("total",#REF!,8,FALSE)-1</f>
        <v>#REF!</v>
      </c>
      <c r="Q240" s="217" t="e">
        <f>VLOOKUP("total",#REF!,8,FALSE)</f>
        <v>#REF!</v>
      </c>
    </row>
    <row r="241" spans="3:13" ht="18" customHeight="1" thickBot="1" x14ac:dyDescent="0.25">
      <c r="C241" s="4"/>
    </row>
    <row r="242" spans="3:13" ht="50.25" customHeight="1" thickBot="1" x14ac:dyDescent="0.25">
      <c r="C242" s="2"/>
      <c r="D242" s="2"/>
      <c r="E242" s="3" t="str">
        <f>$E$1</f>
        <v>INDICADORES TURÍSTICOS DE TENERIFE definitivo</v>
      </c>
      <c r="F242" s="3"/>
      <c r="G242" s="3"/>
      <c r="H242" s="3"/>
      <c r="I242" s="3"/>
      <c r="J242" s="3"/>
      <c r="K242" s="3"/>
      <c r="L242" s="2"/>
      <c r="M242" s="2"/>
    </row>
    <row r="243" spans="3:13" ht="5.25" customHeight="1" thickBot="1" x14ac:dyDescent="0.25">
      <c r="C243" s="4"/>
    </row>
    <row r="244" spans="3:13" ht="28.5" customHeight="1" thickBot="1" x14ac:dyDescent="0.25">
      <c r="C244" s="222" t="s">
        <v>67</v>
      </c>
      <c r="D244" s="223"/>
      <c r="E244" s="223"/>
      <c r="F244" s="223"/>
      <c r="G244" s="223"/>
      <c r="H244" s="223"/>
      <c r="I244" s="223"/>
      <c r="J244" s="223"/>
      <c r="K244" s="223"/>
      <c r="L244" s="223"/>
      <c r="M244" s="224"/>
    </row>
    <row r="245" spans="3:13" ht="5.25" customHeight="1" thickBot="1" x14ac:dyDescent="0.25">
      <c r="C245" s="225"/>
      <c r="D245" s="226"/>
      <c r="E245" s="226"/>
      <c r="F245" s="226"/>
      <c r="G245" s="227"/>
      <c r="H245" s="227"/>
      <c r="I245" s="227"/>
      <c r="J245" s="226"/>
      <c r="K245" s="226"/>
      <c r="L245" s="226"/>
      <c r="M245" s="228"/>
    </row>
    <row r="246" spans="3:13" ht="32.25" customHeight="1" thickTop="1" thickBot="1" x14ac:dyDescent="0.25">
      <c r="C246" s="175"/>
      <c r="D246" s="176" t="s">
        <v>7</v>
      </c>
      <c r="E246" s="177"/>
      <c r="F246" s="176" t="s">
        <v>30</v>
      </c>
      <c r="G246" s="177"/>
      <c r="H246" s="176" t="s">
        <v>31</v>
      </c>
      <c r="I246" s="177"/>
      <c r="J246" s="176" t="s">
        <v>32</v>
      </c>
      <c r="K246" s="177"/>
      <c r="L246" s="176" t="s">
        <v>33</v>
      </c>
      <c r="M246" s="229"/>
    </row>
    <row r="247" spans="3:13" ht="31.5" customHeight="1" thickBot="1" x14ac:dyDescent="0.25">
      <c r="C247" s="178"/>
      <c r="D247" s="230" t="s">
        <v>68</v>
      </c>
      <c r="E247" s="231" t="s">
        <v>69</v>
      </c>
      <c r="F247" s="230" t="s">
        <v>68</v>
      </c>
      <c r="G247" s="231" t="s">
        <v>69</v>
      </c>
      <c r="H247" s="230" t="s">
        <v>68</v>
      </c>
      <c r="I247" s="231" t="s">
        <v>69</v>
      </c>
      <c r="J247" s="230" t="s">
        <v>68</v>
      </c>
      <c r="K247" s="231" t="s">
        <v>69</v>
      </c>
      <c r="L247" s="230" t="s">
        <v>68</v>
      </c>
      <c r="M247" s="232" t="s">
        <v>69</v>
      </c>
    </row>
    <row r="248" spans="3:13" ht="18.75" thickBot="1" x14ac:dyDescent="0.25">
      <c r="C248" s="181" t="s">
        <v>36</v>
      </c>
      <c r="D248" s="233">
        <v>0.13812025412722742</v>
      </c>
      <c r="E248" s="234">
        <v>0.20891107790144448</v>
      </c>
      <c r="F248" s="233">
        <v>0.60868312361924892</v>
      </c>
      <c r="G248" s="234">
        <v>0.69771822079631596</v>
      </c>
      <c r="H248" s="233">
        <v>0.37543777725893068</v>
      </c>
      <c r="I248" s="234">
        <v>0.50209127671865972</v>
      </c>
      <c r="J248" s="233">
        <v>0.29451797311486461</v>
      </c>
      <c r="K248" s="234">
        <v>0.45706731982276227</v>
      </c>
      <c r="L248" s="233">
        <v>6.7742858285373284E-2</v>
      </c>
      <c r="M248" s="235">
        <v>0.12153004805881555</v>
      </c>
    </row>
    <row r="249" spans="3:13" ht="26.25" thickBot="1" x14ac:dyDescent="0.25">
      <c r="C249" s="236" t="s">
        <v>70</v>
      </c>
      <c r="D249" s="237">
        <v>3.3037346574111552E-2</v>
      </c>
      <c r="E249" s="238">
        <v>5.6456385199673872E-2</v>
      </c>
      <c r="F249" s="237"/>
      <c r="G249" s="238"/>
      <c r="H249" s="237"/>
      <c r="I249" s="238"/>
      <c r="J249" s="237"/>
      <c r="K249" s="238"/>
      <c r="L249" s="237"/>
      <c r="M249" s="239"/>
    </row>
    <row r="250" spans="3:13" ht="26.25" thickBot="1" x14ac:dyDescent="0.25">
      <c r="C250" s="236" t="s">
        <v>39</v>
      </c>
      <c r="D250" s="237">
        <v>1.6526314251446371E-2</v>
      </c>
      <c r="E250" s="238">
        <v>2.7166628649075736E-2</v>
      </c>
      <c r="F250" s="237"/>
      <c r="G250" s="238"/>
      <c r="H250" s="237"/>
      <c r="I250" s="238"/>
      <c r="J250" s="237"/>
      <c r="K250" s="238"/>
      <c r="L250" s="237"/>
      <c r="M250" s="239"/>
    </row>
    <row r="251" spans="3:13" ht="18.75" thickBot="1" x14ac:dyDescent="0.25">
      <c r="C251" s="236" t="s">
        <v>40</v>
      </c>
      <c r="D251" s="237">
        <v>8.8556593301669498E-2</v>
      </c>
      <c r="E251" s="238">
        <v>0.12528806405279985</v>
      </c>
      <c r="F251" s="237"/>
      <c r="G251" s="238"/>
      <c r="H251" s="237"/>
      <c r="I251" s="238"/>
      <c r="J251" s="237"/>
      <c r="K251" s="238"/>
      <c r="L251" s="237"/>
      <c r="M251" s="239"/>
    </row>
    <row r="252" spans="3:13" ht="18.75" thickBot="1" x14ac:dyDescent="0.25">
      <c r="C252" s="240" t="s">
        <v>41</v>
      </c>
      <c r="D252" s="241">
        <v>2.7724672103335714E-2</v>
      </c>
      <c r="E252" s="242">
        <v>2.9819552870194277E-2</v>
      </c>
      <c r="F252" s="241">
        <v>1.1718374795888964E-2</v>
      </c>
      <c r="G252" s="242">
        <v>9.159284356839624E-3</v>
      </c>
      <c r="H252" s="241">
        <v>2.8017744571561989E-2</v>
      </c>
      <c r="I252" s="242">
        <v>2.0311958405545928E-2</v>
      </c>
      <c r="J252" s="241">
        <v>1.2172199681111702E-2</v>
      </c>
      <c r="K252" s="242">
        <v>1.0280028043693112E-2</v>
      </c>
      <c r="L252" s="241">
        <v>3.2436472806577729E-2</v>
      </c>
      <c r="M252" s="243">
        <v>3.5587396468424536E-2</v>
      </c>
    </row>
    <row r="253" spans="3:13" ht="24" customHeight="1" thickBot="1" x14ac:dyDescent="0.25">
      <c r="C253" s="244" t="s">
        <v>42</v>
      </c>
      <c r="D253" s="237">
        <v>3.2320490470228974E-2</v>
      </c>
      <c r="E253" s="238">
        <v>2.7699577827473162E-2</v>
      </c>
      <c r="F253" s="237">
        <v>9.317068485255979E-3</v>
      </c>
      <c r="G253" s="238">
        <v>6.3954152787359846E-3</v>
      </c>
      <c r="H253" s="237">
        <v>1.7511090357226242E-2</v>
      </c>
      <c r="I253" s="238">
        <v>1.1808203350664357E-2</v>
      </c>
      <c r="J253" s="237">
        <v>9.9166483025031442E-3</v>
      </c>
      <c r="K253" s="238">
        <v>7.2971444698974094E-3</v>
      </c>
      <c r="L253" s="237">
        <v>3.9305191988852559E-2</v>
      </c>
      <c r="M253" s="239">
        <v>3.3767257194046593E-2</v>
      </c>
    </row>
    <row r="254" spans="3:13" ht="24" customHeight="1" thickBot="1" x14ac:dyDescent="0.25">
      <c r="C254" s="240" t="s">
        <v>43</v>
      </c>
      <c r="D254" s="241">
        <v>0.12099591664814144</v>
      </c>
      <c r="E254" s="242">
        <v>0.11726222510007568</v>
      </c>
      <c r="F254" s="241">
        <v>4.6873499183555857E-2</v>
      </c>
      <c r="G254" s="242">
        <v>4.0048589918861607E-2</v>
      </c>
      <c r="H254" s="241">
        <v>0.21083352790100396</v>
      </c>
      <c r="I254" s="242">
        <v>0.20016175621028306</v>
      </c>
      <c r="J254" s="241">
        <v>0.27928651983977809</v>
      </c>
      <c r="K254" s="242">
        <v>0.23862370489896989</v>
      </c>
      <c r="L254" s="241">
        <v>8.6998649633801606E-2</v>
      </c>
      <c r="M254" s="243">
        <v>9.2453711375928407E-2</v>
      </c>
    </row>
    <row r="255" spans="3:13" ht="24" customHeight="1" thickBot="1" x14ac:dyDescent="0.25">
      <c r="C255" s="244" t="s">
        <v>44</v>
      </c>
      <c r="D255" s="237">
        <v>3.0448466695527032E-2</v>
      </c>
      <c r="E255" s="238">
        <v>3.0398280149028973E-2</v>
      </c>
      <c r="F255" s="237">
        <v>2.4157141484967823E-2</v>
      </c>
      <c r="G255" s="238">
        <v>2.9086230175694037E-2</v>
      </c>
      <c r="H255" s="237">
        <v>8.8722857809946293E-2</v>
      </c>
      <c r="I255" s="238">
        <v>8.3004043905257077E-2</v>
      </c>
      <c r="J255" s="237">
        <v>2.5886989098168337E-2</v>
      </c>
      <c r="K255" s="238">
        <v>2.8504439420337261E-2</v>
      </c>
      <c r="L255" s="237">
        <v>3.1166082738382696E-2</v>
      </c>
      <c r="M255" s="239">
        <v>3.0382627902853281E-2</v>
      </c>
    </row>
    <row r="256" spans="3:13" ht="24" customHeight="1" thickBot="1" x14ac:dyDescent="0.25">
      <c r="C256" s="240" t="s">
        <v>45</v>
      </c>
      <c r="D256" s="241">
        <v>0.33209935766184229</v>
      </c>
      <c r="E256" s="242">
        <v>0.36612102993801421</v>
      </c>
      <c r="F256" s="241">
        <v>6.4403035251176646E-2</v>
      </c>
      <c r="G256" s="242">
        <v>4.5352001794610242E-2</v>
      </c>
      <c r="H256" s="241">
        <v>8.1484940462292779E-2</v>
      </c>
      <c r="I256" s="242">
        <v>4.9820912767186594E-2</v>
      </c>
      <c r="J256" s="241">
        <v>0.10655535823081809</v>
      </c>
      <c r="K256" s="242">
        <v>9.073510976632583E-2</v>
      </c>
      <c r="L256" s="241">
        <v>0.40606649707625725</v>
      </c>
      <c r="M256" s="243">
        <v>0.45086052745332317</v>
      </c>
    </row>
    <row r="257" spans="3:13" ht="24" customHeight="1" thickBot="1" x14ac:dyDescent="0.25">
      <c r="C257" s="244" t="s">
        <v>46</v>
      </c>
      <c r="D257" s="237">
        <v>1.6480829306532194E-2</v>
      </c>
      <c r="E257" s="238">
        <v>1.6706260975092035E-2</v>
      </c>
      <c r="F257" s="237">
        <v>6.5795792911343774E-3</v>
      </c>
      <c r="G257" s="238">
        <v>4.8082010302078612E-3</v>
      </c>
      <c r="H257" s="237">
        <v>1.1907541442913845E-2</v>
      </c>
      <c r="I257" s="238">
        <v>4.1132293471981517E-3</v>
      </c>
      <c r="J257" s="237">
        <v>5.8073966529691608E-3</v>
      </c>
      <c r="K257" s="238">
        <v>5.6326734954189649E-3</v>
      </c>
      <c r="L257" s="237">
        <v>1.970796408456553E-2</v>
      </c>
      <c r="M257" s="239">
        <v>2.0057689120768201E-2</v>
      </c>
    </row>
    <row r="258" spans="3:13" ht="24" customHeight="1" thickBot="1" x14ac:dyDescent="0.25">
      <c r="C258" s="240" t="s">
        <v>47</v>
      </c>
      <c r="D258" s="241">
        <v>3.6701026103031512E-2</v>
      </c>
      <c r="E258" s="242">
        <v>2.8479850141974898E-2</v>
      </c>
      <c r="F258" s="241">
        <v>4.1830755931226586E-2</v>
      </c>
      <c r="G258" s="242">
        <v>3.3699732924749114E-2</v>
      </c>
      <c r="H258" s="241">
        <v>3.2453887462059301E-2</v>
      </c>
      <c r="I258" s="242">
        <v>3.2328134026574237E-2</v>
      </c>
      <c r="J258" s="241">
        <v>1.9574037825855879E-2</v>
      </c>
      <c r="K258" s="242">
        <v>1.5107891427425973E-2</v>
      </c>
      <c r="L258" s="241">
        <v>4.0492529921838716E-2</v>
      </c>
      <c r="M258" s="243">
        <v>3.1263146061946849E-2</v>
      </c>
    </row>
    <row r="259" spans="3:13" ht="24" customHeight="1" thickBot="1" x14ac:dyDescent="0.25">
      <c r="C259" s="244" t="s">
        <v>48</v>
      </c>
      <c r="D259" s="237">
        <v>0.16441282804291613</v>
      </c>
      <c r="E259" s="238">
        <v>7.333737852802083E-2</v>
      </c>
      <c r="F259" s="237">
        <v>6.9541830755931233E-2</v>
      </c>
      <c r="G259" s="238">
        <v>3.5595924880324051E-2</v>
      </c>
      <c r="H259" s="237">
        <v>3.8524398785897737E-2</v>
      </c>
      <c r="I259" s="238">
        <v>1.3402657423454652E-2</v>
      </c>
      <c r="J259" s="237">
        <v>0.14889231686607987</v>
      </c>
      <c r="K259" s="238">
        <v>5.5122013002619867E-2</v>
      </c>
      <c r="L259" s="237">
        <v>0.17583059825221395</v>
      </c>
      <c r="M259" s="239">
        <v>8.0238636877231567E-2</v>
      </c>
    </row>
    <row r="260" spans="3:13" ht="24" customHeight="1" thickBot="1" x14ac:dyDescent="0.25">
      <c r="C260" s="245" t="s">
        <v>49</v>
      </c>
      <c r="D260" s="241">
        <v>6.4458458622424511E-2</v>
      </c>
      <c r="E260" s="242">
        <v>2.6215684634906887E-2</v>
      </c>
      <c r="F260" s="241">
        <v>2.7182787436365381E-2</v>
      </c>
      <c r="G260" s="242">
        <v>1.3357995115612685E-2</v>
      </c>
      <c r="H260" s="241">
        <v>1.4475834695307027E-2</v>
      </c>
      <c r="I260" s="242">
        <v>4.8757943385326404E-3</v>
      </c>
      <c r="J260" s="241">
        <v>4.3023994400010368E-2</v>
      </c>
      <c r="K260" s="242">
        <v>1.55088005536934E-2</v>
      </c>
      <c r="L260" s="241">
        <v>7.2590642177565459E-2</v>
      </c>
      <c r="M260" s="243">
        <v>2.9622169866531618E-2</v>
      </c>
    </row>
    <row r="261" spans="3:13" ht="24" customHeight="1" thickBot="1" x14ac:dyDescent="0.25">
      <c r="C261" s="236" t="s">
        <v>50</v>
      </c>
      <c r="D261" s="237">
        <v>2.8157577601235537E-2</v>
      </c>
      <c r="E261" s="238">
        <v>1.4139420565169444E-2</v>
      </c>
      <c r="F261" s="237">
        <v>1.4695994621073865E-2</v>
      </c>
      <c r="G261" s="238">
        <v>8.6852363679458915E-3</v>
      </c>
      <c r="H261" s="237">
        <v>4.6696240952603316E-3</v>
      </c>
      <c r="I261" s="238">
        <v>2.5649913344887349E-3</v>
      </c>
      <c r="J261" s="237">
        <v>1.731848644724732E-2</v>
      </c>
      <c r="K261" s="238">
        <v>5.9518051382189061E-3</v>
      </c>
      <c r="L261" s="237">
        <v>3.1901247935231636E-2</v>
      </c>
      <c r="M261" s="239">
        <v>1.6457044319104972E-2</v>
      </c>
    </row>
    <row r="262" spans="3:13" ht="24" customHeight="1" thickBot="1" x14ac:dyDescent="0.25">
      <c r="C262" s="245" t="s">
        <v>51</v>
      </c>
      <c r="D262" s="241">
        <v>3.4442897424797295E-2</v>
      </c>
      <c r="E262" s="242">
        <v>1.585737758461854E-2</v>
      </c>
      <c r="F262" s="241">
        <v>1.0853904524061089E-2</v>
      </c>
      <c r="G262" s="242">
        <v>5.9425301464892935E-3</v>
      </c>
      <c r="H262" s="241">
        <v>1.4008872285780995E-2</v>
      </c>
      <c r="I262" s="242">
        <v>3.8821490467937608E-3</v>
      </c>
      <c r="J262" s="241">
        <v>2.6340691961681553E-2</v>
      </c>
      <c r="K262" s="242">
        <v>8.6205435011334156E-3</v>
      </c>
      <c r="L262" s="241">
        <v>3.814553810093603E-2</v>
      </c>
      <c r="M262" s="243">
        <v>1.8202319848974562E-2</v>
      </c>
    </row>
    <row r="263" spans="3:13" ht="24" customHeight="1" thickBot="1" x14ac:dyDescent="0.25">
      <c r="C263" s="236" t="s">
        <v>52</v>
      </c>
      <c r="D263" s="237">
        <v>3.7353894394458811E-2</v>
      </c>
      <c r="E263" s="238">
        <v>1.7124895743325964E-2</v>
      </c>
      <c r="F263" s="237">
        <v>1.6809144174430891E-2</v>
      </c>
      <c r="G263" s="238">
        <v>7.6101632502761753E-3</v>
      </c>
      <c r="H263" s="237">
        <v>5.3700677095493811E-3</v>
      </c>
      <c r="I263" s="238">
        <v>2.0797227036395147E-3</v>
      </c>
      <c r="J263" s="237">
        <v>6.2209144057140633E-2</v>
      </c>
      <c r="K263" s="238">
        <v>2.5040863809574147E-2</v>
      </c>
      <c r="L263" s="237">
        <v>3.3193170038480824E-2</v>
      </c>
      <c r="M263" s="239">
        <v>1.5957102842620415E-2</v>
      </c>
    </row>
    <row r="264" spans="3:13" ht="24" customHeight="1" thickBot="1" x14ac:dyDescent="0.25">
      <c r="C264" s="240" t="s">
        <v>53</v>
      </c>
      <c r="D264" s="241">
        <v>8.8827528109606986E-3</v>
      </c>
      <c r="E264" s="242">
        <v>1.0046519738906268E-2</v>
      </c>
      <c r="F264" s="241">
        <v>7.8282585726635288E-3</v>
      </c>
      <c r="G264" s="242">
        <v>6.1033678570068103E-3</v>
      </c>
      <c r="H264" s="241">
        <v>2.4048564090590707E-2</v>
      </c>
      <c r="I264" s="242">
        <v>1.8648180242634316E-2</v>
      </c>
      <c r="J264" s="241">
        <v>1.0603684067251727E-2</v>
      </c>
      <c r="K264" s="242">
        <v>9.2069478947783088E-3</v>
      </c>
      <c r="L264" s="241">
        <v>8.3421255809804466E-3</v>
      </c>
      <c r="M264" s="243">
        <v>1.0371294041842576E-2</v>
      </c>
    </row>
    <row r="265" spans="3:13" ht="24" customHeight="1" thickBot="1" x14ac:dyDescent="0.25">
      <c r="C265" s="244" t="s">
        <v>54</v>
      </c>
      <c r="D265" s="237">
        <v>7.7431583381108943E-3</v>
      </c>
      <c r="E265" s="238">
        <v>6.0568928759547483E-3</v>
      </c>
      <c r="F265" s="237">
        <v>3.9381423494380943E-3</v>
      </c>
      <c r="G265" s="238">
        <v>3.1363353550915717E-3</v>
      </c>
      <c r="H265" s="237">
        <v>1.1674060238150829E-2</v>
      </c>
      <c r="I265" s="238">
        <v>9.150779896013865E-3</v>
      </c>
      <c r="J265" s="237">
        <v>1.1005535174934862E-2</v>
      </c>
      <c r="K265" s="238">
        <v>6.815455146546248E-3</v>
      </c>
      <c r="L265" s="237">
        <v>7.1609396580097628E-3</v>
      </c>
      <c r="M265" s="239">
        <v>6.0094958749613223E-3</v>
      </c>
    </row>
    <row r="266" spans="3:13" ht="24" customHeight="1" thickBot="1" x14ac:dyDescent="0.25">
      <c r="C266" s="240" t="s">
        <v>55</v>
      </c>
      <c r="D266" s="241">
        <v>1.8111830020241255E-2</v>
      </c>
      <c r="E266" s="242">
        <v>1.6939967452620837E-2</v>
      </c>
      <c r="F266" s="241">
        <v>1.2054557679377581E-2</v>
      </c>
      <c r="G266" s="242">
        <v>8.5159335147695584E-3</v>
      </c>
      <c r="H266" s="241">
        <v>7.938360961942564E-3</v>
      </c>
      <c r="I266" s="242">
        <v>5.1299826689774697E-3</v>
      </c>
      <c r="J266" s="241">
        <v>9.553686011692571E-3</v>
      </c>
      <c r="K266" s="242">
        <v>7.6721241501873406E-3</v>
      </c>
      <c r="L266" s="241">
        <v>2.0664601641971474E-2</v>
      </c>
      <c r="M266" s="243">
        <v>1.9673635793677376E-2</v>
      </c>
    </row>
    <row r="267" spans="3:13" ht="24" customHeight="1" thickBot="1" x14ac:dyDescent="0.25">
      <c r="C267" s="244" t="s">
        <v>56</v>
      </c>
      <c r="D267" s="237">
        <v>2.516701962114919E-2</v>
      </c>
      <c r="E267" s="238">
        <v>2.4299041374622906E-2</v>
      </c>
      <c r="F267" s="237">
        <v>1.6280856786091633E-2</v>
      </c>
      <c r="G267" s="238">
        <v>9.7010534870038898E-3</v>
      </c>
      <c r="H267" s="237">
        <v>1.4242353490544011E-2</v>
      </c>
      <c r="I267" s="238">
        <v>6.4471403812824957E-3</v>
      </c>
      <c r="J267" s="237">
        <v>1.8057373967825984E-2</v>
      </c>
      <c r="K267" s="238">
        <v>1.8028943245429186E-2</v>
      </c>
      <c r="L267" s="237">
        <v>2.7567156879331398E-2</v>
      </c>
      <c r="M267" s="239">
        <v>2.6734700736237411E-2</v>
      </c>
    </row>
    <row r="268" spans="3:13" ht="24" customHeight="1" thickBot="1" x14ac:dyDescent="0.25">
      <c r="C268" s="240" t="s">
        <v>57</v>
      </c>
      <c r="D268" s="241">
        <v>2.4778574687898538E-2</v>
      </c>
      <c r="E268" s="242">
        <v>2.7303813417896484E-2</v>
      </c>
      <c r="F268" s="241">
        <v>3.4290654115839016E-2</v>
      </c>
      <c r="G268" s="242">
        <v>2.3423049736945693E-2</v>
      </c>
      <c r="H268" s="241">
        <v>2.054634601914546E-2</v>
      </c>
      <c r="I268" s="242">
        <v>9.6129404968226459E-3</v>
      </c>
      <c r="J268" s="241">
        <v>3.1707348690095019E-2</v>
      </c>
      <c r="K268" s="242">
        <v>3.296230955569894E-2</v>
      </c>
      <c r="L268" s="241">
        <v>2.2580952761791097E-2</v>
      </c>
      <c r="M268" s="243">
        <v>2.6378692341299873E-2</v>
      </c>
    </row>
    <row r="269" spans="3:13" ht="24" customHeight="1" thickBot="1" x14ac:dyDescent="0.25">
      <c r="C269" s="244" t="s">
        <v>58</v>
      </c>
      <c r="D269" s="237">
        <v>2.7963355134610212E-3</v>
      </c>
      <c r="E269" s="238">
        <v>3.1257347996092029E-3</v>
      </c>
      <c r="F269" s="237">
        <v>8.5486504658534249E-3</v>
      </c>
      <c r="G269" s="238">
        <v>9.3582152093218147E-3</v>
      </c>
      <c r="H269" s="237">
        <v>1.2141022647676861E-2</v>
      </c>
      <c r="I269" s="238">
        <v>1.0144425187752744E-2</v>
      </c>
      <c r="J269" s="237">
        <v>2.3592548902687219E-3</v>
      </c>
      <c r="K269" s="238">
        <v>2.6029174615870218E-3</v>
      </c>
      <c r="L269" s="237">
        <v>2.4085119210574073E-3</v>
      </c>
      <c r="M269" s="239">
        <v>2.8355512393658136E-3</v>
      </c>
    </row>
    <row r="270" spans="3:13" ht="24" customHeight="1" thickBot="1" x14ac:dyDescent="0.25">
      <c r="C270" s="240" t="s">
        <v>59</v>
      </c>
      <c r="D270" s="241">
        <v>3.1754203278381637E-3</v>
      </c>
      <c r="E270" s="242">
        <v>3.4078621146076556E-3</v>
      </c>
      <c r="F270" s="241">
        <v>1.4744020747286524E-2</v>
      </c>
      <c r="G270" s="242">
        <v>1.53980944963875E-2</v>
      </c>
      <c r="H270" s="241">
        <v>9.1057669857576469E-3</v>
      </c>
      <c r="I270" s="242">
        <v>9.312536106296938E-3</v>
      </c>
      <c r="J270" s="241">
        <v>3.8759187482986144E-3</v>
      </c>
      <c r="K270" s="242">
        <v>3.9562350843355227E-3</v>
      </c>
      <c r="L270" s="241">
        <v>2.1901155655081406E-3</v>
      </c>
      <c r="M270" s="243">
        <v>2.5646047460832701E-3</v>
      </c>
    </row>
    <row r="271" spans="3:13" ht="24" customHeight="1" thickBot="1" x14ac:dyDescent="0.25">
      <c r="C271" s="244" t="s">
        <v>60</v>
      </c>
      <c r="D271" s="237">
        <v>1.0041067521557524E-2</v>
      </c>
      <c r="E271" s="238">
        <v>1.0084934794463372E-2</v>
      </c>
      <c r="F271" s="237">
        <v>1.9210450485063875E-2</v>
      </c>
      <c r="G271" s="238">
        <v>2.2500349187134675E-2</v>
      </c>
      <c r="H271" s="237">
        <v>1.5409759514359094E-2</v>
      </c>
      <c r="I271" s="238">
        <v>1.4511842865395724E-2</v>
      </c>
      <c r="J271" s="237">
        <v>1.0227758837483635E-2</v>
      </c>
      <c r="K271" s="238">
        <v>1.0384743113986843E-2</v>
      </c>
      <c r="L271" s="237">
        <v>9.3387512034869592E-3</v>
      </c>
      <c r="M271" s="239">
        <v>9.2909847131942142E-3</v>
      </c>
    </row>
    <row r="272" spans="3:13" ht="30.75" customHeight="1" thickBot="1" x14ac:dyDescent="0.25">
      <c r="C272" s="246" t="s">
        <v>61</v>
      </c>
      <c r="D272" s="247">
        <v>0.86187974587277261</v>
      </c>
      <c r="E272" s="248">
        <v>0.79108892209855552</v>
      </c>
      <c r="F272" s="247">
        <v>0.39131687638075108</v>
      </c>
      <c r="G272" s="248">
        <v>0.30228177920368404</v>
      </c>
      <c r="H272" s="247">
        <v>0.62456222274106932</v>
      </c>
      <c r="I272" s="248">
        <v>0.49790872328134028</v>
      </c>
      <c r="J272" s="247">
        <v>0.70548202688513539</v>
      </c>
      <c r="K272" s="248">
        <v>0.54293268017723773</v>
      </c>
      <c r="L272" s="247">
        <v>0.9322571417146267</v>
      </c>
      <c r="M272" s="249">
        <v>0.87846995194118449</v>
      </c>
    </row>
    <row r="273" spans="3:18" ht="24" customHeight="1" thickBot="1" x14ac:dyDescent="0.25">
      <c r="C273" s="250" t="s">
        <v>8</v>
      </c>
      <c r="D273" s="251">
        <v>1</v>
      </c>
      <c r="E273" s="252">
        <v>1</v>
      </c>
      <c r="F273" s="251">
        <v>1</v>
      </c>
      <c r="G273" s="252">
        <v>1</v>
      </c>
      <c r="H273" s="251">
        <v>1</v>
      </c>
      <c r="I273" s="252">
        <v>1</v>
      </c>
      <c r="J273" s="251">
        <v>1</v>
      </c>
      <c r="K273" s="252">
        <v>1</v>
      </c>
      <c r="L273" s="251">
        <v>1</v>
      </c>
      <c r="M273" s="253">
        <v>1</v>
      </c>
    </row>
    <row r="274" spans="3:18" ht="18" customHeight="1" x14ac:dyDescent="0.2">
      <c r="C274" s="254"/>
      <c r="D274" s="255"/>
      <c r="E274" s="256"/>
      <c r="F274" s="255"/>
      <c r="G274" s="256"/>
      <c r="H274" s="255"/>
      <c r="I274" s="256"/>
      <c r="J274" s="255"/>
      <c r="K274" s="256"/>
      <c r="L274" s="255"/>
      <c r="M274" s="256"/>
      <c r="N274" s="257"/>
    </row>
    <row r="275" spans="3:18" ht="5.25" customHeight="1" thickBot="1" x14ac:dyDescent="0.25"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3:18" ht="20.100000000000001" customHeight="1" thickBot="1" x14ac:dyDescent="0.25">
      <c r="C276" s="27" t="s">
        <v>71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9"/>
    </row>
    <row r="277" spans="3:18" ht="5.25" customHeight="1" x14ac:dyDescent="0.2"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151"/>
    </row>
    <row r="278" spans="3:18" ht="45.75" customHeight="1" x14ac:dyDescent="0.2">
      <c r="C278" s="258" t="s">
        <v>7</v>
      </c>
      <c r="D278" s="259" t="s">
        <v>72</v>
      </c>
      <c r="E278" s="260" t="s">
        <v>73</v>
      </c>
      <c r="F278" s="261">
        <v>1125.1486422527528</v>
      </c>
      <c r="G278" s="262">
        <v>5.7854971766462482E-2</v>
      </c>
      <c r="H278" s="263" t="s">
        <v>96</v>
      </c>
      <c r="I278" s="263"/>
      <c r="J278" s="263"/>
      <c r="K278" s="263"/>
      <c r="L278" s="264"/>
      <c r="M278" s="265" t="s">
        <v>100</v>
      </c>
      <c r="O278" s="145"/>
      <c r="R278" s="145"/>
    </row>
    <row r="279" spans="3:18" ht="45.75" customHeight="1" x14ac:dyDescent="0.2">
      <c r="C279" s="258"/>
      <c r="D279" s="266"/>
      <c r="E279" s="267" t="s">
        <v>74</v>
      </c>
      <c r="F279" s="268">
        <v>740.38139475498474</v>
      </c>
      <c r="G279" s="269">
        <v>6.036874797643943E-2</v>
      </c>
      <c r="H279" s="270" t="s">
        <v>97</v>
      </c>
      <c r="I279" s="271"/>
      <c r="J279" s="271"/>
      <c r="K279" s="271"/>
      <c r="L279" s="272"/>
      <c r="M279" s="265"/>
      <c r="O279" s="145"/>
      <c r="R279" s="145"/>
    </row>
    <row r="280" spans="3:18" ht="45.75" customHeight="1" thickBot="1" x14ac:dyDescent="0.25">
      <c r="C280" s="258"/>
      <c r="D280" s="273"/>
      <c r="E280" s="274" t="s">
        <v>75</v>
      </c>
      <c r="F280" s="275">
        <v>387.67482844824917</v>
      </c>
      <c r="G280" s="276">
        <v>5.5110229475464179E-2</v>
      </c>
      <c r="H280" s="277" t="str">
        <f>CONCATENATE("El gasto medio por turista en destino ascendió a ",FIXED(F280,1),"€. Experimenta un ",IF(G280&gt;0,"incremento del ","descenso del "),FIXED(G280*100,1),"% respecto al miso periodo del año anterior.")</f>
        <v>El gasto medio por turista en destino ascendió a 387,7€. Experimenta un incremento del 5,5% respecto al miso periodo del año anterior.</v>
      </c>
      <c r="I280" s="278"/>
      <c r="J280" s="278"/>
      <c r="K280" s="278"/>
      <c r="L280" s="279"/>
      <c r="M280" s="265"/>
      <c r="O280" s="145"/>
      <c r="R280" s="145"/>
    </row>
    <row r="281" spans="3:18" ht="45.75" customHeight="1" thickTop="1" x14ac:dyDescent="0.2">
      <c r="C281" s="258"/>
      <c r="D281" s="280" t="s">
        <v>76</v>
      </c>
      <c r="E281" s="281" t="s">
        <v>73</v>
      </c>
      <c r="F281" s="282">
        <v>116.05498752962366</v>
      </c>
      <c r="G281" s="283">
        <v>2.8921260303419905E-2</v>
      </c>
      <c r="H281" s="284" t="s">
        <v>98</v>
      </c>
      <c r="I281" s="285"/>
      <c r="J281" s="285"/>
      <c r="K281" s="285"/>
      <c r="L281" s="286"/>
      <c r="M281" s="265"/>
      <c r="O281" s="145"/>
      <c r="R281" s="145"/>
    </row>
    <row r="282" spans="3:18" ht="45.75" customHeight="1" x14ac:dyDescent="0.2">
      <c r="C282" s="258"/>
      <c r="D282" s="287"/>
      <c r="E282" s="288" t="s">
        <v>74</v>
      </c>
      <c r="F282" s="289">
        <v>76.380484610325709</v>
      </c>
      <c r="G282" s="269">
        <v>3.2007171130422396E-2</v>
      </c>
      <c r="H282" s="290" t="str">
        <f>CONCATENATE("La media del gasto diario por turista en origen fue de ",FIXED(F282,1),"€, ",IF(G282&gt;0,"aumentando un ","disminuyendo un "),FIXED(G282*100,1),"% respecto al mismo período del año anterior.")</f>
        <v>La media del gasto diario por turista en origen fue de 76,4€, aumentando un 3,2% respecto al mismo período del año anterior.</v>
      </c>
      <c r="I282" s="271"/>
      <c r="J282" s="271"/>
      <c r="K282" s="271"/>
      <c r="L282" s="272"/>
      <c r="M282" s="265"/>
      <c r="O282" s="145"/>
      <c r="R282" s="145"/>
    </row>
    <row r="283" spans="3:18" ht="45.75" customHeight="1" x14ac:dyDescent="0.2">
      <c r="C283" s="258"/>
      <c r="D283" s="291"/>
      <c r="E283" s="292" t="s">
        <v>75</v>
      </c>
      <c r="F283" s="293">
        <v>39.805978530376997</v>
      </c>
      <c r="G283" s="294">
        <v>1.9418089374815706E-2</v>
      </c>
      <c r="H283" s="295" t="s">
        <v>99</v>
      </c>
      <c r="I283" s="296"/>
      <c r="J283" s="296"/>
      <c r="K283" s="296"/>
      <c r="L283" s="297"/>
      <c r="M283" s="265"/>
      <c r="O283" s="145"/>
      <c r="R283" s="145"/>
    </row>
    <row r="284" spans="3:18" ht="5.25" customHeight="1" thickBot="1" x14ac:dyDescent="0.25">
      <c r="C284" s="298"/>
      <c r="D284" s="298"/>
      <c r="E284" s="298"/>
      <c r="F284" s="298"/>
      <c r="G284" s="298"/>
      <c r="H284" s="298"/>
      <c r="I284" s="298"/>
      <c r="J284" s="298"/>
      <c r="K284" s="298"/>
      <c r="L284" s="298"/>
      <c r="M284" s="299"/>
      <c r="N284" s="257"/>
      <c r="O284" s="145"/>
      <c r="R284" s="145"/>
    </row>
    <row r="285" spans="3:18" ht="19.5" customHeight="1" thickBot="1" x14ac:dyDescent="0.25">
      <c r="C285" s="27" t="s">
        <v>77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57"/>
      <c r="O285" s="145"/>
      <c r="P285" s="145"/>
      <c r="Q285" s="145"/>
    </row>
    <row r="286" spans="3:18" ht="5.25" customHeight="1" x14ac:dyDescent="0.2"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151"/>
      <c r="N286" s="257"/>
      <c r="O286" s="145"/>
      <c r="P286" s="145"/>
      <c r="Q286" s="145"/>
    </row>
    <row r="287" spans="3:18" s="145" customFormat="1" ht="47.25" customHeight="1" thickBot="1" x14ac:dyDescent="0.25">
      <c r="C287" s="258" t="s">
        <v>7</v>
      </c>
      <c r="D287" s="300"/>
      <c r="E287" s="301" t="s">
        <v>8</v>
      </c>
      <c r="F287" s="302">
        <v>136847</v>
      </c>
      <c r="G287" s="303">
        <v>2.0062530661257849E-3</v>
      </c>
      <c r="H287" s="304" t="s">
        <v>101</v>
      </c>
      <c r="I287" s="304"/>
      <c r="J287" s="304"/>
      <c r="K287" s="304"/>
      <c r="L287" s="305"/>
      <c r="M287" s="265" t="s">
        <v>78</v>
      </c>
      <c r="Q287" s="306"/>
    </row>
    <row r="288" spans="3:18" s="145" customFormat="1" ht="47.25" customHeight="1" thickTop="1" thickBot="1" x14ac:dyDescent="0.25">
      <c r="C288" s="258"/>
      <c r="D288" s="300"/>
      <c r="E288" s="307" t="s">
        <v>79</v>
      </c>
      <c r="F288" s="308">
        <v>84624</v>
      </c>
      <c r="G288" s="309">
        <v>6.858548352766114E-4</v>
      </c>
      <c r="H288" s="310" t="s">
        <v>102</v>
      </c>
      <c r="I288" s="311"/>
      <c r="J288" s="311"/>
      <c r="K288" s="311"/>
      <c r="L288" s="312"/>
      <c r="M288" s="265"/>
      <c r="O288" s="313"/>
      <c r="Q288" s="306"/>
    </row>
    <row r="289" spans="3:20" s="145" customFormat="1" ht="47.25" customHeight="1" thickTop="1" thickBot="1" x14ac:dyDescent="0.25">
      <c r="C289" s="258"/>
      <c r="D289" s="300"/>
      <c r="E289" s="314" t="s">
        <v>80</v>
      </c>
      <c r="F289" s="315">
        <v>50760</v>
      </c>
      <c r="G289" s="309">
        <v>4.2337672615042621E-3</v>
      </c>
      <c r="H289" s="316" t="s">
        <v>103</v>
      </c>
      <c r="I289" s="311"/>
      <c r="J289" s="311"/>
      <c r="K289" s="311"/>
      <c r="L289" s="312"/>
      <c r="M289" s="265"/>
      <c r="O289" s="313"/>
      <c r="Q289" s="306"/>
    </row>
    <row r="290" spans="3:20" s="145" customFormat="1" ht="47.25" customHeight="1" thickTop="1" thickBot="1" x14ac:dyDescent="0.25">
      <c r="C290" s="258"/>
      <c r="D290" s="300"/>
      <c r="E290" s="307" t="s">
        <v>81</v>
      </c>
      <c r="F290" s="308">
        <v>557</v>
      </c>
      <c r="G290" s="309">
        <v>0</v>
      </c>
      <c r="H290" s="310" t="s">
        <v>104</v>
      </c>
      <c r="I290" s="311"/>
      <c r="J290" s="311"/>
      <c r="K290" s="311"/>
      <c r="L290" s="312"/>
      <c r="M290" s="265"/>
      <c r="O290" s="313"/>
      <c r="Q290" s="306"/>
    </row>
    <row r="291" spans="3:20" s="145" customFormat="1" ht="47.25" customHeight="1" thickTop="1" x14ac:dyDescent="0.2">
      <c r="C291" s="258"/>
      <c r="D291" s="300"/>
      <c r="E291" s="317" t="s">
        <v>82</v>
      </c>
      <c r="F291" s="318">
        <v>906</v>
      </c>
      <c r="G291" s="319">
        <v>2.2123893805310324E-3</v>
      </c>
      <c r="H291" s="320" t="s">
        <v>105</v>
      </c>
      <c r="I291" s="321"/>
      <c r="J291" s="321"/>
      <c r="K291" s="321"/>
      <c r="L291" s="322"/>
      <c r="M291" s="265"/>
      <c r="O291" s="313"/>
      <c r="Q291" s="306"/>
    </row>
    <row r="292" spans="3:20" ht="5.25" customHeight="1" x14ac:dyDescent="0.2">
      <c r="C292" s="96" t="s">
        <v>83</v>
      </c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323"/>
      <c r="P292" s="145"/>
      <c r="Q292" s="145"/>
      <c r="R292" s="145"/>
    </row>
    <row r="293" spans="3:20" s="1" customFormat="1" ht="18.75" customHeight="1" thickBot="1" x14ac:dyDescent="0.25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323"/>
      <c r="P293" s="324"/>
      <c r="Q293" s="324"/>
      <c r="R293" s="324"/>
    </row>
    <row r="294" spans="3:20" ht="50.25" customHeight="1" thickBot="1" x14ac:dyDescent="0.25">
      <c r="C294" s="2"/>
      <c r="D294" s="2"/>
      <c r="E294" s="3" t="str">
        <f>E242</f>
        <v>INDICADORES TURÍSTICOS DE TENERIFE definitivo</v>
      </c>
      <c r="F294" s="3"/>
      <c r="G294" s="3"/>
      <c r="H294" s="3"/>
      <c r="I294" s="3"/>
      <c r="J294" s="3"/>
      <c r="K294" s="3"/>
      <c r="L294" s="2"/>
      <c r="M294" s="2"/>
      <c r="O294" s="145"/>
      <c r="P294" s="145"/>
      <c r="Q294" s="145"/>
      <c r="R294" s="145"/>
      <c r="S294" s="145"/>
      <c r="T294" s="145"/>
    </row>
    <row r="295" spans="3:20" ht="5.25" customHeight="1" thickBot="1" x14ac:dyDescent="0.25">
      <c r="C295" s="4"/>
      <c r="O295" s="145"/>
      <c r="P295" s="145"/>
      <c r="Q295" s="145"/>
      <c r="R295" s="145"/>
      <c r="S295" s="145"/>
      <c r="T295" s="145"/>
    </row>
    <row r="296" spans="3:20" ht="18" customHeight="1" thickBot="1" x14ac:dyDescent="0.25">
      <c r="C296" s="222" t="s">
        <v>84</v>
      </c>
      <c r="D296" s="223"/>
      <c r="E296" s="223"/>
      <c r="F296" s="223"/>
      <c r="G296" s="223"/>
      <c r="H296" s="223"/>
      <c r="I296" s="223"/>
      <c r="J296" s="223"/>
      <c r="K296" s="223"/>
      <c r="L296" s="223"/>
      <c r="M296" s="224"/>
      <c r="O296" s="145"/>
      <c r="P296" s="145"/>
      <c r="Q296" s="145"/>
      <c r="R296" s="145"/>
      <c r="S296" s="145"/>
      <c r="T296" s="145"/>
    </row>
    <row r="297" spans="3:20" ht="5.25" customHeight="1" x14ac:dyDescent="0.2"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151"/>
      <c r="N297" s="257"/>
      <c r="O297" s="145"/>
      <c r="P297" s="145"/>
      <c r="Q297" s="145"/>
      <c r="R297" s="145"/>
      <c r="S297" s="145"/>
      <c r="T297" s="145"/>
    </row>
    <row r="298" spans="3:20" ht="27.75" customHeight="1" x14ac:dyDescent="0.2">
      <c r="C298" s="325" t="s">
        <v>7</v>
      </c>
      <c r="D298" s="326"/>
      <c r="E298" s="327" t="s">
        <v>8</v>
      </c>
      <c r="F298" s="35">
        <v>159070</v>
      </c>
      <c r="G298" s="328">
        <v>4.7753199338025354E-3</v>
      </c>
      <c r="H298" s="329" t="s">
        <v>106</v>
      </c>
      <c r="I298" s="329"/>
      <c r="J298" s="329"/>
      <c r="K298" s="329"/>
      <c r="L298" s="330"/>
      <c r="M298" s="265" t="s">
        <v>9</v>
      </c>
      <c r="O298" s="145"/>
      <c r="P298" s="145"/>
      <c r="Q298" s="145"/>
      <c r="R298" s="145"/>
      <c r="S298" s="145"/>
      <c r="T298" s="145"/>
    </row>
    <row r="299" spans="3:20" ht="34.5" customHeight="1" x14ac:dyDescent="0.2">
      <c r="C299" s="331"/>
      <c r="D299" s="332"/>
      <c r="E299" s="333" t="s">
        <v>85</v>
      </c>
      <c r="F299" s="46">
        <v>92778</v>
      </c>
      <c r="G299" s="140">
        <v>2.5718608169440493E-3</v>
      </c>
      <c r="H299" s="334" t="str">
        <f>CONCATENATE("La oferta hotelera estimada por el STDE del Cabildo de Tenerife se sitúa en ",FIXED(F299,0)," plazas, un ",FIXED(F299/F298*100,1),"% del total de plazas. ",IF(G299&gt;0,"Aumentan un ","Disminuyen un"),FIXED(G299*100,1),"% respecto al mismo periodo del año anterior.")</f>
        <v>La oferta hotelera estimada por el STDE del Cabildo de Tenerife se sitúa en 92.778 plazas, un 58,3% del total de plazas. Aumentan un 0,3% respecto al mismo periodo del año anterior.</v>
      </c>
      <c r="I299" s="334"/>
      <c r="J299" s="334"/>
      <c r="K299" s="334"/>
      <c r="L299" s="335"/>
      <c r="M299" s="265"/>
      <c r="O299" s="145"/>
      <c r="P299" s="145"/>
      <c r="Q299" s="145"/>
      <c r="R299" s="145"/>
      <c r="S299" s="145"/>
      <c r="T299" s="145"/>
    </row>
    <row r="300" spans="3:20" ht="41.25" customHeight="1" thickBot="1" x14ac:dyDescent="0.25">
      <c r="C300" s="336"/>
      <c r="D300" s="337"/>
      <c r="E300" s="338" t="s">
        <v>86</v>
      </c>
      <c r="F300" s="339">
        <v>66292</v>
      </c>
      <c r="G300" s="340">
        <v>7.8754523063824244E-3</v>
      </c>
      <c r="H300" s="341" t="s">
        <v>107</v>
      </c>
      <c r="I300" s="341"/>
      <c r="J300" s="341"/>
      <c r="K300" s="341"/>
      <c r="L300" s="342"/>
      <c r="M300" s="265"/>
      <c r="Q300" s="343"/>
    </row>
    <row r="301" spans="3:20" ht="34.5" hidden="1" customHeight="1" x14ac:dyDescent="0.2">
      <c r="C301" s="344" t="s">
        <v>12</v>
      </c>
      <c r="D301" s="345"/>
      <c r="E301" s="346" t="s">
        <v>8</v>
      </c>
      <c r="F301" s="347">
        <v>2879</v>
      </c>
      <c r="G301" s="348">
        <v>8.9292470677260649E-2</v>
      </c>
      <c r="H301" s="349" t="str">
        <f>CONCATENATE("Las plazas estimadas por el STDE  del Cabildo de Tenerife en la zona de Santa Cruz, ascienden a ",FIXED(F302,0),", todas ellas pertenecientes a la tipología hotelera. Se registra un ",IF(G302&gt;0,"incremento ","descenso "),"con respecto al año anterior del ",FIXED(G302*100,1),"%.")</f>
        <v>Las plazas estimadas por el STDE  del Cabildo de Tenerife en la zona de Santa Cruz, ascienden a 2.537, todas ellas pertenecientes a la tipología hotelera. Se registra un descenso con respecto al año anterior del -1,6%.</v>
      </c>
      <c r="I301" s="349"/>
      <c r="J301" s="349"/>
      <c r="K301" s="349"/>
      <c r="L301" s="350"/>
      <c r="M301" s="265"/>
      <c r="Q301" s="343"/>
    </row>
    <row r="302" spans="3:20" ht="48.75" customHeight="1" thickTop="1" thickBot="1" x14ac:dyDescent="0.25">
      <c r="C302" s="351"/>
      <c r="D302" s="352"/>
      <c r="E302" s="353" t="s">
        <v>85</v>
      </c>
      <c r="F302" s="354">
        <v>2537</v>
      </c>
      <c r="G302" s="340">
        <v>-1.5521924718665092E-2</v>
      </c>
      <c r="H302" s="355"/>
      <c r="I302" s="355"/>
      <c r="J302" s="355"/>
      <c r="K302" s="355"/>
      <c r="L302" s="356"/>
      <c r="M302" s="265"/>
    </row>
    <row r="303" spans="3:20" ht="42" customHeight="1" thickTop="1" x14ac:dyDescent="0.2">
      <c r="C303" s="357" t="s">
        <v>13</v>
      </c>
      <c r="D303" s="358"/>
      <c r="E303" s="359" t="s">
        <v>8</v>
      </c>
      <c r="F303" s="360">
        <v>1082</v>
      </c>
      <c r="G303" s="348">
        <v>0.13061650992685481</v>
      </c>
      <c r="H303" s="361" t="s">
        <v>108</v>
      </c>
      <c r="I303" s="361"/>
      <c r="J303" s="361"/>
      <c r="K303" s="361"/>
      <c r="L303" s="362"/>
      <c r="M303" s="265"/>
    </row>
    <row r="304" spans="3:20" ht="34.5" customHeight="1" x14ac:dyDescent="0.2">
      <c r="C304" s="363"/>
      <c r="D304" s="364"/>
      <c r="E304" s="365" t="s">
        <v>85</v>
      </c>
      <c r="F304" s="79">
        <v>578</v>
      </c>
      <c r="G304" s="140">
        <v>-3.3444816053511683E-2</v>
      </c>
      <c r="H304" s="366" t="str">
        <f>CONCATENATE("Las plazas hoteleras estimadas se sitúan en ",FIXED(F304,0)," plazas, registrando un ",IF(G304&gt;0,"incremento del ","descenso del "),FIXED(G304*100,1),"%.")</f>
        <v>Las plazas hoteleras estimadas se sitúan en 578 plazas, registrando un descenso del -3,3%.</v>
      </c>
      <c r="I304" s="366"/>
      <c r="J304" s="366"/>
      <c r="K304" s="366"/>
      <c r="L304" s="367"/>
      <c r="M304" s="265"/>
    </row>
    <row r="305" spans="3:18" ht="34.5" customHeight="1" thickBot="1" x14ac:dyDescent="0.25">
      <c r="C305" s="368"/>
      <c r="D305" s="369"/>
      <c r="E305" s="370" t="s">
        <v>86</v>
      </c>
      <c r="F305" s="371">
        <v>504</v>
      </c>
      <c r="G305" s="340">
        <v>0.40389972144846786</v>
      </c>
      <c r="H305" s="372" t="s">
        <v>109</v>
      </c>
      <c r="I305" s="372"/>
      <c r="J305" s="372"/>
      <c r="K305" s="372"/>
      <c r="L305" s="373"/>
      <c r="M305" s="265"/>
    </row>
    <row r="306" spans="3:18" ht="39.75" customHeight="1" thickTop="1" x14ac:dyDescent="0.2">
      <c r="C306" s="374" t="s">
        <v>14</v>
      </c>
      <c r="D306" s="375"/>
      <c r="E306" s="346" t="s">
        <v>8</v>
      </c>
      <c r="F306" s="347">
        <v>27957</v>
      </c>
      <c r="G306" s="348">
        <v>4.0531487271103117E-2</v>
      </c>
      <c r="H306" s="349" t="s">
        <v>110</v>
      </c>
      <c r="I306" s="349"/>
      <c r="J306" s="349"/>
      <c r="K306" s="349"/>
      <c r="L306" s="350"/>
      <c r="M306" s="265"/>
    </row>
    <row r="307" spans="3:18" ht="34.5" customHeight="1" x14ac:dyDescent="0.2">
      <c r="C307" s="376"/>
      <c r="D307" s="377"/>
      <c r="E307" s="378" t="s">
        <v>85</v>
      </c>
      <c r="F307" s="66">
        <v>19202</v>
      </c>
      <c r="G307" s="140">
        <v>4.177517361111116E-2</v>
      </c>
      <c r="H307" s="379" t="str">
        <f>CONCATENATE("La oferta hotelera asciende a ",FIXED(F307,0),", cifra que se ",IF(G307&gt;0,"incrementa un ","reduce un "),FIXED(G307*100,1),"% respecto al año anterior.")</f>
        <v>La oferta hotelera asciende a 19.202, cifra que se incrementa un 4,2% respecto al año anterior.</v>
      </c>
      <c r="I307" s="379"/>
      <c r="J307" s="379"/>
      <c r="K307" s="379"/>
      <c r="L307" s="380"/>
      <c r="M307" s="265"/>
    </row>
    <row r="308" spans="3:18" ht="34.5" customHeight="1" thickBot="1" x14ac:dyDescent="0.25">
      <c r="C308" s="381"/>
      <c r="D308" s="382"/>
      <c r="E308" s="353" t="s">
        <v>86</v>
      </c>
      <c r="F308" s="354">
        <v>8755</v>
      </c>
      <c r="G308" s="340">
        <v>3.7814129919393036E-2</v>
      </c>
      <c r="H308" s="355" t="str">
        <f>CONCATENATE("Las plazas extrahoteras estimadas ascienden a ",FIXED(F308,0),", las cuales ",IF(G308&gt;0,"se incrementan un ","descienden un "),FIXED(G308*100,1),"%.")</f>
        <v>Las plazas extrahoteras estimadas ascienden a 8.755, las cuales se incrementan un 3,8%.</v>
      </c>
      <c r="I308" s="355"/>
      <c r="J308" s="355"/>
      <c r="K308" s="355"/>
      <c r="L308" s="356"/>
      <c r="M308" s="265"/>
    </row>
    <row r="309" spans="3:18" ht="34.5" customHeight="1" thickTop="1" x14ac:dyDescent="0.2">
      <c r="C309" s="383" t="s">
        <v>15</v>
      </c>
      <c r="D309" s="384"/>
      <c r="E309" s="385" t="s">
        <v>8</v>
      </c>
      <c r="F309" s="386">
        <v>127152</v>
      </c>
      <c r="G309" s="348">
        <v>-5.4284060510301213E-3</v>
      </c>
      <c r="H309" s="361" t="str">
        <f>CONCATENATE("Las plazas estimadas para la zona Sur por el STDE del Cabildo ascienden a ",FIXED(F309,0)," experimentando un ",IF(G309&gt;0,"incremento interanual del ","descenso interanual del "),FIXED(G309*100,1),"%.")</f>
        <v>Las plazas estimadas para la zona Sur por el STDE del Cabildo ascienden a 127.152 experimentando un descenso interanual del -0,5%.</v>
      </c>
      <c r="I309" s="361"/>
      <c r="J309" s="361"/>
      <c r="K309" s="361"/>
      <c r="L309" s="362"/>
      <c r="M309" s="265"/>
    </row>
    <row r="310" spans="3:18" ht="34.5" customHeight="1" x14ac:dyDescent="0.2">
      <c r="C310" s="387"/>
      <c r="D310" s="388"/>
      <c r="E310" s="389" t="s">
        <v>85</v>
      </c>
      <c r="F310" s="91">
        <v>70461</v>
      </c>
      <c r="G310" s="140">
        <v>-6.6541666079258377E-3</v>
      </c>
      <c r="H310" s="366" t="str">
        <f>CONCATENATE("Las plazas hoteleras, con un oferta de ",FIXED(F310,0)," plazas, se ",IF(G310&gt;0,"incrementan un ","reducen un "),FIXED(G310*100,1),"% respecto al mismo período del año anterior.")</f>
        <v>Las plazas hoteleras, con un oferta de 70.461 plazas, se reducen un -0,7% respecto al mismo período del año anterior.</v>
      </c>
      <c r="I310" s="366"/>
      <c r="J310" s="366"/>
      <c r="K310" s="366"/>
      <c r="L310" s="367"/>
      <c r="M310" s="265"/>
    </row>
    <row r="311" spans="3:18" ht="34.5" customHeight="1" x14ac:dyDescent="0.2">
      <c r="C311" s="387"/>
      <c r="D311" s="388"/>
      <c r="E311" s="390" t="s">
        <v>86</v>
      </c>
      <c r="F311" s="391">
        <v>56691</v>
      </c>
      <c r="G311" s="392">
        <v>-3.9006905276474102E-3</v>
      </c>
      <c r="H311" s="393" t="s">
        <v>111</v>
      </c>
      <c r="I311" s="393"/>
      <c r="J311" s="393"/>
      <c r="K311" s="393"/>
      <c r="L311" s="394"/>
      <c r="M311" s="265"/>
    </row>
    <row r="312" spans="3:18" ht="5.25" customHeight="1" thickBot="1" x14ac:dyDescent="0.25">
      <c r="C312" s="298"/>
      <c r="D312" s="298"/>
      <c r="E312" s="298"/>
      <c r="F312" s="298"/>
      <c r="G312" s="298"/>
      <c r="H312" s="298"/>
      <c r="I312" s="298"/>
      <c r="J312" s="298"/>
      <c r="K312" s="298"/>
      <c r="L312" s="298"/>
      <c r="M312" s="299"/>
      <c r="N312" s="257"/>
      <c r="O312" s="145"/>
      <c r="R312" s="145"/>
    </row>
    <row r="313" spans="3:18" ht="19.5" customHeight="1" thickBot="1" x14ac:dyDescent="0.25">
      <c r="C313" s="27" t="s">
        <v>87</v>
      </c>
      <c r="D313" s="28"/>
      <c r="E313" s="28"/>
      <c r="F313" s="28"/>
      <c r="G313" s="28"/>
      <c r="H313" s="28"/>
      <c r="I313" s="28"/>
      <c r="J313" s="28"/>
      <c r="K313" s="28"/>
      <c r="L313" s="28"/>
      <c r="M313" s="29"/>
      <c r="N313" s="257"/>
      <c r="O313" s="145"/>
      <c r="P313" s="145"/>
      <c r="Q313" s="145"/>
    </row>
    <row r="314" spans="3:18" ht="5.25" customHeight="1" x14ac:dyDescent="0.2"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151"/>
      <c r="O314" s="145"/>
      <c r="P314" s="145"/>
      <c r="Q314" s="145"/>
    </row>
    <row r="315" spans="3:18" ht="95.25" customHeight="1" thickBot="1" x14ac:dyDescent="0.25">
      <c r="C315" s="395" t="s">
        <v>88</v>
      </c>
      <c r="D315" s="396"/>
      <c r="E315" s="397" t="s">
        <v>89</v>
      </c>
      <c r="F315" s="398">
        <v>563802</v>
      </c>
      <c r="G315" s="303">
        <v>-0.12454057176397149</v>
      </c>
      <c r="H315" s="399" t="s">
        <v>112</v>
      </c>
      <c r="I315" s="399"/>
      <c r="J315" s="399"/>
      <c r="K315" s="399"/>
      <c r="L315" s="400"/>
      <c r="M315" s="265" t="s">
        <v>114</v>
      </c>
    </row>
    <row r="316" spans="3:18" ht="45.75" hidden="1" customHeight="1" x14ac:dyDescent="0.2">
      <c r="C316" s="395"/>
      <c r="D316" s="396"/>
      <c r="E316" s="401" t="s">
        <v>90</v>
      </c>
      <c r="F316" s="318">
        <v>290</v>
      </c>
      <c r="G316" s="319">
        <v>-6.7524115755627001E-2</v>
      </c>
      <c r="H316" s="402" t="s">
        <v>113</v>
      </c>
      <c r="I316" s="402"/>
      <c r="J316" s="402"/>
      <c r="K316" s="402"/>
      <c r="L316" s="403"/>
      <c r="M316" s="265"/>
    </row>
    <row r="317" spans="3:18" ht="13.5" thickTop="1" x14ac:dyDescent="0.2">
      <c r="C317" s="404"/>
      <c r="D317" s="405"/>
      <c r="E317" s="405"/>
      <c r="F317" s="405"/>
      <c r="G317" s="405"/>
      <c r="H317" s="405"/>
      <c r="I317" s="405"/>
      <c r="J317" s="405"/>
      <c r="K317" s="405"/>
      <c r="L317" s="405"/>
      <c r="M317" s="405"/>
    </row>
    <row r="318" spans="3:18" ht="29.25" customHeight="1" x14ac:dyDescent="0.2"/>
    <row r="319" spans="3:18" ht="18" customHeight="1" x14ac:dyDescent="0.2">
      <c r="C319" s="406" t="s">
        <v>91</v>
      </c>
      <c r="D319" s="406"/>
      <c r="E319" s="406"/>
      <c r="F319" s="406"/>
      <c r="G319" s="406"/>
      <c r="H319" s="406"/>
      <c r="I319" s="406"/>
      <c r="J319" s="406"/>
      <c r="K319" s="406"/>
      <c r="L319" s="406"/>
      <c r="M319" s="406"/>
    </row>
    <row r="321" spans="5:6" ht="6.75" customHeight="1" x14ac:dyDescent="0.2"/>
    <row r="323" spans="5:6" ht="8.25" customHeight="1" x14ac:dyDescent="0.2"/>
    <row r="326" spans="5:6" x14ac:dyDescent="0.2">
      <c r="E326" s="407"/>
      <c r="F326" s="407"/>
    </row>
    <row r="327" spans="5:6" x14ac:dyDescent="0.2">
      <c r="E327" s="407"/>
      <c r="F327" s="407"/>
    </row>
    <row r="330" spans="5:6" ht="21.75" customHeight="1" x14ac:dyDescent="0.2"/>
    <row r="332" spans="5:6" ht="6" customHeight="1" x14ac:dyDescent="0.2"/>
  </sheetData>
  <mergeCells count="162">
    <mergeCell ref="C319:M319"/>
    <mergeCell ref="C309:D311"/>
    <mergeCell ref="H309:L309"/>
    <mergeCell ref="H310:L310"/>
    <mergeCell ref="H311:L311"/>
    <mergeCell ref="C313:M313"/>
    <mergeCell ref="C315:D316"/>
    <mergeCell ref="H315:L315"/>
    <mergeCell ref="M315:M316"/>
    <mergeCell ref="H316:L316"/>
    <mergeCell ref="H303:L303"/>
    <mergeCell ref="H304:L304"/>
    <mergeCell ref="H305:L305"/>
    <mergeCell ref="C306:D308"/>
    <mergeCell ref="H306:L306"/>
    <mergeCell ref="H307:L307"/>
    <mergeCell ref="H308:L308"/>
    <mergeCell ref="E294:K294"/>
    <mergeCell ref="C296:M296"/>
    <mergeCell ref="C298:D300"/>
    <mergeCell ref="H298:L298"/>
    <mergeCell ref="M298:M311"/>
    <mergeCell ref="H299:L299"/>
    <mergeCell ref="H300:L300"/>
    <mergeCell ref="C301:D302"/>
    <mergeCell ref="H301:L302"/>
    <mergeCell ref="C303:D305"/>
    <mergeCell ref="H283:L283"/>
    <mergeCell ref="C285:M285"/>
    <mergeCell ref="C287:D291"/>
    <mergeCell ref="H287:L287"/>
    <mergeCell ref="M287:M291"/>
    <mergeCell ref="H288:L288"/>
    <mergeCell ref="H289:L289"/>
    <mergeCell ref="H290:L290"/>
    <mergeCell ref="H291:L291"/>
    <mergeCell ref="C276:M276"/>
    <mergeCell ref="C278:C283"/>
    <mergeCell ref="D278:D280"/>
    <mergeCell ref="H278:L278"/>
    <mergeCell ref="M278:M283"/>
    <mergeCell ref="H279:L279"/>
    <mergeCell ref="H280:L280"/>
    <mergeCell ref="D281:D283"/>
    <mergeCell ref="H281:L281"/>
    <mergeCell ref="H282:L282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9:G10 G15:G23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10 G15:G23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10 G15:G23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G315:G316 G298:G311 G287:G291 G278:G283 L110:L114 G110:G114 L102:L106 G102:G106 L94:L98 G94:G98 L87:L90 G86:G90 L9:L11 L15:L23">
    <cfRule type="cellIs" dxfId="245" priority="241" operator="equal">
      <formula>0</formula>
    </cfRule>
    <cfRule type="cellIs" dxfId="244" priority="242" operator="lessThan">
      <formula>0</formula>
    </cfRule>
    <cfRule type="cellIs" dxfId="243" priority="243" operator="greaterThan">
      <formula>0</formula>
    </cfRule>
  </conditionalFormatting>
  <conditionalFormatting sqref="G315:G316 G298:G311 G287:G291 G278:G283 L110:L114 G110:G114 L102:L106 G102:G106 L94:L98 G94:G98 L87:L90 G86:G90 L9:L11 L15:L23">
    <cfRule type="cellIs" dxfId="242" priority="244" stopIfTrue="1" operator="greaterThan">
      <formula>0</formula>
    </cfRule>
    <cfRule type="cellIs" dxfId="241" priority="245" stopIfTrue="1" operator="lessThan">
      <formula>0</formula>
    </cfRule>
    <cfRule type="cellIs" dxfId="240" priority="246" stopIfTrue="1" operator="equal">
      <formula>0</formula>
    </cfRule>
  </conditionalFormatting>
  <conditionalFormatting sqref="G27:G28 G33:G41">
    <cfRule type="cellIs" dxfId="239" priority="190" stopIfTrue="1" operator="greaterThan">
      <formula>0</formula>
    </cfRule>
    <cfRule type="cellIs" dxfId="238" priority="191" stopIfTrue="1" operator="lessThan">
      <formula>0</formula>
    </cfRule>
    <cfRule type="cellIs" dxfId="237" priority="192" stopIfTrue="1" operator="equal">
      <formula>0</formula>
    </cfRule>
  </conditionalFormatting>
  <conditionalFormatting sqref="G27:G28 G33:G41">
    <cfRule type="cellIs" dxfId="236" priority="187" operator="equal">
      <formula>0</formula>
    </cfRule>
    <cfRule type="cellIs" dxfId="235" priority="188" operator="lessThan">
      <formula>0</formula>
    </cfRule>
    <cfRule type="cellIs" dxfId="234" priority="189" operator="greaterThan">
      <formula>0</formula>
    </cfRule>
  </conditionalFormatting>
  <conditionalFormatting sqref="G45:G47 G51:G59">
    <cfRule type="cellIs" dxfId="233" priority="232" stopIfTrue="1" operator="greaterThan">
      <formula>0</formula>
    </cfRule>
    <cfRule type="cellIs" dxfId="232" priority="233" stopIfTrue="1" operator="lessThan">
      <formula>0</formula>
    </cfRule>
    <cfRule type="cellIs" dxfId="231" priority="234" stopIfTrue="1" operator="equal">
      <formula>0</formula>
    </cfRule>
  </conditionalFormatting>
  <conditionalFormatting sqref="G45:G47 G51:G59">
    <cfRule type="cellIs" dxfId="230" priority="229" operator="equal">
      <formula>0</formula>
    </cfRule>
    <cfRule type="cellIs" dxfId="229" priority="230" operator="lessThan">
      <formula>0</formula>
    </cfRule>
    <cfRule type="cellIs" dxfId="228" priority="231" operator="greaterThan">
      <formula>0</formula>
    </cfRule>
  </conditionalFormatting>
  <conditionalFormatting sqref="G46:G47 G51:G59">
    <cfRule type="cellIs" dxfId="227" priority="226" stopIfTrue="1" operator="greaterThan">
      <formula>0</formula>
    </cfRule>
    <cfRule type="cellIs" dxfId="226" priority="227" stopIfTrue="1" operator="lessThan">
      <formula>0</formula>
    </cfRule>
    <cfRule type="cellIs" dxfId="225" priority="228" stopIfTrue="1" operator="equal">
      <formula>0</formula>
    </cfRule>
  </conditionalFormatting>
  <conditionalFormatting sqref="G46:G47 G51:G59">
    <cfRule type="cellIs" dxfId="224" priority="223" operator="equal">
      <formula>0</formula>
    </cfRule>
    <cfRule type="cellIs" dxfId="223" priority="224" operator="lessThan">
      <formula>0</formula>
    </cfRule>
    <cfRule type="cellIs" dxfId="222" priority="225" operator="greaterThan">
      <formula>0</formula>
    </cfRule>
  </conditionalFormatting>
  <conditionalFormatting sqref="L27:L29 L33:L41">
    <cfRule type="cellIs" dxfId="221" priority="235" operator="equal">
      <formula>0</formula>
    </cfRule>
    <cfRule type="cellIs" dxfId="220" priority="236" operator="lessThan">
      <formula>0</formula>
    </cfRule>
    <cfRule type="cellIs" dxfId="219" priority="237" operator="greaterThan">
      <formula>0</formula>
    </cfRule>
  </conditionalFormatting>
  <conditionalFormatting sqref="L27:L29 L33:L41">
    <cfRule type="cellIs" dxfId="218" priority="238" stopIfTrue="1" operator="greaterThan">
      <formula>0</formula>
    </cfRule>
    <cfRule type="cellIs" dxfId="217" priority="239" stopIfTrue="1" operator="lessThan">
      <formula>0</formula>
    </cfRule>
    <cfRule type="cellIs" dxfId="216" priority="240" stopIfTrue="1" operator="equal">
      <formula>0</formula>
    </cfRule>
  </conditionalFormatting>
  <conditionalFormatting sqref="L45:L47 L51:L59">
    <cfRule type="cellIs" dxfId="215" priority="217" operator="equal">
      <formula>0</formula>
    </cfRule>
    <cfRule type="cellIs" dxfId="214" priority="218" operator="lessThan">
      <formula>0</formula>
    </cfRule>
    <cfRule type="cellIs" dxfId="213" priority="219" operator="greaterThan">
      <formula>0</formula>
    </cfRule>
  </conditionalFormatting>
  <conditionalFormatting sqref="L45:L47 L51:L59">
    <cfRule type="cellIs" dxfId="212" priority="220" stopIfTrue="1" operator="greaterThan">
      <formula>0</formula>
    </cfRule>
    <cfRule type="cellIs" dxfId="211" priority="221" stopIfTrue="1" operator="lessThan">
      <formula>0</formula>
    </cfRule>
    <cfRule type="cellIs" dxfId="210" priority="222" stopIfTrue="1" operator="equal">
      <formula>0</formula>
    </cfRule>
  </conditionalFormatting>
  <conditionalFormatting sqref="G68:G70 G74:G82">
    <cfRule type="cellIs" dxfId="209" priority="214" stopIfTrue="1" operator="greaterThan">
      <formula>0</formula>
    </cfRule>
    <cfRule type="cellIs" dxfId="208" priority="215" stopIfTrue="1" operator="lessThan">
      <formula>0</formula>
    </cfRule>
    <cfRule type="cellIs" dxfId="207" priority="216" stopIfTrue="1" operator="equal">
      <formula>0</formula>
    </cfRule>
  </conditionalFormatting>
  <conditionalFormatting sqref="G68:G70 G74:G82">
    <cfRule type="cellIs" dxfId="206" priority="211" operator="equal">
      <formula>0</formula>
    </cfRule>
    <cfRule type="cellIs" dxfId="205" priority="212" operator="lessThan">
      <formula>0</formula>
    </cfRule>
    <cfRule type="cellIs" dxfId="204" priority="213" operator="greaterThan">
      <formula>0</formula>
    </cfRule>
  </conditionalFormatting>
  <conditionalFormatting sqref="G69:G70 G74:G82">
    <cfRule type="cellIs" dxfId="203" priority="208" stopIfTrue="1" operator="greaterThan">
      <formula>0</formula>
    </cfRule>
    <cfRule type="cellIs" dxfId="202" priority="209" stopIfTrue="1" operator="lessThan">
      <formula>0</formula>
    </cfRule>
    <cfRule type="cellIs" dxfId="201" priority="210" stopIfTrue="1" operator="equal">
      <formula>0</formula>
    </cfRule>
  </conditionalFormatting>
  <conditionalFormatting sqref="G69:G70 G74:G82">
    <cfRule type="cellIs" dxfId="200" priority="205" operator="equal">
      <formula>0</formula>
    </cfRule>
    <cfRule type="cellIs" dxfId="199" priority="206" operator="lessThan">
      <formula>0</formula>
    </cfRule>
    <cfRule type="cellIs" dxfId="198" priority="207" operator="greaterThan">
      <formula>0</formula>
    </cfRule>
  </conditionalFormatting>
  <conditionalFormatting sqref="L68:L70 L74:L82">
    <cfRule type="cellIs" dxfId="197" priority="199" operator="equal">
      <formula>0</formula>
    </cfRule>
    <cfRule type="cellIs" dxfId="196" priority="200" operator="lessThan">
      <formula>0</formula>
    </cfRule>
    <cfRule type="cellIs" dxfId="195" priority="201" operator="greaterThan">
      <formula>0</formula>
    </cfRule>
  </conditionalFormatting>
  <conditionalFormatting sqref="L68:L70 L74:L82">
    <cfRule type="cellIs" dxfId="194" priority="202" stopIfTrue="1" operator="greaterThan">
      <formula>0</formula>
    </cfRule>
    <cfRule type="cellIs" dxfId="193" priority="203" stopIfTrue="1" operator="lessThan">
      <formula>0</formula>
    </cfRule>
    <cfRule type="cellIs" dxfId="192" priority="204" stopIfTrue="1" operator="equal">
      <formula>0</formula>
    </cfRule>
  </conditionalFormatting>
  <conditionalFormatting sqref="G11">
    <cfRule type="cellIs" dxfId="191" priority="196" stopIfTrue="1" operator="greaterThan">
      <formula>0</formula>
    </cfRule>
    <cfRule type="cellIs" dxfId="190" priority="197" stopIfTrue="1" operator="lessThan">
      <formula>0</formula>
    </cfRule>
    <cfRule type="cellIs" dxfId="189" priority="198" stopIfTrue="1" operator="equal">
      <formula>0</formula>
    </cfRule>
  </conditionalFormatting>
  <conditionalFormatting sqref="G11">
    <cfRule type="cellIs" dxfId="188" priority="193" operator="equal">
      <formula>0</formula>
    </cfRule>
    <cfRule type="cellIs" dxfId="187" priority="194" operator="lessThan">
      <formula>0</formula>
    </cfRule>
    <cfRule type="cellIs" dxfId="186" priority="195" operator="greaterThan">
      <formula>0</formula>
    </cfRule>
  </conditionalFormatting>
  <conditionalFormatting sqref="G28 G33:G41">
    <cfRule type="cellIs" dxfId="185" priority="184" stopIfTrue="1" operator="greaterThan">
      <formula>0</formula>
    </cfRule>
    <cfRule type="cellIs" dxfId="184" priority="185" stopIfTrue="1" operator="lessThan">
      <formula>0</formula>
    </cfRule>
    <cfRule type="cellIs" dxfId="183" priority="186" stopIfTrue="1" operator="equal">
      <formula>0</formula>
    </cfRule>
  </conditionalFormatting>
  <conditionalFormatting sqref="G28 G33:G41">
    <cfRule type="cellIs" dxfId="182" priority="181" operator="equal">
      <formula>0</formula>
    </cfRule>
    <cfRule type="cellIs" dxfId="181" priority="182" operator="lessThan">
      <formula>0</formula>
    </cfRule>
    <cfRule type="cellIs" dxfId="180" priority="183" operator="greaterThan">
      <formula>0</formula>
    </cfRule>
  </conditionalFormatting>
  <conditionalFormatting sqref="G29">
    <cfRule type="cellIs" dxfId="179" priority="178" stopIfTrue="1" operator="greaterThan">
      <formula>0</formula>
    </cfRule>
    <cfRule type="cellIs" dxfId="178" priority="179" stopIfTrue="1" operator="lessThan">
      <formula>0</formula>
    </cfRule>
    <cfRule type="cellIs" dxfId="177" priority="180" stopIfTrue="1" operator="equal">
      <formula>0</formula>
    </cfRule>
  </conditionalFormatting>
  <conditionalFormatting sqref="G29">
    <cfRule type="cellIs" dxfId="176" priority="175" operator="equal">
      <formula>0</formula>
    </cfRule>
    <cfRule type="cellIs" dxfId="175" priority="176" operator="lessThan">
      <formula>0</formula>
    </cfRule>
    <cfRule type="cellIs" dxfId="174" priority="177" operator="greaterThan">
      <formula>0</formula>
    </cfRule>
  </conditionalFormatting>
  <conditionalFormatting sqref="E124:E149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E124:E149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4:G149 I124:I149 K124:K149 M124:M149">
    <cfRule type="cellIs" dxfId="167" priority="163" operator="equal">
      <formula>0</formula>
    </cfRule>
    <cfRule type="cellIs" dxfId="166" priority="164" operator="lessThan">
      <formula>0</formula>
    </cfRule>
    <cfRule type="cellIs" dxfId="165" priority="165" operator="greaterThan">
      <formula>0</formula>
    </cfRule>
  </conditionalFormatting>
  <conditionalFormatting sqref="G124:G149 I124:I149 K124:K149 M124:M149">
    <cfRule type="cellIs" dxfId="164" priority="166" stopIfTrue="1" operator="greaterThan">
      <formula>0</formula>
    </cfRule>
    <cfRule type="cellIs" dxfId="163" priority="167" stopIfTrue="1" operator="lessThan">
      <formula>0</formula>
    </cfRule>
    <cfRule type="cellIs" dxfId="162" priority="168" stopIfTrue="1" operator="equal">
      <formula>0</formula>
    </cfRule>
  </conditionalFormatting>
  <conditionalFormatting sqref="E156:E181">
    <cfRule type="cellIs" dxfId="161" priority="157" operator="equal">
      <formula>0</formula>
    </cfRule>
    <cfRule type="cellIs" dxfId="160" priority="158" operator="lessThan">
      <formula>0</formula>
    </cfRule>
    <cfRule type="cellIs" dxfId="159" priority="159" operator="greaterThan">
      <formula>0</formula>
    </cfRule>
  </conditionalFormatting>
  <conditionalFormatting sqref="E156:E181">
    <cfRule type="cellIs" dxfId="158" priority="160" stopIfTrue="1" operator="greaterThan">
      <formula>0</formula>
    </cfRule>
    <cfRule type="cellIs" dxfId="157" priority="161" stopIfTrue="1" operator="lessThan">
      <formula>0</formula>
    </cfRule>
    <cfRule type="cellIs" dxfId="156" priority="162" stopIfTrue="1" operator="equal">
      <formula>0</formula>
    </cfRule>
  </conditionalFormatting>
  <conditionalFormatting sqref="G156:G181 I156:I181 K156:K181 M156:M181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G156:G181 I156:I181 K156:K181 M156:M181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L86">
    <cfRule type="cellIs" dxfId="149" priority="145" operator="equal">
      <formula>0</formula>
    </cfRule>
    <cfRule type="cellIs" dxfId="148" priority="146" operator="lessThan">
      <formula>0</formula>
    </cfRule>
    <cfRule type="cellIs" dxfId="147" priority="147" operator="greaterThan">
      <formula>0</formula>
    </cfRule>
  </conditionalFormatting>
  <conditionalFormatting sqref="L86">
    <cfRule type="cellIs" dxfId="146" priority="148" stopIfTrue="1" operator="greaterThan">
      <formula>0</formula>
    </cfRule>
    <cfRule type="cellIs" dxfId="145" priority="149" stopIfTrue="1" operator="lessThan">
      <formula>0</formula>
    </cfRule>
    <cfRule type="cellIs" dxfId="144" priority="150" stopIfTrue="1" operator="equal">
      <formula>0</formula>
    </cfRule>
  </conditionalFormatting>
  <conditionalFormatting sqref="G12:G13">
    <cfRule type="cellIs" dxfId="143" priority="142" stopIfTrue="1" operator="greaterThan">
      <formula>0</formula>
    </cfRule>
    <cfRule type="cellIs" dxfId="142" priority="143" stopIfTrue="1" operator="lessThan">
      <formula>0</formula>
    </cfRule>
    <cfRule type="cellIs" dxfId="141" priority="144" stopIfTrue="1" operator="equal">
      <formula>0</formula>
    </cfRule>
  </conditionalFormatting>
  <conditionalFormatting sqref="G12:G13">
    <cfRule type="cellIs" dxfId="140" priority="139" operator="equal">
      <formula>0</formula>
    </cfRule>
    <cfRule type="cellIs" dxfId="139" priority="140" operator="lessThan">
      <formula>0</formula>
    </cfRule>
    <cfRule type="cellIs" dxfId="138" priority="141" operator="greaterThan">
      <formula>0</formula>
    </cfRule>
  </conditionalFormatting>
  <conditionalFormatting sqref="G12:G13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12:G13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L12:L13">
    <cfRule type="cellIs" dxfId="131" priority="127" operator="equal">
      <formula>0</formula>
    </cfRule>
    <cfRule type="cellIs" dxfId="130" priority="128" operator="lessThan">
      <formula>0</formula>
    </cfRule>
    <cfRule type="cellIs" dxfId="129" priority="129" operator="greaterThan">
      <formula>0</formula>
    </cfRule>
  </conditionalFormatting>
  <conditionalFormatting sqref="L12:L13">
    <cfRule type="cellIs" dxfId="128" priority="130" stopIfTrue="1" operator="greaterThan">
      <formula>0</formula>
    </cfRule>
    <cfRule type="cellIs" dxfId="127" priority="131" stopIfTrue="1" operator="lessThan">
      <formula>0</formula>
    </cfRule>
    <cfRule type="cellIs" dxfId="126" priority="132" stopIfTrue="1" operator="equal">
      <formula>0</formula>
    </cfRule>
  </conditionalFormatting>
  <conditionalFormatting sqref="G30:G31">
    <cfRule type="cellIs" dxfId="125" priority="118" stopIfTrue="1" operator="greaterThan">
      <formula>0</formula>
    </cfRule>
    <cfRule type="cellIs" dxfId="124" priority="119" stopIfTrue="1" operator="lessThan">
      <formula>0</formula>
    </cfRule>
    <cfRule type="cellIs" dxfId="123" priority="120" stopIfTrue="1" operator="equal">
      <formula>0</formula>
    </cfRule>
  </conditionalFormatting>
  <conditionalFormatting sqref="G30:G31">
    <cfRule type="cellIs" dxfId="122" priority="115" operator="equal">
      <formula>0</formula>
    </cfRule>
    <cfRule type="cellIs" dxfId="121" priority="116" operator="lessThan">
      <formula>0</formula>
    </cfRule>
    <cfRule type="cellIs" dxfId="120" priority="117" operator="greaterThan">
      <formula>0</formula>
    </cfRule>
  </conditionalFormatting>
  <conditionalFormatting sqref="L30:L31">
    <cfRule type="cellIs" dxfId="119" priority="121" operator="equal">
      <formula>0</formula>
    </cfRule>
    <cfRule type="cellIs" dxfId="118" priority="122" operator="lessThan">
      <formula>0</formula>
    </cfRule>
    <cfRule type="cellIs" dxfId="117" priority="123" operator="greaterThan">
      <formula>0</formula>
    </cfRule>
  </conditionalFormatting>
  <conditionalFormatting sqref="L30:L31">
    <cfRule type="cellIs" dxfId="116" priority="124" stopIfTrue="1" operator="greaterThan">
      <formula>0</formula>
    </cfRule>
    <cfRule type="cellIs" dxfId="115" priority="125" stopIfTrue="1" operator="lessThan">
      <formula>0</formula>
    </cfRule>
    <cfRule type="cellIs" dxfId="114" priority="126" stopIfTrue="1" operator="equal">
      <formula>0</formula>
    </cfRule>
  </conditionalFormatting>
  <conditionalFormatting sqref="G30:G31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30:G31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48:G49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48:G49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G48:G49">
    <cfRule type="cellIs" dxfId="101" priority="100" stopIfTrue="1" operator="greaterThan">
      <formula>0</formula>
    </cfRule>
    <cfRule type="cellIs" dxfId="100" priority="101" stopIfTrue="1" operator="lessThan">
      <formula>0</formula>
    </cfRule>
    <cfRule type="cellIs" dxfId="99" priority="102" stopIfTrue="1" operator="equal">
      <formula>0</formula>
    </cfRule>
  </conditionalFormatting>
  <conditionalFormatting sqref="G48:G49">
    <cfRule type="cellIs" dxfId="98" priority="97" operator="equal">
      <formula>0</formula>
    </cfRule>
    <cfRule type="cellIs" dxfId="97" priority="98" operator="lessThan">
      <formula>0</formula>
    </cfRule>
    <cfRule type="cellIs" dxfId="96" priority="99" operator="greaterThan">
      <formula>0</formula>
    </cfRule>
  </conditionalFormatting>
  <conditionalFormatting sqref="L48:L49">
    <cfRule type="cellIs" dxfId="95" priority="91" operator="equal">
      <formula>0</formula>
    </cfRule>
    <cfRule type="cellIs" dxfId="94" priority="92" operator="lessThan">
      <formula>0</formula>
    </cfRule>
    <cfRule type="cellIs" dxfId="93" priority="93" operator="greaterThan">
      <formula>0</formula>
    </cfRule>
  </conditionalFormatting>
  <conditionalFormatting sqref="L48:L49">
    <cfRule type="cellIs" dxfId="92" priority="94" stopIfTrue="1" operator="greaterThan">
      <formula>0</formula>
    </cfRule>
    <cfRule type="cellIs" dxfId="91" priority="95" stopIfTrue="1" operator="lessThan">
      <formula>0</formula>
    </cfRule>
    <cfRule type="cellIs" dxfId="90" priority="96" stopIfTrue="1" operator="equal">
      <formula>0</formula>
    </cfRule>
  </conditionalFormatting>
  <conditionalFormatting sqref="G71:G72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71:G72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G71:G72">
    <cfRule type="cellIs" dxfId="83" priority="82" stopIfTrue="1" operator="greaterThan">
      <formula>0</formula>
    </cfRule>
    <cfRule type="cellIs" dxfId="82" priority="83" stopIfTrue="1" operator="lessThan">
      <formula>0</formula>
    </cfRule>
    <cfRule type="cellIs" dxfId="81" priority="84" stopIfTrue="1" operator="equal">
      <formula>0</formula>
    </cfRule>
  </conditionalFormatting>
  <conditionalFormatting sqref="G71:G72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L71:L72">
    <cfRule type="cellIs" dxfId="77" priority="73" operator="equal">
      <formula>0</formula>
    </cfRule>
    <cfRule type="cellIs" dxfId="76" priority="74" operator="lessThan">
      <formula>0</formula>
    </cfRule>
    <cfRule type="cellIs" dxfId="75" priority="75" operator="greaterThan">
      <formula>0</formula>
    </cfRule>
  </conditionalFormatting>
  <conditionalFormatting sqref="L71:L72">
    <cfRule type="cellIs" dxfId="74" priority="76" stopIfTrue="1" operator="greaterThan">
      <formula>0</formula>
    </cfRule>
    <cfRule type="cellIs" dxfId="73" priority="77" stopIfTrue="1" operator="lessThan">
      <formula>0</formula>
    </cfRule>
    <cfRule type="cellIs" dxfId="72" priority="78" stopIfTrue="1" operator="equal">
      <formula>0</formula>
    </cfRule>
  </conditionalFormatting>
  <conditionalFormatting sqref="G14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14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G14">
    <cfRule type="cellIs" dxfId="65" priority="64" stopIfTrue="1" operator="greaterThan">
      <formula>0</formula>
    </cfRule>
    <cfRule type="cellIs" dxfId="64" priority="65" stopIfTrue="1" operator="lessThan">
      <formula>0</formula>
    </cfRule>
    <cfRule type="cellIs" dxfId="63" priority="66" stopIfTrue="1" operator="equal">
      <formula>0</formula>
    </cfRule>
  </conditionalFormatting>
  <conditionalFormatting sqref="G14">
    <cfRule type="cellIs" dxfId="62" priority="61" operator="equal">
      <formula>0</formula>
    </cfRule>
    <cfRule type="cellIs" dxfId="61" priority="62" operator="lessThan">
      <formula>0</formula>
    </cfRule>
    <cfRule type="cellIs" dxfId="60" priority="63" operator="greaterThan">
      <formula>0</formula>
    </cfRule>
  </conditionalFormatting>
  <conditionalFormatting sqref="L14">
    <cfRule type="cellIs" dxfId="59" priority="55" operator="equal">
      <formula>0</formula>
    </cfRule>
    <cfRule type="cellIs" dxfId="58" priority="56" operator="lessThan">
      <formula>0</formula>
    </cfRule>
    <cfRule type="cellIs" dxfId="57" priority="57" operator="greaterThan">
      <formula>0</formula>
    </cfRule>
  </conditionalFormatting>
  <conditionalFormatting sqref="L14">
    <cfRule type="cellIs" dxfId="56" priority="58" stopIfTrue="1" operator="greaterThan">
      <formula>0</formula>
    </cfRule>
    <cfRule type="cellIs" dxfId="55" priority="59" stopIfTrue="1" operator="lessThan">
      <formula>0</formula>
    </cfRule>
    <cfRule type="cellIs" dxfId="54" priority="60" stopIfTrue="1" operator="equal">
      <formula>0</formula>
    </cfRule>
  </conditionalFormatting>
  <conditionalFormatting sqref="G32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32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G32">
    <cfRule type="cellIs" dxfId="47" priority="46" stopIfTrue="1" operator="greaterThan">
      <formula>0</formula>
    </cfRule>
    <cfRule type="cellIs" dxfId="46" priority="47" stopIfTrue="1" operator="lessThan">
      <formula>0</formula>
    </cfRule>
    <cfRule type="cellIs" dxfId="45" priority="48" stopIfTrue="1" operator="equal">
      <formula>0</formula>
    </cfRule>
  </conditionalFormatting>
  <conditionalFormatting sqref="G32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L32">
    <cfRule type="cellIs" dxfId="41" priority="37" operator="equal">
      <formula>0</formula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L32">
    <cfRule type="cellIs" dxfId="38" priority="40" stopIfTrue="1" operator="greaterThan">
      <formula>0</formula>
    </cfRule>
    <cfRule type="cellIs" dxfId="37" priority="41" stopIfTrue="1" operator="lessThan">
      <formula>0</formula>
    </cfRule>
    <cfRule type="cellIs" dxfId="36" priority="42" stopIfTrue="1" operator="equal">
      <formula>0</formula>
    </cfRule>
  </conditionalFormatting>
  <conditionalFormatting sqref="G50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50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G50">
    <cfRule type="cellIs" dxfId="29" priority="28" stopIfTrue="1" operator="greaterThan">
      <formula>0</formula>
    </cfRule>
    <cfRule type="cellIs" dxfId="28" priority="29" stopIfTrue="1" operator="lessThan">
      <formula>0</formula>
    </cfRule>
    <cfRule type="cellIs" dxfId="27" priority="30" stopIfTrue="1" operator="equal">
      <formula>0</formula>
    </cfRule>
  </conditionalFormatting>
  <conditionalFormatting sqref="G50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L50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L50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73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G73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G73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G73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L7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L7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2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enero</mes>
    <year xmlns="36c86fb7-c3ab-4219-b2b9-06651c03637a">2017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2017-03-01T00:00:00+00:00</PublishingStartDate>
    <_dlc_DocId xmlns="8b099203-c902-4a5b-992f-1f849b15ff82">Q5F7QW3RQ55V-2035-348</_dlc_DocId>
    <_dlc_DocIdUrl xmlns="8b099203-c902-4a5b-992f-1f849b15ff82">
      <Url>http://admin.webtenerife.com/es/investigacion/Situacion-turistica/indicadores-turisticos/_layouts/DocIdRedir.aspx?ID=Q5F7QW3RQ55V-2035-348</Url>
      <Description>Q5F7QW3RQ55V-2035-348</Description>
    </_dlc_DocIdUrl>
    <Pagina xmlns="36c86fb7-c3ab-4219-b2b9-06651c03637a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612126-BCF7-450A-8B41-EB4E7D197462}"/>
</file>

<file path=customXml/itemProps2.xml><?xml version="1.0" encoding="utf-8"?>
<ds:datastoreItem xmlns:ds="http://schemas.openxmlformats.org/officeDocument/2006/customXml" ds:itemID="{17AFBED2-C3A6-43EB-A95D-372A246B2690}"/>
</file>

<file path=customXml/itemProps3.xml><?xml version="1.0" encoding="utf-8"?>
<ds:datastoreItem xmlns:ds="http://schemas.openxmlformats.org/officeDocument/2006/customXml" ds:itemID="{648F3F9F-CBB2-4319-B7F6-EBA5A9E361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(enero 2017)</dc:title>
  <dc:creator>Marjorie Perez Garcia</dc:creator>
  <cp:lastModifiedBy>Marjorie Perez Garcia</cp:lastModifiedBy>
  <cp:lastPrinted>2017-02-21T16:31:22Z</cp:lastPrinted>
  <dcterms:created xsi:type="dcterms:W3CDTF">2017-02-21T16:30:30Z</dcterms:created>
  <dcterms:modified xsi:type="dcterms:W3CDTF">2017-02-21T16:31:46Z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947a36ed-a422-4a31-b740-62def7dc0a41</vt:lpwstr>
  </property>
</Properties>
</file>