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5\diciembre\"/>
    </mc:Choice>
  </mc:AlternateContent>
  <bookViews>
    <workbookView xWindow="0" yWindow="0" windowWidth="19200" windowHeight="1128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(vinculo)'!$C$1:$M$315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(vinculo)'!$C$1:$M$317</definedName>
    <definedName name="Z_B161D6A3_44F3_469D_B50D_76D907B3525C_.wvu.Cols" localSheetId="0" hidden="1">'Ind turísticos (vinculo)'!#REF!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6" i="1" l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K226" i="1"/>
  <c r="J226" i="1"/>
  <c r="I226" i="1"/>
  <c r="H226" i="1"/>
  <c r="G226" i="1"/>
  <c r="F226" i="1"/>
  <c r="E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K198" i="1"/>
  <c r="J198" i="1"/>
  <c r="I198" i="1"/>
  <c r="H198" i="1"/>
  <c r="G198" i="1"/>
  <c r="F198" i="1"/>
  <c r="E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3" i="1"/>
  <c r="M61" i="1"/>
  <c r="L61" i="1"/>
  <c r="K61" i="1"/>
  <c r="J61" i="1"/>
  <c r="I61" i="1"/>
  <c r="G61" i="1"/>
  <c r="F61" i="1"/>
  <c r="E61" i="1"/>
  <c r="D61" i="1"/>
  <c r="C61" i="1"/>
  <c r="G116" i="1"/>
  <c r="H297" i="1" l="1"/>
  <c r="H304" i="1"/>
  <c r="H300" i="1"/>
  <c r="H276" i="1"/>
  <c r="H305" i="1"/>
  <c r="H278" i="1"/>
  <c r="H303" i="1"/>
  <c r="H295" i="1"/>
  <c r="H306" i="1"/>
  <c r="E238" i="1"/>
  <c r="E290" i="1" s="1"/>
  <c r="E113" i="1"/>
  <c r="E180" i="1"/>
  <c r="C211" i="1"/>
  <c r="G148" i="1"/>
  <c r="I59" i="1"/>
</calcChain>
</file>

<file path=xl/sharedStrings.xml><?xml version="1.0" encoding="utf-8"?>
<sst xmlns="http://schemas.openxmlformats.org/spreadsheetml/2006/main" count="575" uniqueCount="115">
  <si>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</si>
  <si>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</si>
  <si>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</si>
  <si>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</si>
  <si>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</si>
  <si>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</si>
  <si>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</si>
  <si>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</si>
  <si>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</si>
  <si>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</si>
  <si>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</si>
  <si>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</si>
  <si>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</si>
  <si>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</si>
  <si>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</si>
  <si>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</si>
  <si>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</si>
  <si>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</si>
  <si>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</si>
  <si>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</si>
  <si>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</si>
  <si>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</si>
  <si>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</si>
  <si>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</si>
  <si>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</si>
  <si>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</si>
  <si>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</si>
  <si>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</si>
  <si>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</si>
  <si>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</si>
  <si>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</si>
  <si>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</si>
  <si>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</si>
  <si>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</si>
  <si>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</si>
  <si>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</si>
  <si>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</si>
  <si>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</si>
  <si>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</si>
  <si>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</si>
  <si>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</si>
  <si>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</si>
  <si>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</si>
  <si>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</si>
  <si>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</si>
  <si>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</si>
  <si>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</si>
  <si>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</si>
  <si>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</si>
  <si>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</si>
  <si>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</si>
  <si>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</si>
  <si>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</si>
  <si>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</si>
  <si>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</si>
  <si>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</si>
  <si>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</si>
  <si>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</si>
  <si>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</si>
  <si>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</si>
  <si>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</si>
  <si>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</si>
  <si>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</si>
  <si>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</si>
  <si>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</si>
  <si>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</si>
  <si>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</si>
  <si>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</si>
  <si>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</si>
  <si>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</si>
  <si>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</si>
  <si>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</si>
  <si>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</si>
  <si>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</si>
  <si>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</si>
  <si>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</si>
  <si>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</si>
  <si>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</si>
  <si>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</si>
  <si>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</si>
  <si>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</si>
  <si>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</si>
  <si>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</si>
  <si>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</si>
  <si>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</si>
  <si>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</si>
  <si>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</si>
  <si>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</si>
  <si>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</si>
  <si>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</si>
  <si>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</si>
  <si>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</si>
  <si>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diciembre 2015</t>
  </si>
  <si>
    <t>año 2015</t>
  </si>
  <si>
    <t>Muestra hotelera= 90,9%;   Muestra extrahotelera= 69,2%;   Muestra total= 81,8%</t>
  </si>
  <si>
    <t>El gasto medio total por turista en el año 2015 ha ascendido a 1.125,1€ . Se incrementa  un 5,8% respecto al mismo periodo del año anterior.</t>
  </si>
  <si>
    <t>El gasto medio por turista en origen se situó en 740,4€, un 6,0% más que en el año 2014.</t>
  </si>
  <si>
    <t>El gasto total diario por turista se situó en 116,1€, un 2,9% más que en el año 2014.</t>
  </si>
  <si>
    <t>El gasto medio en Tenerife, por turista y día  fue de 39,8€, experimentando un incremento del 1,9% respecto a el año 2014.</t>
  </si>
  <si>
    <t>año 2015 
Encuesta al Turismo Receptivo del Cabildo de Tenerife</t>
  </si>
  <si>
    <t>El número de plazas autorizadas por Policía Turística a fecha de diciembre 2015 asciendían a 134.348 plazas, registrando un incremento del 0,7% respecto al cierre del año 2014.</t>
  </si>
  <si>
    <t>Las plazas hoteleras autorizadas ascienden a 82.975 y representan el 62% del total. Con respecto al año 2014, las plazas hoteleras se incrementan un 0,3%.</t>
  </si>
  <si>
    <t>Las plazas extrahoteleras autorizadas, el 37% del total, ascienden a  49.932 (no incluye oferta rural). Aumentan un +1,5% respecto al cierre de 2014.</t>
  </si>
  <si>
    <t>Las plazas de hoteles rurales autorizadas por Policía Turística ascienden a 553, con un incremento del 2,2% respecto a 2014.</t>
  </si>
  <si>
    <t>Las plazas de casas rurales autorizadas por Policía Turística ascienden a 888, registrando un descenso del -0,2% respecto a 2014.</t>
  </si>
  <si>
    <t>Las plazas estimadas por el STDE del Cabildo de Tenerife en el II semestre de 2015 ascienden a 158.661. Se reducen un -1,3% respecto al mismo período del año anterior.</t>
  </si>
  <si>
    <t>La oferta extrahotelera estimada por el STDE del Cabildo de Tenerife en el II semestre de 2015, asciende a 67.066 plazas, incluyendo oferta rural. Supone el 42,3% del total de las plazas turísticas, registrando un descenso del -5,9%.</t>
  </si>
  <si>
    <t>Las plazas estimadas para la zona de La Laguna, Bajamar, La Punta ascienden a 945 en el II semestre de 2015, registrando un incremento respecto al mismo periodo del año anterior del 5,0%.</t>
  </si>
  <si>
    <t>Las plazas extrahoteleras se estiman en 347, registrándose un incremento del 6,1% respecto al II semestre del año anterior.</t>
  </si>
  <si>
    <t>Las plazas totales estimadas para la zona Norte se sitúan en las 26.758 plazas,  registrándose un descenso del -1,5% con respecto al incremento del 6,1% respecto al II semestre del año anterior.</t>
  </si>
  <si>
    <t>Las plazas extrahoteleras estimadas se sitúan en las 58.385 en el II semestre del  2015, con un descenso del -6,2%  respecto al II semestre del año anterior.</t>
  </si>
  <si>
    <t>Por el Puerto de Santa Cruz de Tenerife han pasado en el año 2015, 644.007 cruceristas, un 18,2% más en comparación al mismo período del año 2014</t>
  </si>
  <si>
    <t>El número de buques de crucero en el Puerto de Santa Cruz de Tenerife hasta diciembre 2015 ascienden a un total de 311 cruceros, cifra que se incrementa un +3,3% respecto al mismo período del año anterior.</t>
  </si>
  <si>
    <t>año 2015
FUENTE: Autoridad Portuaria de S/C de Tenerife</t>
  </si>
  <si>
    <t>INDICADORES TURÍSTICOS DE TENERIFE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</si>
</sst>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53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medium">
        <color theme="9"/>
      </bottom>
      <diagonal/>
    </border>
    <border>
      <left style="medium">
        <color theme="0" tint="-4.9989318521683403E-2"/>
      </left>
      <right/>
      <top/>
      <bottom style="medium">
        <color theme="9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/>
      <right style="thick">
        <color theme="0" tint="-0.14990691854609822"/>
      </right>
      <top/>
      <bottom style="medium">
        <color theme="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11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165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4" xfId="0" applyFont="1" applyFill="1" applyBorder="1" applyAlignment="1" applyProtection="1">
      <alignment horizontal="left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7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165" fontId="10" fillId="7" borderId="9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8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8" xfId="0" applyFont="1" applyFill="1" applyBorder="1" applyAlignment="1" applyProtection="1">
      <alignment horizontal="left" vertical="center" wrapText="1"/>
      <protection hidden="1"/>
    </xf>
    <xf numFmtId="0" fontId="0" fillId="0" borderId="98" xfId="0" applyBorder="1" applyAlignment="1">
      <alignment horizontal="left" vertical="center" wrapText="1"/>
    </xf>
    <xf numFmtId="0" fontId="0" fillId="0" borderId="99" xfId="0" applyBorder="1" applyAlignment="1">
      <alignment horizontal="left" vertical="center" wrapText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165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01" xfId="0" applyFont="1" applyFill="1" applyBorder="1" applyAlignment="1" applyProtection="1">
      <alignment horizontal="left" vertical="center" wrapText="1"/>
      <protection hidden="1"/>
    </xf>
    <xf numFmtId="0" fontId="0" fillId="0" borderId="101" xfId="0" applyBorder="1" applyAlignment="1">
      <alignment horizontal="left" vertical="center" wrapText="1"/>
    </xf>
    <xf numFmtId="0" fontId="0" fillId="0" borderId="102" xfId="0" applyBorder="1" applyAlignment="1">
      <alignment horizontal="left" vertical="center" wrapText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165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4" xfId="0" applyFont="1" applyFill="1" applyBorder="1" applyAlignment="1" applyProtection="1">
      <alignment horizontal="left" vertical="center" wrapText="1"/>
      <protection hidden="1"/>
    </xf>
    <xf numFmtId="0" fontId="0" fillId="0" borderId="104" xfId="0" applyBorder="1" applyAlignment="1">
      <alignment horizontal="left" vertical="center" wrapText="1"/>
    </xf>
    <xf numFmtId="0" fontId="0" fillId="0" borderId="105" xfId="0" applyBorder="1" applyAlignment="1">
      <alignment horizontal="left" vertical="center" wrapText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165" fontId="1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8" xfId="0" applyFont="1" applyFill="1" applyBorder="1" applyAlignment="1" applyProtection="1">
      <alignment horizontal="left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0" fontId="12" fillId="0" borderId="107" xfId="0" applyFont="1" applyFill="1" applyBorder="1" applyAlignment="1" applyProtection="1">
      <alignment horizontal="center" vertical="center" wrapText="1"/>
      <protection hidden="1"/>
    </xf>
    <xf numFmtId="165" fontId="10" fillId="0" borderId="10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7" xfId="0" applyFont="1" applyFill="1" applyBorder="1" applyAlignment="1" applyProtection="1">
      <alignment horizontal="left" vertical="center" wrapText="1"/>
      <protection hidden="1"/>
    </xf>
    <xf numFmtId="0" fontId="0" fillId="0" borderId="107" xfId="0" applyBorder="1" applyAlignment="1">
      <alignment horizontal="left" vertical="center" wrapText="1"/>
    </xf>
    <xf numFmtId="0" fontId="0" fillId="0" borderId="108" xfId="0" applyBorder="1" applyAlignment="1">
      <alignment horizontal="left" vertical="center" wrapText="1"/>
    </xf>
    <xf numFmtId="0" fontId="6" fillId="4" borderId="109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10" xfId="0" applyFont="1" applyFill="1" applyBorder="1" applyAlignment="1" applyProtection="1">
      <alignment horizontal="center" vertical="center" wrapText="1"/>
      <protection hidden="1"/>
    </xf>
    <xf numFmtId="3" fontId="10" fillId="5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112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3" xfId="0" applyFont="1" applyFill="1" applyBorder="1" applyAlignment="1" applyProtection="1">
      <alignment horizontal="center" vertical="center" wrapText="1"/>
      <protection hidden="1"/>
    </xf>
    <xf numFmtId="3" fontId="10" fillId="0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12" fillId="7" borderId="116" xfId="0" applyFont="1" applyFill="1" applyBorder="1" applyAlignment="1" applyProtection="1">
      <alignment horizontal="center" vertical="center" wrapText="1"/>
      <protection hidden="1"/>
    </xf>
    <xf numFmtId="3" fontId="10" fillId="7" borderId="11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7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left" vertical="center" wrapText="1"/>
      <protection hidden="1"/>
    </xf>
    <xf numFmtId="0" fontId="0" fillId="0" borderId="11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22" xfId="0" applyFont="1" applyFill="1" applyBorder="1" applyAlignment="1" applyProtection="1">
      <alignment horizontal="justify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6" xfId="0" applyFont="1" applyFill="1" applyBorder="1" applyAlignment="1" applyProtection="1">
      <alignment horizontal="justify" vertical="center" wrapText="1"/>
      <protection hidden="1"/>
    </xf>
    <xf numFmtId="0" fontId="8" fillId="5" borderId="127" xfId="0" applyFont="1" applyFill="1" applyBorder="1" applyAlignment="1" applyProtection="1">
      <alignment horizontal="center" vertical="center" wrapText="1"/>
      <protection hidden="1"/>
    </xf>
    <xf numFmtId="0" fontId="8" fillId="5" borderId="128" xfId="0" applyFont="1" applyFill="1" applyBorder="1" applyAlignment="1" applyProtection="1">
      <alignment horizontal="center"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3" fontId="9" fillId="5" borderId="13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0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30" xfId="0" applyFont="1" applyFill="1" applyBorder="1" applyAlignment="1" applyProtection="1">
      <alignment horizontal="justify" vertical="center" wrapText="1"/>
      <protection hidden="1"/>
    </xf>
    <xf numFmtId="0" fontId="20" fillId="5" borderId="131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3" fontId="10" fillId="0" borderId="13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5" xfId="0" applyFont="1" applyFill="1" applyBorder="1" applyAlignment="1" applyProtection="1">
      <alignment horizontal="justify" vertical="center" wrapText="1"/>
      <protection hidden="1"/>
    </xf>
    <xf numFmtId="0" fontId="2" fillId="0" borderId="136" xfId="0" applyFont="1" applyFill="1" applyBorder="1" applyAlignment="1" applyProtection="1">
      <alignment horizontal="justify" vertical="center" wrapText="1"/>
      <protection hidden="1"/>
    </xf>
    <xf numFmtId="0" fontId="12" fillId="0" borderId="137" xfId="0" applyFont="1" applyFill="1" applyBorder="1" applyAlignment="1" applyProtection="1">
      <alignment horizontal="center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3" fontId="10" fillId="0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131" xfId="0" applyFont="1" applyFill="1" applyBorder="1" applyAlignment="1" applyProtection="1">
      <alignment horizontal="justify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3" fontId="10" fillId="7" borderId="135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5" xfId="0" applyFont="1" applyFill="1" applyBorder="1" applyAlignment="1" applyProtection="1">
      <alignment horizontal="justify" vertical="center" wrapText="1"/>
      <protection hidden="1"/>
    </xf>
    <xf numFmtId="0" fontId="2" fillId="7" borderId="136" xfId="0" applyFont="1" applyFill="1" applyBorder="1" applyAlignment="1" applyProtection="1">
      <alignment horizontal="justify" vertical="center" wrapText="1"/>
      <protection hidden="1"/>
    </xf>
    <xf numFmtId="0" fontId="12" fillId="7" borderId="139" xfId="0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0" fontId="12" fillId="7" borderId="125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6" xfId="0" applyFont="1" applyFill="1" applyBorder="1" applyAlignment="1" applyProtection="1">
      <alignment horizontal="justify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3" fontId="10" fillId="7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131" xfId="0" applyFont="1" applyFill="1" applyBorder="1" applyAlignment="1" applyProtection="1">
      <alignment horizontal="justify" vertical="center" wrapText="1"/>
      <protection hidden="1"/>
    </xf>
    <xf numFmtId="0" fontId="12" fillId="0" borderId="141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6" xfId="0" applyFont="1" applyFill="1" applyBorder="1" applyAlignment="1" applyProtection="1">
      <alignment horizontal="justify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0" fontId="12" fillId="6" borderId="132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3" fontId="10" fillId="6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9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0" fontId="12" fillId="6" borderId="125" xfId="0" applyFont="1" applyFill="1" applyBorder="1" applyAlignment="1" applyProtection="1">
      <alignment horizontal="center" vertical="center" wrapText="1"/>
      <protection hidden="1"/>
    </xf>
    <xf numFmtId="0" fontId="12" fillId="6" borderId="143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4" xfId="0" applyFont="1" applyFill="1" applyBorder="1" applyAlignment="1" applyProtection="1">
      <alignment horizontal="justify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5" xfId="0" applyFont="1" applyFill="1" applyBorder="1" applyAlignment="1" applyProtection="1">
      <alignment horizontal="center" vertical="center" wrapText="1"/>
      <protection hidden="1"/>
    </xf>
    <xf numFmtId="0" fontId="12" fillId="0" borderId="146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justify" vertical="center" wrapText="1"/>
      <protection hidden="1"/>
    </xf>
    <xf numFmtId="0" fontId="2" fillId="0" borderId="112" xfId="0" applyFont="1" applyFill="1" applyBorder="1" applyAlignment="1" applyProtection="1">
      <alignment horizontal="justify" vertical="center" wrapText="1"/>
      <protection hidden="1"/>
    </xf>
    <xf numFmtId="0" fontId="12" fillId="0" borderId="147" xfId="0" applyFont="1" applyFill="1" applyBorder="1" applyAlignment="1" applyProtection="1">
      <alignment horizontal="center" vertical="center" wrapText="1"/>
      <protection hidden="1"/>
    </xf>
    <xf numFmtId="0" fontId="12" fillId="0" borderId="148" xfId="0" applyFont="1" applyFill="1" applyBorder="1" applyAlignment="1" applyProtection="1">
      <alignment horizontal="center" vertical="center" wrapText="1"/>
      <protection hidden="1"/>
    </xf>
    <xf numFmtId="0" fontId="12" fillId="7" borderId="149" xfId="0" applyFont="1" applyFill="1" applyBorder="1" applyAlignment="1" applyProtection="1">
      <alignment horizontal="center" vertical="center" wrapText="1"/>
      <protection hidden="1"/>
    </xf>
    <xf numFmtId="3" fontId="10" fillId="7" borderId="15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50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50" xfId="0" applyFont="1" applyFill="1" applyBorder="1" applyAlignment="1" applyProtection="1">
      <alignment horizontal="justify" vertical="center" wrapText="1"/>
      <protection hidden="1"/>
    </xf>
    <xf numFmtId="0" fontId="2" fillId="7" borderId="151" xfId="0" applyFont="1" applyFill="1" applyBorder="1" applyAlignment="1" applyProtection="1">
      <alignment horizontal="justify" vertical="center" wrapText="1"/>
      <protection hidden="1"/>
    </xf>
    <xf numFmtId="0" fontId="12" fillId="0" borderId="152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114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312</xdr:row>
      <xdr:rowOff>47625</xdr:rowOff>
    </xdr:from>
    <xdr:to>
      <xdr:col>9</xdr:col>
      <xdr:colOff>781050</xdr:colOff>
      <xdr:row>313</xdr:row>
      <xdr:rowOff>304800</xdr:rowOff>
    </xdr:to>
    <xdr:pic>
      <xdr:nvPicPr>
        <xdr:cNvPr id="2" name="228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81067275"/>
          <a:ext cx="5029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3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57</xdr:row>
      <xdr:rowOff>0</xdr:rowOff>
    </xdr:from>
    <xdr:to>
      <xdr:col>2</xdr:col>
      <xdr:colOff>1190624</xdr:colOff>
      <xdr:row>58</xdr:row>
      <xdr:rowOff>16754</xdr:rowOff>
    </xdr:to>
    <xdr:pic>
      <xdr:nvPicPr>
        <xdr:cNvPr id="4" name="229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4970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1200149</xdr:colOff>
      <xdr:row>113</xdr:row>
      <xdr:rowOff>16754</xdr:rowOff>
    </xdr:to>
    <xdr:pic>
      <xdr:nvPicPr>
        <xdr:cNvPr id="5" name="229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88995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237</xdr:row>
      <xdr:rowOff>0</xdr:rowOff>
    </xdr:from>
    <xdr:to>
      <xdr:col>2</xdr:col>
      <xdr:colOff>1200149</xdr:colOff>
      <xdr:row>238</xdr:row>
      <xdr:rowOff>16754</xdr:rowOff>
    </xdr:to>
    <xdr:pic>
      <xdr:nvPicPr>
        <xdr:cNvPr id="6" name="229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55920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1200149</xdr:colOff>
      <xdr:row>290</xdr:row>
      <xdr:rowOff>16754</xdr:rowOff>
    </xdr:to>
    <xdr:pic>
      <xdr:nvPicPr>
        <xdr:cNvPr id="7" name="229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151875"/>
          <a:ext cx="1200149" cy="654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para grafico de cam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28"/>
  <sheetViews>
    <sheetView showGridLines="0" tabSelected="1" showRuler="0" topLeftCell="B1" zoomScaleNormal="100" workbookViewId="0">
      <selection activeCell="P5" sqref="P5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114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92</v>
      </c>
      <c r="D2" s="6"/>
      <c r="E2" s="6"/>
      <c r="F2" s="6"/>
      <c r="G2" s="6"/>
      <c r="H2" s="7"/>
      <c r="I2" s="8" t="s">
        <v>93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423617</v>
      </c>
      <c r="G9" s="36">
        <v>2.9018318025802126E-2</v>
      </c>
      <c r="H9" s="37"/>
      <c r="I9" s="38" t="s">
        <v>7</v>
      </c>
      <c r="J9" s="39" t="s">
        <v>8</v>
      </c>
      <c r="K9" s="40">
        <v>5186307</v>
      </c>
      <c r="L9" s="41">
        <v>7.3524998674359132E-3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283380</v>
      </c>
      <c r="G10" s="47">
        <v>4.4691934217365725E-2</v>
      </c>
      <c r="H10" s="48"/>
      <c r="I10" s="43"/>
      <c r="J10" s="45" t="s">
        <v>10</v>
      </c>
      <c r="K10" s="46">
        <v>3457637</v>
      </c>
      <c r="L10" s="49">
        <v>1.8160675437077556E-2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140237</v>
      </c>
      <c r="G11" s="36">
        <v>-1.2605580640107084E-3</v>
      </c>
      <c r="H11" s="48"/>
      <c r="I11" s="53"/>
      <c r="J11" s="54" t="s">
        <v>11</v>
      </c>
      <c r="K11" s="55">
        <v>1728670</v>
      </c>
      <c r="L11" s="56">
        <v>-1.3591526109436369E-2</v>
      </c>
      <c r="M11" s="42"/>
    </row>
    <row r="12" spans="2:13" ht="24.75" customHeight="1" x14ac:dyDescent="0.2">
      <c r="C12" s="57" t="s">
        <v>12</v>
      </c>
      <c r="D12" s="58"/>
      <c r="E12" s="59" t="s">
        <v>8</v>
      </c>
      <c r="F12" s="60">
        <v>20155</v>
      </c>
      <c r="G12" s="61">
        <v>2.278493859738151E-2</v>
      </c>
      <c r="H12" s="62"/>
      <c r="I12" s="57" t="s">
        <v>12</v>
      </c>
      <c r="J12" s="59" t="s">
        <v>8</v>
      </c>
      <c r="K12" s="60">
        <v>215283</v>
      </c>
      <c r="L12" s="41">
        <v>5.7511973474149602E-2</v>
      </c>
      <c r="M12" s="42"/>
    </row>
    <row r="13" spans="2:13" ht="24.75" customHeight="1" thickBot="1" x14ac:dyDescent="0.25">
      <c r="C13" s="63"/>
      <c r="D13" s="64"/>
      <c r="E13" s="65" t="s">
        <v>10</v>
      </c>
      <c r="F13" s="66">
        <v>20155</v>
      </c>
      <c r="G13" s="67">
        <v>2.278493859738151E-2</v>
      </c>
      <c r="H13" s="62"/>
      <c r="I13" s="63"/>
      <c r="J13" s="65" t="s">
        <v>10</v>
      </c>
      <c r="K13" s="66">
        <v>215283</v>
      </c>
      <c r="L13" s="56">
        <v>5.7511973474149602E-2</v>
      </c>
      <c r="M13" s="42"/>
    </row>
    <row r="14" spans="2:13" ht="24.75" customHeight="1" x14ac:dyDescent="0.2">
      <c r="C14" s="68" t="s">
        <v>13</v>
      </c>
      <c r="D14" s="69"/>
      <c r="E14" s="70" t="s">
        <v>8</v>
      </c>
      <c r="F14" s="71">
        <v>3442</v>
      </c>
      <c r="G14" s="61">
        <v>1.1757789535567387E-2</v>
      </c>
      <c r="H14" s="62"/>
      <c r="I14" s="68" t="s">
        <v>13</v>
      </c>
      <c r="J14" s="70" t="s">
        <v>8</v>
      </c>
      <c r="K14" s="71">
        <v>37313</v>
      </c>
      <c r="L14" s="41">
        <v>9.0832017774659324E-2</v>
      </c>
      <c r="M14" s="42"/>
    </row>
    <row r="15" spans="2:13" ht="24.75" customHeight="1" x14ac:dyDescent="0.2">
      <c r="C15" s="72"/>
      <c r="D15" s="73"/>
      <c r="E15" s="74" t="s">
        <v>10</v>
      </c>
      <c r="F15" s="75">
        <v>2857</v>
      </c>
      <c r="G15" s="47">
        <v>-1.8213058419244033E-2</v>
      </c>
      <c r="H15" s="62"/>
      <c r="I15" s="72"/>
      <c r="J15" s="74" t="s">
        <v>10</v>
      </c>
      <c r="K15" s="75">
        <v>31531</v>
      </c>
      <c r="L15" s="49">
        <v>9.5358854998957909E-2</v>
      </c>
      <c r="M15" s="42"/>
    </row>
    <row r="16" spans="2:13" ht="24.75" customHeight="1" thickBot="1" x14ac:dyDescent="0.25">
      <c r="C16" s="76"/>
      <c r="D16" s="77"/>
      <c r="E16" s="78" t="s">
        <v>11</v>
      </c>
      <c r="F16" s="79">
        <v>585</v>
      </c>
      <c r="G16" s="67">
        <v>0.18902439024390238</v>
      </c>
      <c r="H16" s="62"/>
      <c r="I16" s="76"/>
      <c r="J16" s="78" t="s">
        <v>11</v>
      </c>
      <c r="K16" s="79">
        <v>5782</v>
      </c>
      <c r="L16" s="56">
        <v>6.6789667896679061E-2</v>
      </c>
      <c r="M16" s="42"/>
    </row>
    <row r="17" spans="3:13" ht="24.75" customHeight="1" x14ac:dyDescent="0.2">
      <c r="C17" s="57" t="s">
        <v>14</v>
      </c>
      <c r="D17" s="58"/>
      <c r="E17" s="59" t="s">
        <v>8</v>
      </c>
      <c r="F17" s="60">
        <v>67988</v>
      </c>
      <c r="G17" s="61">
        <v>6.0341148247888832E-4</v>
      </c>
      <c r="H17" s="62"/>
      <c r="I17" s="57" t="s">
        <v>14</v>
      </c>
      <c r="J17" s="59" t="s">
        <v>8</v>
      </c>
      <c r="K17" s="60">
        <v>862169</v>
      </c>
      <c r="L17" s="41">
        <v>-7.106663288573567E-3</v>
      </c>
      <c r="M17" s="42"/>
    </row>
    <row r="18" spans="3:13" ht="24.75" customHeight="1" x14ac:dyDescent="0.2">
      <c r="C18" s="80"/>
      <c r="D18" s="81"/>
      <c r="E18" s="82" t="s">
        <v>10</v>
      </c>
      <c r="F18" s="83">
        <v>50701</v>
      </c>
      <c r="G18" s="47">
        <v>3.1062044950933565E-3</v>
      </c>
      <c r="H18" s="62"/>
      <c r="I18" s="80"/>
      <c r="J18" s="82" t="s">
        <v>10</v>
      </c>
      <c r="K18" s="83">
        <v>646845</v>
      </c>
      <c r="L18" s="49">
        <v>6.2896506233645066E-3</v>
      </c>
      <c r="M18" s="42"/>
    </row>
    <row r="19" spans="3:13" ht="24.75" customHeight="1" thickBot="1" x14ac:dyDescent="0.25">
      <c r="C19" s="63"/>
      <c r="D19" s="64"/>
      <c r="E19" s="65" t="s">
        <v>11</v>
      </c>
      <c r="F19" s="66">
        <v>17287</v>
      </c>
      <c r="G19" s="67">
        <v>-6.6655174395219285E-3</v>
      </c>
      <c r="H19" s="62"/>
      <c r="I19" s="63"/>
      <c r="J19" s="65" t="s">
        <v>11</v>
      </c>
      <c r="K19" s="66">
        <v>215324</v>
      </c>
      <c r="L19" s="56">
        <v>-4.5287268664260583E-2</v>
      </c>
      <c r="M19" s="42"/>
    </row>
    <row r="20" spans="3:13" ht="24.75" customHeight="1" x14ac:dyDescent="0.2">
      <c r="C20" s="84" t="s">
        <v>15</v>
      </c>
      <c r="D20" s="85"/>
      <c r="E20" s="86" t="s">
        <v>8</v>
      </c>
      <c r="F20" s="87">
        <v>332032</v>
      </c>
      <c r="G20" s="61">
        <v>3.560645756917924E-2</v>
      </c>
      <c r="H20" s="62"/>
      <c r="I20" s="84" t="s">
        <v>15</v>
      </c>
      <c r="J20" s="86" t="s">
        <v>8</v>
      </c>
      <c r="K20" s="87">
        <v>4071542</v>
      </c>
      <c r="L20" s="41">
        <v>7.2260269567170354E-3</v>
      </c>
      <c r="M20" s="42"/>
    </row>
    <row r="21" spans="3:13" ht="24.75" customHeight="1" x14ac:dyDescent="0.2">
      <c r="C21" s="88"/>
      <c r="D21" s="89"/>
      <c r="E21" s="90" t="s">
        <v>10</v>
      </c>
      <c r="F21" s="91">
        <v>209667</v>
      </c>
      <c r="G21" s="47">
        <v>5.8405730525954436E-2</v>
      </c>
      <c r="H21" s="62"/>
      <c r="I21" s="88"/>
      <c r="J21" s="90" t="s">
        <v>10</v>
      </c>
      <c r="K21" s="91">
        <v>2563978</v>
      </c>
      <c r="L21" s="49">
        <v>1.7128285810740218E-2</v>
      </c>
      <c r="M21" s="42"/>
    </row>
    <row r="22" spans="3:13" ht="24.75" customHeight="1" thickBot="1" x14ac:dyDescent="0.25">
      <c r="C22" s="92"/>
      <c r="D22" s="93"/>
      <c r="E22" s="94" t="s">
        <v>11</v>
      </c>
      <c r="F22" s="95">
        <v>122365</v>
      </c>
      <c r="G22" s="67">
        <v>-1.256947901958072E-3</v>
      </c>
      <c r="H22" s="62"/>
      <c r="I22" s="92"/>
      <c r="J22" s="94" t="s">
        <v>11</v>
      </c>
      <c r="K22" s="95">
        <v>1507564</v>
      </c>
      <c r="L22" s="56">
        <v>-9.1795697885879157E-3</v>
      </c>
      <c r="M22" s="42"/>
    </row>
    <row r="23" spans="3:13" ht="5.25" customHeight="1" thickBot="1" x14ac:dyDescent="0.25"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3:13" ht="20.100000000000001" customHeight="1" thickBot="1" x14ac:dyDescent="0.25">
      <c r="C24" s="27" t="s">
        <v>16</v>
      </c>
      <c r="D24" s="28"/>
      <c r="E24" s="28"/>
      <c r="F24" s="28"/>
      <c r="G24" s="28"/>
      <c r="H24" s="28"/>
      <c r="I24" s="28"/>
      <c r="J24" s="28"/>
      <c r="K24" s="28"/>
      <c r="L24" s="28"/>
      <c r="M24" s="29"/>
    </row>
    <row r="25" spans="3:13" ht="5.25" customHeight="1" thickBot="1" x14ac:dyDescent="0.25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97"/>
    </row>
    <row r="26" spans="3:13" ht="24.95" customHeight="1" x14ac:dyDescent="0.2">
      <c r="C26" s="38" t="s">
        <v>7</v>
      </c>
      <c r="D26" s="98"/>
      <c r="E26" s="39" t="s">
        <v>8</v>
      </c>
      <c r="F26" s="35">
        <v>3323271</v>
      </c>
      <c r="G26" s="36">
        <v>1.6794869872802431E-2</v>
      </c>
      <c r="H26" s="37"/>
      <c r="I26" s="38" t="s">
        <v>7</v>
      </c>
      <c r="J26" s="39" t="s">
        <v>8</v>
      </c>
      <c r="K26" s="40">
        <v>39276787</v>
      </c>
      <c r="L26" s="41">
        <v>-7.2997491811448434E-3</v>
      </c>
      <c r="M26" s="42" t="s">
        <v>9</v>
      </c>
    </row>
    <row r="27" spans="3:13" ht="24.95" customHeight="1" x14ac:dyDescent="0.2">
      <c r="C27" s="43"/>
      <c r="D27" s="44"/>
      <c r="E27" s="45" t="s">
        <v>10</v>
      </c>
      <c r="F27" s="46">
        <v>2100917</v>
      </c>
      <c r="G27" s="47">
        <v>5.3454524668156145E-2</v>
      </c>
      <c r="H27" s="48"/>
      <c r="I27" s="43"/>
      <c r="J27" s="45" t="s">
        <v>10</v>
      </c>
      <c r="K27" s="46">
        <v>24795634</v>
      </c>
      <c r="L27" s="49">
        <v>6.888942156917377E-3</v>
      </c>
      <c r="M27" s="42"/>
    </row>
    <row r="28" spans="3:13" ht="24.95" customHeight="1" thickBot="1" x14ac:dyDescent="0.25">
      <c r="C28" s="53"/>
      <c r="D28" s="99"/>
      <c r="E28" s="54" t="s">
        <v>11</v>
      </c>
      <c r="F28" s="35">
        <v>1222354</v>
      </c>
      <c r="G28" s="36">
        <v>-4.0588917223348564E-2</v>
      </c>
      <c r="H28" s="48"/>
      <c r="I28" s="53"/>
      <c r="J28" s="54" t="s">
        <v>11</v>
      </c>
      <c r="K28" s="55">
        <v>14481153</v>
      </c>
      <c r="L28" s="56">
        <v>-3.0687931198245422E-2</v>
      </c>
      <c r="M28" s="42"/>
    </row>
    <row r="29" spans="3:13" ht="24.95" customHeight="1" x14ac:dyDescent="0.2">
      <c r="C29" s="57" t="s">
        <v>12</v>
      </c>
      <c r="D29" s="58"/>
      <c r="E29" s="59" t="s">
        <v>8</v>
      </c>
      <c r="F29" s="60">
        <v>51364</v>
      </c>
      <c r="G29" s="61">
        <v>8.2053550738376613E-2</v>
      </c>
      <c r="H29" s="62"/>
      <c r="I29" s="57" t="s">
        <v>12</v>
      </c>
      <c r="J29" s="59" t="s">
        <v>8</v>
      </c>
      <c r="K29" s="60">
        <v>514346</v>
      </c>
      <c r="L29" s="41">
        <v>5.08781392764035E-2</v>
      </c>
      <c r="M29" s="42"/>
    </row>
    <row r="30" spans="3:13" ht="24.95" customHeight="1" thickBot="1" x14ac:dyDescent="0.25">
      <c r="C30" s="63"/>
      <c r="D30" s="64"/>
      <c r="E30" s="65" t="s">
        <v>10</v>
      </c>
      <c r="F30" s="66">
        <v>51364</v>
      </c>
      <c r="G30" s="67">
        <v>8.2053550738376613E-2</v>
      </c>
      <c r="H30" s="62"/>
      <c r="I30" s="63"/>
      <c r="J30" s="65" t="s">
        <v>10</v>
      </c>
      <c r="K30" s="66">
        <v>514346</v>
      </c>
      <c r="L30" s="56">
        <v>5.08781392764035E-2</v>
      </c>
      <c r="M30" s="42"/>
    </row>
    <row r="31" spans="3:13" ht="24.95" customHeight="1" x14ac:dyDescent="0.2">
      <c r="C31" s="68" t="s">
        <v>13</v>
      </c>
      <c r="D31" s="69"/>
      <c r="E31" s="70" t="s">
        <v>8</v>
      </c>
      <c r="F31" s="71">
        <v>10646</v>
      </c>
      <c r="G31" s="61">
        <v>-8.350550964187331E-2</v>
      </c>
      <c r="H31" s="62"/>
      <c r="I31" s="68" t="s">
        <v>13</v>
      </c>
      <c r="J31" s="70" t="s">
        <v>8</v>
      </c>
      <c r="K31" s="71">
        <v>140342</v>
      </c>
      <c r="L31" s="41">
        <v>7.697738487157646E-2</v>
      </c>
      <c r="M31" s="42"/>
    </row>
    <row r="32" spans="3:13" ht="24.95" customHeight="1" x14ac:dyDescent="0.2">
      <c r="C32" s="72"/>
      <c r="D32" s="73"/>
      <c r="E32" s="74" t="s">
        <v>10</v>
      </c>
      <c r="F32" s="75">
        <v>7741</v>
      </c>
      <c r="G32" s="47">
        <v>-9.5149035651665659E-2</v>
      </c>
      <c r="H32" s="62"/>
      <c r="I32" s="72"/>
      <c r="J32" s="74" t="s">
        <v>10</v>
      </c>
      <c r="K32" s="75">
        <v>98491</v>
      </c>
      <c r="L32" s="49">
        <v>6.3640683384090346E-2</v>
      </c>
      <c r="M32" s="42"/>
    </row>
    <row r="33" spans="3:13" ht="24.95" customHeight="1" thickBot="1" x14ac:dyDescent="0.25">
      <c r="C33" s="76"/>
      <c r="D33" s="77"/>
      <c r="E33" s="78" t="s">
        <v>11</v>
      </c>
      <c r="F33" s="79">
        <v>2905</v>
      </c>
      <c r="G33" s="67">
        <v>-5.0963737340738335E-2</v>
      </c>
      <c r="H33" s="62"/>
      <c r="I33" s="76"/>
      <c r="J33" s="78" t="s">
        <v>11</v>
      </c>
      <c r="K33" s="79">
        <v>41851</v>
      </c>
      <c r="L33" s="56">
        <v>0.10972343754143132</v>
      </c>
      <c r="M33" s="42"/>
    </row>
    <row r="34" spans="3:13" ht="24.95" customHeight="1" x14ac:dyDescent="0.2">
      <c r="C34" s="57" t="s">
        <v>14</v>
      </c>
      <c r="D34" s="58"/>
      <c r="E34" s="59" t="s">
        <v>8</v>
      </c>
      <c r="F34" s="60">
        <v>531931</v>
      </c>
      <c r="G34" s="61">
        <v>6.2825145192106913E-3</v>
      </c>
      <c r="H34" s="62"/>
      <c r="I34" s="57" t="s">
        <v>14</v>
      </c>
      <c r="J34" s="59" t="s">
        <v>8</v>
      </c>
      <c r="K34" s="60">
        <v>6000708</v>
      </c>
      <c r="L34" s="41">
        <v>-1.9051691838099849E-2</v>
      </c>
      <c r="M34" s="42"/>
    </row>
    <row r="35" spans="3:13" ht="24.95" customHeight="1" x14ac:dyDescent="0.2">
      <c r="C35" s="80"/>
      <c r="D35" s="81"/>
      <c r="E35" s="82" t="s">
        <v>10</v>
      </c>
      <c r="F35" s="83">
        <v>377853</v>
      </c>
      <c r="G35" s="47">
        <v>2.5673529771033765E-2</v>
      </c>
      <c r="H35" s="62"/>
      <c r="I35" s="80"/>
      <c r="J35" s="82" t="s">
        <v>10</v>
      </c>
      <c r="K35" s="83">
        <v>4367790</v>
      </c>
      <c r="L35" s="49">
        <v>-6.7646942448251757E-3</v>
      </c>
      <c r="M35" s="42"/>
    </row>
    <row r="36" spans="3:13" ht="24.95" customHeight="1" thickBot="1" x14ac:dyDescent="0.25">
      <c r="C36" s="63"/>
      <c r="D36" s="64"/>
      <c r="E36" s="65" t="s">
        <v>11</v>
      </c>
      <c r="F36" s="66">
        <v>154078</v>
      </c>
      <c r="G36" s="67">
        <v>-3.8304777954623503E-2</v>
      </c>
      <c r="H36" s="62"/>
      <c r="I36" s="63"/>
      <c r="J36" s="65" t="s">
        <v>11</v>
      </c>
      <c r="K36" s="66">
        <v>1632918</v>
      </c>
      <c r="L36" s="56">
        <v>-5.0471182999033526E-2</v>
      </c>
      <c r="M36" s="42"/>
    </row>
    <row r="37" spans="3:13" ht="24.95" customHeight="1" x14ac:dyDescent="0.2">
      <c r="C37" s="84" t="s">
        <v>15</v>
      </c>
      <c r="D37" s="85"/>
      <c r="E37" s="86" t="s">
        <v>8</v>
      </c>
      <c r="F37" s="87">
        <v>2729330</v>
      </c>
      <c r="G37" s="61">
        <v>1.8146861025021943E-2</v>
      </c>
      <c r="H37" s="62"/>
      <c r="I37" s="84" t="s">
        <v>15</v>
      </c>
      <c r="J37" s="86" t="s">
        <v>8</v>
      </c>
      <c r="K37" s="87">
        <v>32621391</v>
      </c>
      <c r="L37" s="41">
        <v>-6.3118136719754192E-3</v>
      </c>
      <c r="M37" s="42"/>
    </row>
    <row r="38" spans="3:13" ht="24.95" customHeight="1" x14ac:dyDescent="0.2">
      <c r="C38" s="88"/>
      <c r="D38" s="89"/>
      <c r="E38" s="90" t="s">
        <v>10</v>
      </c>
      <c r="F38" s="91">
        <v>1663959</v>
      </c>
      <c r="G38" s="47">
        <v>5.9918733314945571E-2</v>
      </c>
      <c r="H38" s="62"/>
      <c r="I38" s="88"/>
      <c r="J38" s="90" t="s">
        <v>10</v>
      </c>
      <c r="K38" s="91">
        <v>19815007</v>
      </c>
      <c r="L38" s="49">
        <v>8.5817218385020322E-3</v>
      </c>
      <c r="M38" s="42"/>
    </row>
    <row r="39" spans="3:13" ht="24.95" customHeight="1" thickBot="1" x14ac:dyDescent="0.25">
      <c r="C39" s="92"/>
      <c r="D39" s="93"/>
      <c r="E39" s="94" t="s">
        <v>11</v>
      </c>
      <c r="F39" s="95">
        <v>1065371</v>
      </c>
      <c r="G39" s="67">
        <v>-4.0889780345717552E-2</v>
      </c>
      <c r="H39" s="62"/>
      <c r="I39" s="92"/>
      <c r="J39" s="94" t="s">
        <v>11</v>
      </c>
      <c r="K39" s="95">
        <v>12806384</v>
      </c>
      <c r="L39" s="56">
        <v>-2.8508763944570026E-2</v>
      </c>
      <c r="M39" s="42"/>
    </row>
    <row r="40" spans="3:13" ht="5.25" customHeight="1" thickBot="1" x14ac:dyDescent="0.25">
      <c r="C40" s="96"/>
      <c r="D40" s="96"/>
      <c r="F40" s="96"/>
      <c r="G40" s="96"/>
      <c r="H40" s="96"/>
      <c r="I40" s="96"/>
      <c r="J40" s="96"/>
      <c r="K40" s="96"/>
      <c r="L40" s="96"/>
      <c r="M40" s="96"/>
    </row>
    <row r="41" spans="3:13" ht="20.100000000000001" customHeight="1" thickBot="1" x14ac:dyDescent="0.25">
      <c r="C41" s="27" t="s">
        <v>17</v>
      </c>
      <c r="D41" s="28"/>
      <c r="E41" s="28"/>
      <c r="F41" s="28"/>
      <c r="G41" s="28"/>
      <c r="H41" s="28"/>
      <c r="I41" s="28"/>
      <c r="J41" s="28"/>
      <c r="K41" s="28"/>
      <c r="L41" s="28"/>
      <c r="M41" s="29"/>
    </row>
    <row r="42" spans="3:13" ht="5.25" customHeight="1" thickBot="1" x14ac:dyDescent="0.2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97"/>
    </row>
    <row r="43" spans="3:13" ht="24.75" customHeight="1" x14ac:dyDescent="0.2">
      <c r="C43" s="38" t="s">
        <v>7</v>
      </c>
      <c r="D43" s="98"/>
      <c r="E43" s="39" t="s">
        <v>8</v>
      </c>
      <c r="F43" s="100">
        <v>7.8449896958809493</v>
      </c>
      <c r="G43" s="101">
        <v>-9.4308918789503871E-2</v>
      </c>
      <c r="H43" s="37"/>
      <c r="I43" s="38" t="s">
        <v>7</v>
      </c>
      <c r="J43" s="39" t="s">
        <v>8</v>
      </c>
      <c r="K43" s="100">
        <v>7.5731704659982526</v>
      </c>
      <c r="L43" s="102">
        <v>-0.11177994531947721</v>
      </c>
      <c r="M43" s="42" t="s">
        <v>9</v>
      </c>
    </row>
    <row r="44" spans="3:13" ht="24.75" customHeight="1" x14ac:dyDescent="0.2">
      <c r="C44" s="43"/>
      <c r="D44" s="44"/>
      <c r="E44" s="45" t="s">
        <v>10</v>
      </c>
      <c r="F44" s="103">
        <v>7.4137800832804013</v>
      </c>
      <c r="G44" s="104">
        <v>6.1667511070282899E-2</v>
      </c>
      <c r="H44" s="48"/>
      <c r="I44" s="43"/>
      <c r="J44" s="45" t="s">
        <v>10</v>
      </c>
      <c r="K44" s="103">
        <v>7.1712658095687889</v>
      </c>
      <c r="L44" s="105">
        <v>-8.0279554280768828E-2</v>
      </c>
      <c r="M44" s="42"/>
    </row>
    <row r="45" spans="3:13" ht="24.75" customHeight="1" thickBot="1" x14ac:dyDescent="0.25">
      <c r="C45" s="53"/>
      <c r="D45" s="99"/>
      <c r="E45" s="54" t="s">
        <v>11</v>
      </c>
      <c r="F45" s="106">
        <v>8.716344473997589</v>
      </c>
      <c r="G45" s="107">
        <v>-0.35730202848791848</v>
      </c>
      <c r="H45" s="48"/>
      <c r="I45" s="53"/>
      <c r="J45" s="54" t="s">
        <v>11</v>
      </c>
      <c r="K45" s="106">
        <v>8.377048829446915</v>
      </c>
      <c r="L45" s="108">
        <v>-0.14775161152589611</v>
      </c>
      <c r="M45" s="42"/>
    </row>
    <row r="46" spans="3:13" ht="24.75" customHeight="1" x14ac:dyDescent="0.2">
      <c r="C46" s="57" t="s">
        <v>12</v>
      </c>
      <c r="D46" s="58"/>
      <c r="E46" s="59" t="s">
        <v>8</v>
      </c>
      <c r="F46" s="109">
        <v>2.5484495162490699</v>
      </c>
      <c r="G46" s="101">
        <v>0.13958927063859594</v>
      </c>
      <c r="H46" s="62"/>
      <c r="I46" s="57" t="s">
        <v>12</v>
      </c>
      <c r="J46" s="59" t="s">
        <v>8</v>
      </c>
      <c r="K46" s="109">
        <v>2.3891621725821359</v>
      </c>
      <c r="L46" s="102">
        <v>-1.5081963485652494E-2</v>
      </c>
      <c r="M46" s="42"/>
    </row>
    <row r="47" spans="3:13" ht="24.75" customHeight="1" thickBot="1" x14ac:dyDescent="0.25">
      <c r="C47" s="63"/>
      <c r="D47" s="64"/>
      <c r="E47" s="65" t="s">
        <v>10</v>
      </c>
      <c r="F47" s="110">
        <v>2.5484495162490699</v>
      </c>
      <c r="G47" s="107">
        <v>0.13958927063859594</v>
      </c>
      <c r="H47" s="62"/>
      <c r="I47" s="63"/>
      <c r="J47" s="65" t="s">
        <v>10</v>
      </c>
      <c r="K47" s="110">
        <v>2.3891621725821359</v>
      </c>
      <c r="L47" s="108">
        <v>-1.5081963485652494E-2</v>
      </c>
      <c r="M47" s="42"/>
    </row>
    <row r="48" spans="3:13" ht="24.75" customHeight="1" x14ac:dyDescent="0.2">
      <c r="C48" s="68" t="s">
        <v>13</v>
      </c>
      <c r="D48" s="69"/>
      <c r="E48" s="70" t="s">
        <v>8</v>
      </c>
      <c r="F48" s="111">
        <v>3.0929692039511911</v>
      </c>
      <c r="G48" s="101">
        <v>-0.32149287717755648</v>
      </c>
      <c r="H48" s="62"/>
      <c r="I48" s="68" t="s">
        <v>13</v>
      </c>
      <c r="J48" s="70" t="s">
        <v>8</v>
      </c>
      <c r="K48" s="111">
        <v>3.7612092300270685</v>
      </c>
      <c r="L48" s="102">
        <v>-4.8385577901365107E-2</v>
      </c>
      <c r="M48" s="42"/>
    </row>
    <row r="49" spans="2:13" ht="24.75" customHeight="1" x14ac:dyDescent="0.2">
      <c r="C49" s="72"/>
      <c r="D49" s="73"/>
      <c r="E49" s="74" t="s">
        <v>10</v>
      </c>
      <c r="F49" s="112">
        <v>2.7094854742737136</v>
      </c>
      <c r="G49" s="104">
        <v>-0.23037706868161312</v>
      </c>
      <c r="H49" s="62"/>
      <c r="I49" s="72"/>
      <c r="J49" s="74" t="s">
        <v>10</v>
      </c>
      <c r="K49" s="112">
        <v>3.123624369667946</v>
      </c>
      <c r="L49" s="105">
        <v>-9.3147672296898243E-2</v>
      </c>
      <c r="M49" s="42"/>
    </row>
    <row r="50" spans="2:13" ht="24.75" customHeight="1" thickBot="1" x14ac:dyDescent="0.25">
      <c r="C50" s="76"/>
      <c r="D50" s="77"/>
      <c r="E50" s="78" t="s">
        <v>11</v>
      </c>
      <c r="F50" s="113">
        <v>4.9658119658119659</v>
      </c>
      <c r="G50" s="107">
        <v>-1.2557327496351887</v>
      </c>
      <c r="H50" s="62"/>
      <c r="I50" s="76"/>
      <c r="J50" s="78" t="s">
        <v>11</v>
      </c>
      <c r="K50" s="113">
        <v>7.2381528882739534</v>
      </c>
      <c r="L50" s="108">
        <v>0.28003480709314132</v>
      </c>
      <c r="M50" s="42"/>
    </row>
    <row r="51" spans="2:13" ht="24.75" customHeight="1" x14ac:dyDescent="0.2">
      <c r="C51" s="57" t="s">
        <v>14</v>
      </c>
      <c r="D51" s="58"/>
      <c r="E51" s="59" t="s">
        <v>8</v>
      </c>
      <c r="F51" s="109">
        <v>7.8238953933047011</v>
      </c>
      <c r="G51" s="101">
        <v>4.4155301762764054E-2</v>
      </c>
      <c r="H51" s="62"/>
      <c r="I51" s="57" t="s">
        <v>14</v>
      </c>
      <c r="J51" s="59" t="s">
        <v>8</v>
      </c>
      <c r="K51" s="109">
        <v>6.9600136400172126</v>
      </c>
      <c r="L51" s="102">
        <v>-8.4752235100828521E-2</v>
      </c>
      <c r="M51" s="42"/>
    </row>
    <row r="52" spans="2:13" ht="24.75" customHeight="1" x14ac:dyDescent="0.2">
      <c r="C52" s="80"/>
      <c r="D52" s="81"/>
      <c r="E52" s="82" t="s">
        <v>10</v>
      </c>
      <c r="F52" s="114">
        <v>7.4525748999033548</v>
      </c>
      <c r="G52" s="104">
        <v>0.16397486824776752</v>
      </c>
      <c r="H52" s="62"/>
      <c r="I52" s="80"/>
      <c r="J52" s="82" t="s">
        <v>10</v>
      </c>
      <c r="K52" s="114">
        <v>6.7524522876423259</v>
      </c>
      <c r="L52" s="105">
        <v>-8.8749202085459444E-2</v>
      </c>
      <c r="M52" s="42"/>
    </row>
    <row r="53" spans="2:13" ht="24.75" customHeight="1" thickBot="1" x14ac:dyDescent="0.25">
      <c r="C53" s="63"/>
      <c r="D53" s="64"/>
      <c r="E53" s="65" t="s">
        <v>11</v>
      </c>
      <c r="F53" s="110">
        <v>8.9129403598079477</v>
      </c>
      <c r="G53" s="107">
        <v>-0.2932309899593335</v>
      </c>
      <c r="H53" s="62"/>
      <c r="I53" s="63"/>
      <c r="J53" s="65" t="s">
        <v>11</v>
      </c>
      <c r="K53" s="110">
        <v>7.5835392246103543</v>
      </c>
      <c r="L53" s="108">
        <v>-4.1402026974744821E-2</v>
      </c>
      <c r="M53" s="42"/>
    </row>
    <row r="54" spans="2:13" ht="24.75" customHeight="1" x14ac:dyDescent="0.2">
      <c r="C54" s="84" t="s">
        <v>15</v>
      </c>
      <c r="D54" s="85"/>
      <c r="E54" s="86" t="s">
        <v>8</v>
      </c>
      <c r="F54" s="115">
        <v>8.2200811969930605</v>
      </c>
      <c r="G54" s="101">
        <v>-0.14096129620752862</v>
      </c>
      <c r="H54" s="62"/>
      <c r="I54" s="84" t="s">
        <v>15</v>
      </c>
      <c r="J54" s="86" t="s">
        <v>8</v>
      </c>
      <c r="K54" s="115">
        <v>8.0120482608309089</v>
      </c>
      <c r="L54" s="102">
        <v>-0.10915479720588728</v>
      </c>
      <c r="M54" s="42"/>
    </row>
    <row r="55" spans="2:13" ht="24.75" customHeight="1" x14ac:dyDescent="0.2">
      <c r="C55" s="88"/>
      <c r="D55" s="89"/>
      <c r="E55" s="90" t="s">
        <v>10</v>
      </c>
      <c r="F55" s="116">
        <v>7.936198829572608</v>
      </c>
      <c r="G55" s="104">
        <v>1.132869019644378E-2</v>
      </c>
      <c r="H55" s="62"/>
      <c r="I55" s="88"/>
      <c r="J55" s="90" t="s">
        <v>10</v>
      </c>
      <c r="K55" s="116">
        <v>7.7282281673243682</v>
      </c>
      <c r="L55" s="105">
        <v>-6.5487798354794791E-2</v>
      </c>
      <c r="M55" s="42"/>
    </row>
    <row r="56" spans="2:13" ht="24.75" customHeight="1" thickBot="1" x14ac:dyDescent="0.25">
      <c r="C56" s="117"/>
      <c r="D56" s="118"/>
      <c r="E56" s="119" t="s">
        <v>11</v>
      </c>
      <c r="F56" s="120">
        <v>8.7065010419646143</v>
      </c>
      <c r="G56" s="121">
        <v>-0.3597743928659014</v>
      </c>
      <c r="H56" s="122"/>
      <c r="I56" s="117"/>
      <c r="J56" s="119" t="s">
        <v>11</v>
      </c>
      <c r="K56" s="120">
        <v>8.4947531249087938</v>
      </c>
      <c r="L56" s="123">
        <v>-0.16901514534005457</v>
      </c>
      <c r="M56" s="124"/>
    </row>
    <row r="57" spans="2:13" ht="13.5" thickBot="1" x14ac:dyDescent="0.25">
      <c r="C57" s="125" t="s">
        <v>94</v>
      </c>
      <c r="D57" s="126"/>
      <c r="E57" s="126"/>
      <c r="F57" s="126"/>
      <c r="G57" s="126"/>
      <c r="H57" s="126"/>
      <c r="I57" s="126"/>
      <c r="J57" s="126"/>
      <c r="K57" s="126"/>
      <c r="L57" s="126"/>
      <c r="M57" s="127"/>
    </row>
    <row r="58" spans="2:13" ht="50.25" customHeight="1" thickBot="1" x14ac:dyDescent="0.25">
      <c r="C58" s="128"/>
      <c r="D58" s="128"/>
      <c r="E58" s="129" t="s">
        <v>114</v>
      </c>
      <c r="F58" s="129"/>
      <c r="G58" s="129"/>
      <c r="H58" s="129"/>
      <c r="I58" s="129"/>
      <c r="J58" s="129"/>
      <c r="K58" s="129"/>
      <c r="L58" s="128"/>
      <c r="M58" s="128"/>
    </row>
    <row r="59" spans="2:13" ht="15" customHeight="1" x14ac:dyDescent="0.2">
      <c r="B59" s="5"/>
      <c r="C59" s="6" t="s">
        <v>92</v>
      </c>
      <c r="D59" s="6"/>
      <c r="E59" s="6"/>
      <c r="F59" s="6"/>
      <c r="G59" s="6"/>
      <c r="H59" s="7"/>
      <c r="I59" s="8" t="str">
        <f>I2</f>
        <v>año 2015</v>
      </c>
      <c r="J59" s="8"/>
      <c r="K59" s="8"/>
      <c r="L59" s="8"/>
      <c r="M59" s="8"/>
    </row>
    <row r="60" spans="2:13" ht="16.5" customHeight="1" thickBot="1" x14ac:dyDescent="0.25">
      <c r="B60" s="5"/>
      <c r="C60" s="9"/>
      <c r="D60" s="9"/>
      <c r="E60" s="9"/>
      <c r="F60" s="9"/>
      <c r="G60" s="9"/>
      <c r="H60" s="10"/>
      <c r="I60" s="11"/>
      <c r="J60" s="11"/>
      <c r="K60" s="11"/>
      <c r="L60" s="11"/>
      <c r="M60" s="11"/>
    </row>
    <row r="61" spans="2:13" ht="81.75" customHeight="1" x14ac:dyDescent="0.2">
      <c r="C61" s="20" t="str">
        <f t="shared" ref="C61:G61" si="0">C5</f>
        <v>Ámbito</v>
      </c>
      <c r="D61" s="21">
        <f t="shared" si="0"/>
        <v>0</v>
      </c>
      <c r="E61" s="22" t="str">
        <f t="shared" si="0"/>
        <v>Variable</v>
      </c>
      <c r="F61" s="22" t="str">
        <f t="shared" si="0"/>
        <v>Valor absoluto
mensual</v>
      </c>
      <c r="G61" s="22" t="str">
        <f t="shared" si="0"/>
        <v>Variación respecto al período anterior</v>
      </c>
      <c r="H61" s="24"/>
      <c r="I61" s="22" t="str">
        <f>I5</f>
        <v>Ámbito</v>
      </c>
      <c r="J61" s="22" t="str">
        <f t="shared" ref="J61:M61" si="1">J5</f>
        <v>Variable</v>
      </c>
      <c r="K61" s="22" t="str">
        <f t="shared" si="1"/>
        <v>Valor absoluto
acumulado</v>
      </c>
      <c r="L61" s="22" t="str">
        <f t="shared" si="1"/>
        <v>Variación respecto al período anterior</v>
      </c>
      <c r="M61" s="23" t="str">
        <f t="shared" si="1"/>
        <v>Fuente</v>
      </c>
    </row>
    <row r="62" spans="2:13" ht="5.25" customHeight="1" thickBot="1" x14ac:dyDescent="0.2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ht="20.100000000000001" customHeight="1" thickBot="1" x14ac:dyDescent="0.25">
      <c r="C63" s="27" t="s">
        <v>18</v>
      </c>
      <c r="D63" s="28"/>
      <c r="E63" s="28"/>
      <c r="F63" s="28"/>
      <c r="G63" s="28"/>
      <c r="H63" s="28"/>
      <c r="I63" s="28"/>
      <c r="J63" s="28"/>
      <c r="K63" s="28"/>
      <c r="L63" s="28"/>
      <c r="M63" s="29"/>
    </row>
    <row r="64" spans="2:13" ht="5.25" customHeight="1" thickBot="1" x14ac:dyDescent="0.25"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97"/>
    </row>
    <row r="65" spans="3:13" ht="24.75" customHeight="1" x14ac:dyDescent="0.2">
      <c r="C65" s="38" t="s">
        <v>7</v>
      </c>
      <c r="D65" s="98"/>
      <c r="E65" s="39" t="s">
        <v>8</v>
      </c>
      <c r="F65" s="130">
        <v>0.6756688179362329</v>
      </c>
      <c r="G65" s="61">
        <v>3.0598994072864372E-2</v>
      </c>
      <c r="H65" s="37"/>
      <c r="I65" s="38" t="s">
        <v>7</v>
      </c>
      <c r="J65" s="39" t="s">
        <v>8</v>
      </c>
      <c r="K65" s="130">
        <v>0.67284216017543563</v>
      </c>
      <c r="L65" s="41">
        <v>2.1150501505555752E-3</v>
      </c>
      <c r="M65" s="42" t="s">
        <v>9</v>
      </c>
    </row>
    <row r="66" spans="3:13" ht="24.75" customHeight="1" x14ac:dyDescent="0.2">
      <c r="C66" s="43"/>
      <c r="D66" s="44"/>
      <c r="E66" s="45" t="s">
        <v>10</v>
      </c>
      <c r="F66" s="131">
        <v>0.73990410097747972</v>
      </c>
      <c r="G66" s="47">
        <v>2.9923022321182602E-2</v>
      </c>
      <c r="H66" s="48"/>
      <c r="I66" s="43"/>
      <c r="J66" s="45" t="s">
        <v>10</v>
      </c>
      <c r="K66" s="131">
        <v>0.74843252746159483</v>
      </c>
      <c r="L66" s="49">
        <v>-2.0331101188673095E-3</v>
      </c>
      <c r="M66" s="42"/>
    </row>
    <row r="67" spans="3:13" ht="24.75" customHeight="1" thickBot="1" x14ac:dyDescent="0.25">
      <c r="C67" s="53"/>
      <c r="D67" s="99"/>
      <c r="E67" s="54" t="s">
        <v>11</v>
      </c>
      <c r="F67" s="132">
        <v>0.58793985318266162</v>
      </c>
      <c r="G67" s="67">
        <v>1.9494083815358554E-2</v>
      </c>
      <c r="H67" s="48"/>
      <c r="I67" s="53"/>
      <c r="J67" s="54" t="s">
        <v>11</v>
      </c>
      <c r="K67" s="132">
        <v>0.57363918702151184</v>
      </c>
      <c r="L67" s="56">
        <v>1.8418111259690395E-3</v>
      </c>
      <c r="M67" s="42"/>
    </row>
    <row r="68" spans="3:13" ht="24.75" customHeight="1" x14ac:dyDescent="0.2">
      <c r="C68" s="57" t="s">
        <v>12</v>
      </c>
      <c r="D68" s="58"/>
      <c r="E68" s="59" t="s">
        <v>8</v>
      </c>
      <c r="F68" s="133">
        <v>0.63800663296359328</v>
      </c>
      <c r="G68" s="61">
        <v>9.7053137887618712E-2</v>
      </c>
      <c r="H68" s="62"/>
      <c r="I68" s="57" t="s">
        <v>12</v>
      </c>
      <c r="J68" s="59" t="s">
        <v>8</v>
      </c>
      <c r="K68" s="133">
        <v>0.54344360071297482</v>
      </c>
      <c r="L68" s="41">
        <v>6.7075610789387285E-2</v>
      </c>
      <c r="M68" s="42"/>
    </row>
    <row r="69" spans="3:13" ht="24.75" customHeight="1" thickBot="1" x14ac:dyDescent="0.25">
      <c r="C69" s="63"/>
      <c r="D69" s="64"/>
      <c r="E69" s="65" t="s">
        <v>10</v>
      </c>
      <c r="F69" s="134">
        <v>0.63997807099515314</v>
      </c>
      <c r="G69" s="67">
        <v>0.10044302784632886</v>
      </c>
      <c r="H69" s="62"/>
      <c r="I69" s="63"/>
      <c r="J69" s="65" t="s">
        <v>10</v>
      </c>
      <c r="K69" s="134">
        <v>0.54429012100721175</v>
      </c>
      <c r="L69" s="56">
        <v>6.8737790928841358E-2</v>
      </c>
      <c r="M69" s="42"/>
    </row>
    <row r="70" spans="3:13" ht="24.75" customHeight="1" x14ac:dyDescent="0.2">
      <c r="C70" s="68" t="s">
        <v>13</v>
      </c>
      <c r="D70" s="69"/>
      <c r="E70" s="70" t="s">
        <v>8</v>
      </c>
      <c r="F70" s="135">
        <v>0.36340672469704727</v>
      </c>
      <c r="G70" s="61">
        <v>-0.12714810442083169</v>
      </c>
      <c r="H70" s="62"/>
      <c r="I70" s="68" t="s">
        <v>13</v>
      </c>
      <c r="J70" s="70" t="s">
        <v>8</v>
      </c>
      <c r="K70" s="135">
        <v>0.4122855464159812</v>
      </c>
      <c r="L70" s="41">
        <v>3.2455570065722084E-2</v>
      </c>
      <c r="M70" s="42"/>
    </row>
    <row r="71" spans="3:13" ht="24.75" customHeight="1" x14ac:dyDescent="0.2">
      <c r="C71" s="72"/>
      <c r="D71" s="73"/>
      <c r="E71" s="74" t="s">
        <v>10</v>
      </c>
      <c r="F71" s="136">
        <v>0.41757471140360342</v>
      </c>
      <c r="G71" s="47">
        <v>-0.13297725322475662</v>
      </c>
      <c r="H71" s="62"/>
      <c r="I71" s="72"/>
      <c r="J71" s="74" t="s">
        <v>10</v>
      </c>
      <c r="K71" s="136">
        <v>0.46078738683945825</v>
      </c>
      <c r="L71" s="49">
        <v>2.9941767817049936E-2</v>
      </c>
      <c r="M71" s="42"/>
    </row>
    <row r="72" spans="3:13" ht="24.75" customHeight="1" thickBot="1" x14ac:dyDescent="0.25">
      <c r="C72" s="76"/>
      <c r="D72" s="77"/>
      <c r="E72" s="78" t="s">
        <v>11</v>
      </c>
      <c r="F72" s="137">
        <v>0.27005670726038861</v>
      </c>
      <c r="G72" s="67">
        <v>-0.10566323374761211</v>
      </c>
      <c r="H72" s="62"/>
      <c r="I72" s="76"/>
      <c r="J72" s="78" t="s">
        <v>11</v>
      </c>
      <c r="K72" s="137">
        <v>0.33043306620346613</v>
      </c>
      <c r="L72" s="56">
        <v>4.5762432495815686E-2</v>
      </c>
      <c r="M72" s="42"/>
    </row>
    <row r="73" spans="3:13" ht="24.75" customHeight="1" x14ac:dyDescent="0.2">
      <c r="C73" s="57" t="s">
        <v>14</v>
      </c>
      <c r="D73" s="58"/>
      <c r="E73" s="59" t="s">
        <v>8</v>
      </c>
      <c r="F73" s="133">
        <v>0.64126857448721997</v>
      </c>
      <c r="G73" s="61">
        <v>2.1964546380878858E-2</v>
      </c>
      <c r="H73" s="62"/>
      <c r="I73" s="57" t="s">
        <v>14</v>
      </c>
      <c r="J73" s="59" t="s">
        <v>8</v>
      </c>
      <c r="K73" s="133">
        <v>0.60716036876188506</v>
      </c>
      <c r="L73" s="41">
        <v>8.3390173264286105E-4</v>
      </c>
      <c r="M73" s="42"/>
    </row>
    <row r="74" spans="3:13" ht="24.75" customHeight="1" x14ac:dyDescent="0.2">
      <c r="C74" s="80"/>
      <c r="D74" s="81"/>
      <c r="E74" s="82" t="s">
        <v>10</v>
      </c>
      <c r="F74" s="138">
        <v>0.66128507224462363</v>
      </c>
      <c r="G74" s="47">
        <v>2.6508225026381282E-2</v>
      </c>
      <c r="H74" s="62"/>
      <c r="I74" s="80"/>
      <c r="J74" s="82" t="s">
        <v>10</v>
      </c>
      <c r="K74" s="138">
        <v>0.64471699282924511</v>
      </c>
      <c r="L74" s="49">
        <v>4.7055246294589459E-3</v>
      </c>
      <c r="M74" s="42"/>
    </row>
    <row r="75" spans="3:13" ht="24.75" customHeight="1" thickBot="1" x14ac:dyDescent="0.25">
      <c r="C75" s="63"/>
      <c r="D75" s="64"/>
      <c r="E75" s="65" t="s">
        <v>11</v>
      </c>
      <c r="F75" s="134">
        <v>0.5969562892764988</v>
      </c>
      <c r="G75" s="67">
        <v>8.1282606308006322E-3</v>
      </c>
      <c r="H75" s="62"/>
      <c r="I75" s="63"/>
      <c r="J75" s="65" t="s">
        <v>11</v>
      </c>
      <c r="K75" s="134">
        <v>0.52530839692790143</v>
      </c>
      <c r="L75" s="56">
        <v>-1.3169916868471354E-2</v>
      </c>
      <c r="M75" s="42"/>
    </row>
    <row r="76" spans="3:13" ht="24.75" customHeight="1" x14ac:dyDescent="0.2">
      <c r="C76" s="84" t="s">
        <v>15</v>
      </c>
      <c r="D76" s="85"/>
      <c r="E76" s="86" t="s">
        <v>8</v>
      </c>
      <c r="F76" s="139">
        <v>0.68590072705733407</v>
      </c>
      <c r="G76" s="61">
        <v>3.1995961759276881E-2</v>
      </c>
      <c r="H76" s="62"/>
      <c r="I76" s="84" t="s">
        <v>15</v>
      </c>
      <c r="J76" s="86" t="s">
        <v>8</v>
      </c>
      <c r="K76" s="139">
        <v>0.69106743185315977</v>
      </c>
      <c r="L76" s="41">
        <v>1.114015408505642E-3</v>
      </c>
      <c r="M76" s="42"/>
    </row>
    <row r="77" spans="3:13" ht="24.75" customHeight="1" x14ac:dyDescent="0.2">
      <c r="C77" s="88"/>
      <c r="D77" s="89"/>
      <c r="E77" s="90" t="s">
        <v>10</v>
      </c>
      <c r="F77" s="140">
        <v>0.76706437598881827</v>
      </c>
      <c r="G77" s="47">
        <v>2.8413203343311322E-2</v>
      </c>
      <c r="H77" s="62"/>
      <c r="I77" s="88"/>
      <c r="J77" s="90" t="s">
        <v>10</v>
      </c>
      <c r="K77" s="140">
        <v>0.78641540594181381</v>
      </c>
      <c r="L77" s="49">
        <v>-6.6727638018377888E-3</v>
      </c>
      <c r="M77" s="42"/>
    </row>
    <row r="78" spans="3:13" ht="24.75" customHeight="1" thickBot="1" x14ac:dyDescent="0.25">
      <c r="C78" s="92"/>
      <c r="D78" s="93"/>
      <c r="E78" s="94" t="s">
        <v>11</v>
      </c>
      <c r="F78" s="141">
        <v>0.58862390085831806</v>
      </c>
      <c r="G78" s="67">
        <v>2.1961220774386447E-2</v>
      </c>
      <c r="H78" s="62"/>
      <c r="I78" s="92"/>
      <c r="J78" s="94" t="s">
        <v>11</v>
      </c>
      <c r="K78" s="141">
        <v>0.58190371867857205</v>
      </c>
      <c r="L78" s="56">
        <v>3.8856558946003261E-3</v>
      </c>
      <c r="M78" s="42"/>
    </row>
    <row r="79" spans="3:13" ht="5.25" customHeight="1" thickBot="1" x14ac:dyDescent="0.25"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</row>
    <row r="80" spans="3:13" ht="20.100000000000001" customHeight="1" thickBot="1" x14ac:dyDescent="0.25">
      <c r="C80" s="27" t="s">
        <v>19</v>
      </c>
      <c r="D80" s="28"/>
      <c r="E80" s="28"/>
      <c r="F80" s="28"/>
      <c r="G80" s="28"/>
      <c r="H80" s="28"/>
      <c r="I80" s="28"/>
      <c r="J80" s="28"/>
      <c r="K80" s="28"/>
      <c r="L80" s="28"/>
      <c r="M80" s="29"/>
    </row>
    <row r="81" spans="3:13" ht="5.25" customHeight="1" thickBot="1" x14ac:dyDescent="0.25">
      <c r="C81" s="142"/>
      <c r="D81" s="30"/>
      <c r="E81" s="30"/>
      <c r="F81" s="30"/>
      <c r="G81" s="30"/>
      <c r="H81" s="30"/>
      <c r="I81" s="30"/>
      <c r="J81" s="30"/>
      <c r="K81" s="30"/>
      <c r="L81" s="30"/>
      <c r="M81" s="97"/>
    </row>
    <row r="82" spans="3:13" ht="33.75" customHeight="1" x14ac:dyDescent="0.2">
      <c r="C82" s="57" t="s">
        <v>7</v>
      </c>
      <c r="D82" s="58"/>
      <c r="E82" s="59" t="s">
        <v>20</v>
      </c>
      <c r="F82" s="60">
        <v>44197</v>
      </c>
      <c r="G82" s="61">
        <v>2.0244690674053656E-2</v>
      </c>
      <c r="H82" s="143"/>
      <c r="I82" s="57" t="s">
        <v>7</v>
      </c>
      <c r="J82" s="59" t="s">
        <v>20</v>
      </c>
      <c r="K82" s="60">
        <v>543308</v>
      </c>
      <c r="L82" s="41">
        <v>2.3398620419449845E-2</v>
      </c>
      <c r="M82" s="42" t="s">
        <v>9</v>
      </c>
    </row>
    <row r="83" spans="3:13" ht="33.75" customHeight="1" x14ac:dyDescent="0.2">
      <c r="C83" s="80"/>
      <c r="D83" s="81"/>
      <c r="E83" s="90" t="s">
        <v>21</v>
      </c>
      <c r="F83" s="91">
        <v>166071</v>
      </c>
      <c r="G83" s="47">
        <v>4.9415169572388118E-2</v>
      </c>
      <c r="H83" s="62"/>
      <c r="I83" s="80"/>
      <c r="J83" s="90" t="s">
        <v>21</v>
      </c>
      <c r="K83" s="91">
        <v>2035023</v>
      </c>
      <c r="L83" s="49">
        <v>6.3814246342575043E-3</v>
      </c>
      <c r="M83" s="42"/>
    </row>
    <row r="84" spans="3:13" ht="33.75" customHeight="1" x14ac:dyDescent="0.2">
      <c r="C84" s="80"/>
      <c r="D84" s="81"/>
      <c r="E84" s="82" t="s">
        <v>22</v>
      </c>
      <c r="F84" s="83">
        <v>55339</v>
      </c>
      <c r="G84" s="47">
        <v>2.9294695335168486E-2</v>
      </c>
      <c r="H84" s="62"/>
      <c r="I84" s="80"/>
      <c r="J84" s="82" t="s">
        <v>22</v>
      </c>
      <c r="K84" s="83">
        <v>689885</v>
      </c>
      <c r="L84" s="49">
        <v>1.5047273775928405E-2</v>
      </c>
      <c r="M84" s="42"/>
    </row>
    <row r="85" spans="3:13" ht="33.75" customHeight="1" x14ac:dyDescent="0.2">
      <c r="C85" s="80"/>
      <c r="D85" s="81"/>
      <c r="E85" s="90" t="s">
        <v>23</v>
      </c>
      <c r="F85" s="91">
        <v>12844</v>
      </c>
      <c r="G85" s="47">
        <v>0.190030575372927</v>
      </c>
      <c r="H85" s="62"/>
      <c r="I85" s="80"/>
      <c r="J85" s="90" t="s">
        <v>23</v>
      </c>
      <c r="K85" s="91">
        <v>135625</v>
      </c>
      <c r="L85" s="49">
        <v>0.23870891139749206</v>
      </c>
      <c r="M85" s="42"/>
    </row>
    <row r="86" spans="3:13" ht="33.75" customHeight="1" thickBot="1" x14ac:dyDescent="0.25">
      <c r="C86" s="63"/>
      <c r="D86" s="64"/>
      <c r="E86" s="65" t="s">
        <v>24</v>
      </c>
      <c r="F86" s="66">
        <v>4929</v>
      </c>
      <c r="G86" s="67">
        <v>-3.8993955936829749E-2</v>
      </c>
      <c r="H86" s="144"/>
      <c r="I86" s="63"/>
      <c r="J86" s="65" t="s">
        <v>24</v>
      </c>
      <c r="K86" s="66">
        <v>53796</v>
      </c>
      <c r="L86" s="56">
        <v>-2.9733145023413954E-4</v>
      </c>
      <c r="M86" s="42"/>
    </row>
    <row r="87" spans="3:13" ht="5.25" customHeight="1" thickBot="1" x14ac:dyDescent="0.25"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</row>
    <row r="88" spans="3:13" ht="20.100000000000001" customHeight="1" thickBot="1" x14ac:dyDescent="0.25">
      <c r="C88" s="27" t="s">
        <v>25</v>
      </c>
      <c r="D88" s="28"/>
      <c r="E88" s="28"/>
      <c r="F88" s="28"/>
      <c r="G88" s="28"/>
      <c r="H88" s="28"/>
      <c r="I88" s="28"/>
      <c r="J88" s="28"/>
      <c r="K88" s="28"/>
      <c r="L88" s="28"/>
      <c r="M88" s="29"/>
    </row>
    <row r="89" spans="3:13" ht="5.25" customHeight="1" thickBot="1" x14ac:dyDescent="0.25">
      <c r="C89" s="142"/>
      <c r="D89" s="30"/>
      <c r="E89" s="30"/>
      <c r="F89" s="30"/>
      <c r="G89" s="30"/>
      <c r="H89" s="30"/>
      <c r="I89" s="30"/>
      <c r="J89" s="30"/>
      <c r="K89" s="30"/>
      <c r="L89" s="30"/>
      <c r="M89" s="97"/>
    </row>
    <row r="90" spans="3:13" s="145" customFormat="1" ht="33.75" customHeight="1" x14ac:dyDescent="0.2">
      <c r="C90" s="57" t="s">
        <v>7</v>
      </c>
      <c r="D90" s="58"/>
      <c r="E90" s="59" t="s">
        <v>20</v>
      </c>
      <c r="F90" s="60">
        <v>307175</v>
      </c>
      <c r="G90" s="61">
        <v>7.7772982607566821E-2</v>
      </c>
      <c r="H90" s="143"/>
      <c r="I90" s="57" t="s">
        <v>7</v>
      </c>
      <c r="J90" s="59" t="s">
        <v>20</v>
      </c>
      <c r="K90" s="60">
        <v>3700297</v>
      </c>
      <c r="L90" s="41">
        <v>3.2272381983773357E-2</v>
      </c>
      <c r="M90" s="42" t="s">
        <v>9</v>
      </c>
    </row>
    <row r="91" spans="3:13" s="145" customFormat="1" ht="33.75" customHeight="1" x14ac:dyDescent="0.2">
      <c r="C91" s="80"/>
      <c r="D91" s="81"/>
      <c r="E91" s="90" t="s">
        <v>21</v>
      </c>
      <c r="F91" s="91">
        <v>1314158</v>
      </c>
      <c r="G91" s="47">
        <v>3.9925488880307336E-2</v>
      </c>
      <c r="H91" s="62"/>
      <c r="I91" s="80"/>
      <c r="J91" s="90" t="s">
        <v>21</v>
      </c>
      <c r="K91" s="91">
        <v>15574237</v>
      </c>
      <c r="L91" s="49">
        <v>-1.4965665681499707E-2</v>
      </c>
      <c r="M91" s="42" t="s">
        <v>26</v>
      </c>
    </row>
    <row r="92" spans="3:13" s="145" customFormat="1" ht="33.75" customHeight="1" x14ac:dyDescent="0.2">
      <c r="C92" s="80"/>
      <c r="D92" s="81"/>
      <c r="E92" s="82" t="s">
        <v>22</v>
      </c>
      <c r="F92" s="83">
        <v>406912</v>
      </c>
      <c r="G92" s="47">
        <v>4.6159225417654381E-2</v>
      </c>
      <c r="H92" s="62"/>
      <c r="I92" s="80"/>
      <c r="J92" s="82" t="s">
        <v>22</v>
      </c>
      <c r="K92" s="83">
        <v>4734665</v>
      </c>
      <c r="L92" s="49">
        <v>2.9032953553099095E-2</v>
      </c>
      <c r="M92" s="42" t="s">
        <v>26</v>
      </c>
    </row>
    <row r="93" spans="3:13" s="145" customFormat="1" ht="33.75" customHeight="1" x14ac:dyDescent="0.2">
      <c r="C93" s="80"/>
      <c r="D93" s="81"/>
      <c r="E93" s="90" t="s">
        <v>23</v>
      </c>
      <c r="F93" s="91">
        <v>53078</v>
      </c>
      <c r="G93" s="47">
        <v>0.47680921510252916</v>
      </c>
      <c r="H93" s="62"/>
      <c r="I93" s="80"/>
      <c r="J93" s="90" t="s">
        <v>23</v>
      </c>
      <c r="K93" s="91">
        <v>564784</v>
      </c>
      <c r="L93" s="49">
        <v>0.39377816385254349</v>
      </c>
      <c r="M93" s="42" t="s">
        <v>26</v>
      </c>
    </row>
    <row r="94" spans="3:13" s="145" customFormat="1" ht="33.75" customHeight="1" thickBot="1" x14ac:dyDescent="0.25">
      <c r="C94" s="63"/>
      <c r="D94" s="64"/>
      <c r="E94" s="65" t="s">
        <v>24</v>
      </c>
      <c r="F94" s="66">
        <v>19594</v>
      </c>
      <c r="G94" s="67">
        <v>-5.3429951690821209E-2</v>
      </c>
      <c r="H94" s="144"/>
      <c r="I94" s="63"/>
      <c r="J94" s="65" t="s">
        <v>24</v>
      </c>
      <c r="K94" s="66">
        <v>221651</v>
      </c>
      <c r="L94" s="56">
        <v>-1.1444270505804655E-2</v>
      </c>
      <c r="M94" s="42" t="s">
        <v>26</v>
      </c>
    </row>
    <row r="95" spans="3:13" ht="5.25" customHeight="1" thickBot="1" x14ac:dyDescent="0.25"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3:13" ht="20.100000000000001" customHeight="1" thickBot="1" x14ac:dyDescent="0.25">
      <c r="C96" s="27" t="s">
        <v>27</v>
      </c>
      <c r="D96" s="28"/>
      <c r="E96" s="28"/>
      <c r="F96" s="28"/>
      <c r="G96" s="28"/>
      <c r="H96" s="28"/>
      <c r="I96" s="28"/>
      <c r="J96" s="28"/>
      <c r="K96" s="28"/>
      <c r="L96" s="28"/>
      <c r="M96" s="29"/>
    </row>
    <row r="97" spans="3:15" ht="5.25" customHeight="1" thickBot="1" x14ac:dyDescent="0.25">
      <c r="C97" s="142"/>
      <c r="D97" s="30"/>
      <c r="E97" s="30"/>
      <c r="F97" s="30"/>
      <c r="G97" s="30"/>
      <c r="H97" s="30"/>
      <c r="I97" s="30"/>
      <c r="J97" s="30"/>
      <c r="K97" s="30"/>
      <c r="L97" s="30"/>
      <c r="M97" s="97"/>
    </row>
    <row r="98" spans="3:15" ht="33.75" customHeight="1" x14ac:dyDescent="0.2">
      <c r="C98" s="57" t="s">
        <v>7</v>
      </c>
      <c r="D98" s="58"/>
      <c r="E98" s="59" t="s">
        <v>20</v>
      </c>
      <c r="F98" s="146">
        <v>6.9501323619250179</v>
      </c>
      <c r="G98" s="101">
        <v>0.37097723727127807</v>
      </c>
      <c r="H98" s="143"/>
      <c r="I98" s="57" t="s">
        <v>7</v>
      </c>
      <c r="J98" s="59" t="s">
        <v>20</v>
      </c>
      <c r="K98" s="146">
        <v>6.810680129871086</v>
      </c>
      <c r="L98" s="102">
        <v>5.8546903528707617E-2</v>
      </c>
      <c r="M98" s="42" t="s">
        <v>9</v>
      </c>
    </row>
    <row r="99" spans="3:15" ht="33.75" customHeight="1" x14ac:dyDescent="0.2">
      <c r="C99" s="80"/>
      <c r="D99" s="81"/>
      <c r="E99" s="74" t="s">
        <v>21</v>
      </c>
      <c r="F99" s="147">
        <v>7.9132298836040009</v>
      </c>
      <c r="G99" s="104">
        <v>-7.2210966690783529E-2</v>
      </c>
      <c r="H99" s="62"/>
      <c r="I99" s="80"/>
      <c r="J99" s="74" t="s">
        <v>21</v>
      </c>
      <c r="K99" s="147">
        <v>7.6531012180206321</v>
      </c>
      <c r="L99" s="105">
        <v>-0.16585355170360305</v>
      </c>
      <c r="M99" s="42" t="s">
        <v>26</v>
      </c>
    </row>
    <row r="100" spans="3:15" ht="33.75" customHeight="1" x14ac:dyDescent="0.2">
      <c r="C100" s="80"/>
      <c r="D100" s="81"/>
      <c r="E100" s="82" t="s">
        <v>22</v>
      </c>
      <c r="F100" s="148">
        <v>7.3530782992103214</v>
      </c>
      <c r="G100" s="104">
        <v>0.11853473846335305</v>
      </c>
      <c r="H100" s="62"/>
      <c r="I100" s="80"/>
      <c r="J100" s="82" t="s">
        <v>22</v>
      </c>
      <c r="K100" s="148">
        <v>6.862977162860477</v>
      </c>
      <c r="L100" s="105">
        <v>9.3275342238928971E-2</v>
      </c>
      <c r="M100" s="42" t="s">
        <v>26</v>
      </c>
      <c r="O100" s="149"/>
    </row>
    <row r="101" spans="3:15" ht="33.75" customHeight="1" x14ac:dyDescent="0.2">
      <c r="C101" s="80"/>
      <c r="D101" s="81"/>
      <c r="E101" s="74" t="s">
        <v>23</v>
      </c>
      <c r="F101" s="147">
        <v>4.1325132357521017</v>
      </c>
      <c r="G101" s="104">
        <v>0.80248451343207927</v>
      </c>
      <c r="H101" s="62"/>
      <c r="I101" s="80"/>
      <c r="J101" s="74" t="s">
        <v>23</v>
      </c>
      <c r="K101" s="147">
        <v>4.1643059907834106</v>
      </c>
      <c r="L101" s="105">
        <v>0.46331319698677342</v>
      </c>
      <c r="M101" s="42" t="s">
        <v>26</v>
      </c>
    </row>
    <row r="102" spans="3:15" ht="33.75" customHeight="1" thickBot="1" x14ac:dyDescent="0.25">
      <c r="C102" s="63"/>
      <c r="D102" s="64"/>
      <c r="E102" s="65" t="s">
        <v>24</v>
      </c>
      <c r="F102" s="150">
        <v>3.9752485291134105</v>
      </c>
      <c r="G102" s="107">
        <v>-6.0625910348472978E-2</v>
      </c>
      <c r="H102" s="144"/>
      <c r="I102" s="63"/>
      <c r="J102" s="65" t="s">
        <v>24</v>
      </c>
      <c r="K102" s="150">
        <v>4.1202133987657072</v>
      </c>
      <c r="L102" s="108">
        <v>-4.6459462306172483E-2</v>
      </c>
      <c r="M102" s="42" t="s">
        <v>26</v>
      </c>
    </row>
    <row r="103" spans="3:15" ht="5.25" customHeight="1" thickBot="1" x14ac:dyDescent="0.25"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</row>
    <row r="104" spans="3:15" ht="20.100000000000001" customHeight="1" thickBot="1" x14ac:dyDescent="0.25">
      <c r="C104" s="27" t="s">
        <v>28</v>
      </c>
      <c r="D104" s="28"/>
      <c r="E104" s="28"/>
      <c r="F104" s="28"/>
      <c r="G104" s="28"/>
      <c r="H104" s="28"/>
      <c r="I104" s="28"/>
      <c r="J104" s="28"/>
      <c r="K104" s="28"/>
      <c r="L104" s="28"/>
      <c r="M104" s="29"/>
    </row>
    <row r="105" spans="3:15" ht="5.25" customHeight="1" thickBot="1" x14ac:dyDescent="0.25"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151"/>
    </row>
    <row r="106" spans="3:15" ht="33.75" customHeight="1" x14ac:dyDescent="0.2">
      <c r="C106" s="57" t="s">
        <v>7</v>
      </c>
      <c r="D106" s="58"/>
      <c r="E106" s="59" t="s">
        <v>20</v>
      </c>
      <c r="F106" s="133">
        <v>0.72677651222986173</v>
      </c>
      <c r="G106" s="61">
        <v>7.4215715171939589E-2</v>
      </c>
      <c r="H106" s="143"/>
      <c r="I106" s="57" t="s">
        <v>7</v>
      </c>
      <c r="J106" s="59" t="s">
        <v>20</v>
      </c>
      <c r="K106" s="133">
        <v>0.74478656029821277</v>
      </c>
      <c r="L106" s="41">
        <v>3.0552019780302864E-2</v>
      </c>
      <c r="M106" s="42" t="s">
        <v>9</v>
      </c>
    </row>
    <row r="107" spans="3:15" ht="33.75" customHeight="1" x14ac:dyDescent="0.2">
      <c r="C107" s="80"/>
      <c r="D107" s="81"/>
      <c r="E107" s="74" t="s">
        <v>21</v>
      </c>
      <c r="F107" s="136">
        <v>0.77464035721127633</v>
      </c>
      <c r="G107" s="47">
        <v>2.367813770638949E-2</v>
      </c>
      <c r="H107" s="62"/>
      <c r="I107" s="80"/>
      <c r="J107" s="74" t="s">
        <v>21</v>
      </c>
      <c r="K107" s="136">
        <v>0.7926148293056603</v>
      </c>
      <c r="L107" s="49">
        <v>-8.08934023681529E-3</v>
      </c>
      <c r="M107" s="42" t="s">
        <v>26</v>
      </c>
    </row>
    <row r="108" spans="3:15" ht="33.75" customHeight="1" x14ac:dyDescent="0.2">
      <c r="C108" s="80"/>
      <c r="D108" s="81"/>
      <c r="E108" s="82" t="s">
        <v>22</v>
      </c>
      <c r="F108" s="138">
        <v>0.69395683575929668</v>
      </c>
      <c r="G108" s="47">
        <v>3.2553348100565094E-2</v>
      </c>
      <c r="H108" s="62"/>
      <c r="I108" s="80"/>
      <c r="J108" s="82" t="s">
        <v>22</v>
      </c>
      <c r="K108" s="138">
        <v>0.68849578111992094</v>
      </c>
      <c r="L108" s="49">
        <v>2.434525024002121E-2</v>
      </c>
      <c r="M108" s="42" t="s">
        <v>26</v>
      </c>
    </row>
    <row r="109" spans="3:15" ht="33.75" customHeight="1" x14ac:dyDescent="0.2">
      <c r="C109" s="80"/>
      <c r="D109" s="81"/>
      <c r="E109" s="74" t="s">
        <v>23</v>
      </c>
      <c r="F109" s="136">
        <v>0.54545828237881389</v>
      </c>
      <c r="G109" s="47">
        <v>3.0332010536648246E-2</v>
      </c>
      <c r="H109" s="62"/>
      <c r="I109" s="80"/>
      <c r="J109" s="74" t="s">
        <v>23</v>
      </c>
      <c r="K109" s="136">
        <v>0.46929472510415682</v>
      </c>
      <c r="L109" s="49">
        <v>-7.4249568104063135E-2</v>
      </c>
      <c r="M109" s="42" t="s">
        <v>26</v>
      </c>
    </row>
    <row r="110" spans="3:15" ht="33.75" customHeight="1" thickBot="1" x14ac:dyDescent="0.25">
      <c r="C110" s="63"/>
      <c r="D110" s="64"/>
      <c r="E110" s="65" t="s">
        <v>24</v>
      </c>
      <c r="F110" s="134">
        <v>0.5347415534086567</v>
      </c>
      <c r="G110" s="67">
        <v>-1.4189738182234346E-2</v>
      </c>
      <c r="H110" s="144"/>
      <c r="I110" s="63"/>
      <c r="J110" s="65" t="s">
        <v>24</v>
      </c>
      <c r="K110" s="134">
        <v>0.51268345149016392</v>
      </c>
      <c r="L110" s="56">
        <v>1.8276310460264789E-2</v>
      </c>
      <c r="M110" s="42" t="s">
        <v>26</v>
      </c>
    </row>
    <row r="111" spans="3:15" ht="5.25" customHeight="1" thickBot="1" x14ac:dyDescent="0.25">
      <c r="C111" s="152"/>
      <c r="D111" s="152"/>
      <c r="E111" s="153"/>
      <c r="F111" s="96"/>
      <c r="G111" s="154"/>
      <c r="H111" s="155"/>
      <c r="I111" s="96"/>
      <c r="J111" s="154"/>
      <c r="K111" s="153"/>
      <c r="L111" s="152"/>
      <c r="M111" s="156"/>
    </row>
    <row r="112" spans="3:15" ht="17.25" customHeight="1" thickBot="1" x14ac:dyDescent="0.25">
      <c r="C112" s="157"/>
      <c r="D112" s="158"/>
      <c r="E112" s="158"/>
      <c r="F112" s="158"/>
      <c r="G112" s="158"/>
      <c r="H112" s="158"/>
      <c r="I112" s="158"/>
      <c r="J112" s="158"/>
      <c r="K112" s="158"/>
      <c r="L112" s="158"/>
      <c r="M112" s="159"/>
    </row>
    <row r="113" spans="3:19" ht="50.25" customHeight="1" thickBot="1" x14ac:dyDescent="0.25">
      <c r="C113" s="2"/>
      <c r="D113" s="2"/>
      <c r="E113" s="3" t="str">
        <f>$E$1</f>
        <v>INDICADORES TURÍSTICOS DE TENERIFE definitivo</v>
      </c>
      <c r="F113" s="3"/>
      <c r="G113" s="3"/>
      <c r="H113" s="3"/>
      <c r="I113" s="3"/>
      <c r="J113" s="3"/>
      <c r="K113" s="3"/>
      <c r="L113" s="2"/>
      <c r="M113" s="2"/>
    </row>
    <row r="114" spans="3:19" s="1" customFormat="1" ht="9" customHeight="1" thickBot="1" x14ac:dyDescent="0.25">
      <c r="C114" s="160"/>
      <c r="D114" s="161"/>
      <c r="E114" s="162"/>
      <c r="F114" s="162"/>
      <c r="G114" s="162"/>
      <c r="H114" s="162"/>
      <c r="I114" s="162"/>
      <c r="J114" s="162"/>
      <c r="K114" s="162"/>
      <c r="L114" s="161"/>
      <c r="M114" s="163"/>
      <c r="O114" s="4"/>
      <c r="P114" s="4"/>
      <c r="Q114" s="4"/>
      <c r="R114" s="4"/>
      <c r="S114" s="4"/>
    </row>
    <row r="115" spans="3:19" ht="33" customHeight="1" thickBot="1" x14ac:dyDescent="0.25">
      <c r="C115" s="164" t="s">
        <v>29</v>
      </c>
      <c r="D115" s="165"/>
      <c r="E115" s="165"/>
      <c r="F115" s="165"/>
      <c r="G115" s="165"/>
      <c r="H115" s="165"/>
      <c r="I115" s="165"/>
      <c r="J115" s="165"/>
      <c r="K115" s="165"/>
      <c r="L115" s="165"/>
      <c r="M115" s="166"/>
    </row>
    <row r="116" spans="3:19" ht="20.100000000000001" customHeight="1" x14ac:dyDescent="0.2">
      <c r="C116" s="167"/>
      <c r="D116" s="168"/>
      <c r="E116" s="168"/>
      <c r="F116" s="168"/>
      <c r="G116" s="169" t="str">
        <f>C2</f>
        <v>diciembre 2015</v>
      </c>
      <c r="H116" s="170"/>
      <c r="I116" s="170"/>
      <c r="J116" s="168"/>
      <c r="K116" s="168"/>
      <c r="L116" s="168"/>
      <c r="M116" s="171"/>
    </row>
    <row r="117" spans="3:19" ht="5.25" customHeight="1" thickBot="1" x14ac:dyDescent="0.25">
      <c r="C117" s="172"/>
      <c r="D117" s="168"/>
      <c r="E117" s="168"/>
      <c r="F117" s="168"/>
      <c r="G117" s="173"/>
      <c r="H117" s="173"/>
      <c r="I117" s="173"/>
      <c r="J117" s="168"/>
      <c r="K117" s="168"/>
      <c r="L117" s="168"/>
      <c r="M117" s="174"/>
    </row>
    <row r="118" spans="3:19" ht="33" customHeight="1" thickTop="1" thickBot="1" x14ac:dyDescent="0.25">
      <c r="C118" s="175"/>
      <c r="D118" s="176" t="s">
        <v>7</v>
      </c>
      <c r="E118" s="177"/>
      <c r="F118" s="176" t="s">
        <v>30</v>
      </c>
      <c r="G118" s="177"/>
      <c r="H118" s="176" t="s">
        <v>31</v>
      </c>
      <c r="I118" s="177"/>
      <c r="J118" s="176" t="s">
        <v>32</v>
      </c>
      <c r="K118" s="177"/>
      <c r="L118" s="176" t="s">
        <v>33</v>
      </c>
      <c r="M118" s="177"/>
    </row>
    <row r="119" spans="3:19" ht="31.5" customHeight="1" thickBot="1" x14ac:dyDescent="0.25">
      <c r="C119" s="178"/>
      <c r="D119" s="179" t="s">
        <v>34</v>
      </c>
      <c r="E119" s="180" t="s">
        <v>35</v>
      </c>
      <c r="F119" s="179" t="s">
        <v>34</v>
      </c>
      <c r="G119" s="180" t="s">
        <v>35</v>
      </c>
      <c r="H119" s="179" t="s">
        <v>34</v>
      </c>
      <c r="I119" s="180" t="s">
        <v>35</v>
      </c>
      <c r="J119" s="179" t="s">
        <v>34</v>
      </c>
      <c r="K119" s="180" t="s">
        <v>35</v>
      </c>
      <c r="L119" s="179" t="s">
        <v>34</v>
      </c>
      <c r="M119" s="180" t="s">
        <v>35</v>
      </c>
    </row>
    <row r="120" spans="3:19" ht="24" customHeight="1" thickBot="1" x14ac:dyDescent="0.25">
      <c r="C120" s="181" t="s">
        <v>36</v>
      </c>
      <c r="D120" s="182">
        <v>71177</v>
      </c>
      <c r="E120" s="183">
        <v>-6.4383831744988518E-2</v>
      </c>
      <c r="F120" s="182">
        <v>12767</v>
      </c>
      <c r="G120" s="183">
        <v>4.9658801282578269E-2</v>
      </c>
      <c r="H120" s="182">
        <v>1690</v>
      </c>
      <c r="I120" s="183">
        <v>-5.0561797752809001E-2</v>
      </c>
      <c r="J120" s="182">
        <v>25354</v>
      </c>
      <c r="K120" s="183">
        <v>-3.834629243315002E-2</v>
      </c>
      <c r="L120" s="182">
        <v>31366</v>
      </c>
      <c r="M120" s="183">
        <v>-0.1230463835378981</v>
      </c>
    </row>
    <row r="121" spans="3:19" ht="27" customHeight="1" thickBot="1" x14ac:dyDescent="0.25">
      <c r="C121" s="184" t="s">
        <v>37</v>
      </c>
      <c r="D121" s="185">
        <v>18452.726208794022</v>
      </c>
      <c r="E121" s="186">
        <v>7.9990998992977902E-2</v>
      </c>
      <c r="F121" s="185" t="s">
        <v>38</v>
      </c>
      <c r="G121" s="186" t="s">
        <v>38</v>
      </c>
      <c r="H121" s="185" t="s">
        <v>38</v>
      </c>
      <c r="I121" s="186" t="s">
        <v>38</v>
      </c>
      <c r="J121" s="185" t="s">
        <v>38</v>
      </c>
      <c r="K121" s="186" t="s">
        <v>38</v>
      </c>
      <c r="L121" s="185" t="s">
        <v>38</v>
      </c>
      <c r="M121" s="186" t="s">
        <v>38</v>
      </c>
    </row>
    <row r="122" spans="3:19" ht="28.5" customHeight="1" thickBot="1" x14ac:dyDescent="0.25">
      <c r="C122" s="187" t="s">
        <v>39</v>
      </c>
      <c r="D122" s="188">
        <v>11776.968096101227</v>
      </c>
      <c r="E122" s="189">
        <v>-2.5972368199385754E-2</v>
      </c>
      <c r="F122" s="188" t="s">
        <v>38</v>
      </c>
      <c r="G122" s="189" t="s">
        <v>38</v>
      </c>
      <c r="H122" s="188" t="s">
        <v>38</v>
      </c>
      <c r="I122" s="189" t="s">
        <v>38</v>
      </c>
      <c r="J122" s="188" t="s">
        <v>38</v>
      </c>
      <c r="K122" s="189" t="s">
        <v>38</v>
      </c>
      <c r="L122" s="188" t="s">
        <v>38</v>
      </c>
      <c r="M122" s="189" t="s">
        <v>38</v>
      </c>
    </row>
    <row r="123" spans="3:19" ht="27.75" customHeight="1" thickBot="1" x14ac:dyDescent="0.25">
      <c r="C123" s="187" t="s">
        <v>40</v>
      </c>
      <c r="D123" s="188">
        <v>40947.305695104747</v>
      </c>
      <c r="E123" s="189">
        <v>-0.12688588649612464</v>
      </c>
      <c r="F123" s="188" t="s">
        <v>38</v>
      </c>
      <c r="G123" s="189" t="s">
        <v>38</v>
      </c>
      <c r="H123" s="188" t="s">
        <v>38</v>
      </c>
      <c r="I123" s="189" t="s">
        <v>38</v>
      </c>
      <c r="J123" s="188" t="s">
        <v>38</v>
      </c>
      <c r="K123" s="189" t="s">
        <v>38</v>
      </c>
      <c r="L123" s="188" t="s">
        <v>38</v>
      </c>
      <c r="M123" s="189" t="s">
        <v>38</v>
      </c>
    </row>
    <row r="124" spans="3:19" ht="24" customHeight="1" thickBot="1" x14ac:dyDescent="0.25">
      <c r="C124" s="190" t="s">
        <v>41</v>
      </c>
      <c r="D124" s="191">
        <v>12330</v>
      </c>
      <c r="E124" s="189">
        <v>3.6395730015970518E-2</v>
      </c>
      <c r="F124" s="191">
        <v>188</v>
      </c>
      <c r="G124" s="189">
        <v>5.6179775280898792E-2</v>
      </c>
      <c r="H124" s="191">
        <v>128</v>
      </c>
      <c r="I124" s="189">
        <v>4.9180327868852514E-2</v>
      </c>
      <c r="J124" s="191">
        <v>721</v>
      </c>
      <c r="K124" s="189">
        <v>0.22619047619047628</v>
      </c>
      <c r="L124" s="191">
        <v>11293</v>
      </c>
      <c r="M124" s="189">
        <v>2.5797075120356006E-2</v>
      </c>
    </row>
    <row r="125" spans="3:19" ht="24" customHeight="1" thickBot="1" x14ac:dyDescent="0.25">
      <c r="C125" s="192" t="s">
        <v>42</v>
      </c>
      <c r="D125" s="188">
        <v>13609</v>
      </c>
      <c r="E125" s="189">
        <v>-3.8793734445908834E-3</v>
      </c>
      <c r="F125" s="188">
        <v>146</v>
      </c>
      <c r="G125" s="189">
        <v>-9.8765432098765427E-2</v>
      </c>
      <c r="H125" s="188">
        <v>53</v>
      </c>
      <c r="I125" s="189">
        <v>0.32499999999999996</v>
      </c>
      <c r="J125" s="188">
        <v>407</v>
      </c>
      <c r="K125" s="189">
        <v>0.12742382271468133</v>
      </c>
      <c r="L125" s="188">
        <v>13003</v>
      </c>
      <c r="M125" s="189">
        <v>-7.3288037254751748E-3</v>
      </c>
    </row>
    <row r="126" spans="3:19" ht="24" customHeight="1" thickBot="1" x14ac:dyDescent="0.25">
      <c r="C126" s="190" t="s">
        <v>43</v>
      </c>
      <c r="D126" s="191">
        <v>49462</v>
      </c>
      <c r="E126" s="189">
        <v>-4.4618712817739326E-2</v>
      </c>
      <c r="F126" s="191">
        <v>1142</v>
      </c>
      <c r="G126" s="189">
        <v>-8.4202085004009608E-2</v>
      </c>
      <c r="H126" s="191">
        <v>682</v>
      </c>
      <c r="I126" s="189">
        <v>3.1770045385779211E-2</v>
      </c>
      <c r="J126" s="191">
        <v>17806</v>
      </c>
      <c r="K126" s="189">
        <v>-8.211763492963553E-2</v>
      </c>
      <c r="L126" s="191">
        <v>29832</v>
      </c>
      <c r="M126" s="189">
        <v>-2.0777941900541608E-2</v>
      </c>
    </row>
    <row r="127" spans="3:19" ht="24" customHeight="1" thickBot="1" x14ac:dyDescent="0.25">
      <c r="C127" s="192" t="s">
        <v>44</v>
      </c>
      <c r="D127" s="188">
        <v>11172</v>
      </c>
      <c r="E127" s="189">
        <v>-2.5215949742605326E-2</v>
      </c>
      <c r="F127" s="188">
        <v>559</v>
      </c>
      <c r="G127" s="189">
        <v>-0.13734567901234573</v>
      </c>
      <c r="H127" s="188">
        <v>251</v>
      </c>
      <c r="I127" s="189">
        <v>2.0325203252032464E-2</v>
      </c>
      <c r="J127" s="188">
        <v>2164</v>
      </c>
      <c r="K127" s="189">
        <v>0.38629083920563745</v>
      </c>
      <c r="L127" s="188">
        <v>8198</v>
      </c>
      <c r="M127" s="189">
        <v>-8.9717965800577448E-2</v>
      </c>
    </row>
    <row r="128" spans="3:19" ht="24" customHeight="1" thickBot="1" x14ac:dyDescent="0.25">
      <c r="C128" s="190" t="s">
        <v>45</v>
      </c>
      <c r="D128" s="191">
        <v>145081</v>
      </c>
      <c r="E128" s="189">
        <v>0.17766287319187613</v>
      </c>
      <c r="F128" s="191">
        <v>990</v>
      </c>
      <c r="G128" s="189">
        <v>0.1061452513966481</v>
      </c>
      <c r="H128" s="191">
        <v>170</v>
      </c>
      <c r="I128" s="189">
        <v>0.75257731958762886</v>
      </c>
      <c r="J128" s="191">
        <v>6193</v>
      </c>
      <c r="K128" s="189">
        <v>0.22101735015772861</v>
      </c>
      <c r="L128" s="191">
        <v>137728</v>
      </c>
      <c r="M128" s="189">
        <v>0.17585588662170237</v>
      </c>
    </row>
    <row r="129" spans="3:13" ht="24" customHeight="1" thickBot="1" x14ac:dyDescent="0.25">
      <c r="C129" s="192" t="s">
        <v>46</v>
      </c>
      <c r="D129" s="188">
        <v>5468</v>
      </c>
      <c r="E129" s="189">
        <v>0.34845869297164</v>
      </c>
      <c r="F129" s="188">
        <v>111</v>
      </c>
      <c r="G129" s="189">
        <v>0.29069767441860472</v>
      </c>
      <c r="H129" s="188">
        <v>8</v>
      </c>
      <c r="I129" s="189">
        <v>1</v>
      </c>
      <c r="J129" s="188">
        <v>330</v>
      </c>
      <c r="K129" s="189">
        <v>0.5714285714285714</v>
      </c>
      <c r="L129" s="188">
        <v>5019</v>
      </c>
      <c r="M129" s="189">
        <v>0.33661784287616503</v>
      </c>
    </row>
    <row r="130" spans="3:13" ht="24" customHeight="1" thickBot="1" x14ac:dyDescent="0.25">
      <c r="C130" s="190" t="s">
        <v>47</v>
      </c>
      <c r="D130" s="191">
        <v>13302</v>
      </c>
      <c r="E130" s="189">
        <v>0.18820902188477007</v>
      </c>
      <c r="F130" s="191">
        <v>723</v>
      </c>
      <c r="G130" s="189">
        <v>0.22128378378378377</v>
      </c>
      <c r="H130" s="191">
        <v>125</v>
      </c>
      <c r="I130" s="189">
        <v>0.20192307692307687</v>
      </c>
      <c r="J130" s="191">
        <v>1139</v>
      </c>
      <c r="K130" s="189">
        <v>0.32750582750582757</v>
      </c>
      <c r="L130" s="191">
        <v>11315</v>
      </c>
      <c r="M130" s="189">
        <v>0.17363344051446949</v>
      </c>
    </row>
    <row r="131" spans="3:13" ht="24" customHeight="1" thickBot="1" x14ac:dyDescent="0.25">
      <c r="C131" s="192" t="s">
        <v>48</v>
      </c>
      <c r="D131" s="188">
        <v>59623</v>
      </c>
      <c r="E131" s="189">
        <v>-0.1433230839966666</v>
      </c>
      <c r="F131" s="188">
        <v>1271</v>
      </c>
      <c r="G131" s="189">
        <v>-0.21104903786468032</v>
      </c>
      <c r="H131" s="188">
        <v>52</v>
      </c>
      <c r="I131" s="189">
        <v>-0.10344827586206895</v>
      </c>
      <c r="J131" s="188">
        <v>7491</v>
      </c>
      <c r="K131" s="189">
        <v>-0.14202267781468336</v>
      </c>
      <c r="L131" s="188">
        <v>50809</v>
      </c>
      <c r="M131" s="189">
        <v>-0.14171086861042603</v>
      </c>
    </row>
    <row r="132" spans="3:13" ht="24" customHeight="1" thickBot="1" x14ac:dyDescent="0.25">
      <c r="C132" s="193" t="s">
        <v>49</v>
      </c>
      <c r="D132" s="191">
        <v>23323</v>
      </c>
      <c r="E132" s="189">
        <v>-0.13261928669716239</v>
      </c>
      <c r="F132" s="191">
        <v>449</v>
      </c>
      <c r="G132" s="189">
        <v>-0.2663398692810458</v>
      </c>
      <c r="H132" s="191">
        <v>12</v>
      </c>
      <c r="I132" s="189">
        <v>-0.4</v>
      </c>
      <c r="J132" s="191">
        <v>1880</v>
      </c>
      <c r="K132" s="189">
        <v>-1.0005265929436513E-2</v>
      </c>
      <c r="L132" s="191">
        <v>20982</v>
      </c>
      <c r="M132" s="189">
        <v>-0.13859922817965353</v>
      </c>
    </row>
    <row r="133" spans="3:13" ht="24" customHeight="1" thickBot="1" x14ac:dyDescent="0.25">
      <c r="C133" s="187" t="s">
        <v>50</v>
      </c>
      <c r="D133" s="188">
        <v>9899</v>
      </c>
      <c r="E133" s="189">
        <v>-0.24716708494942585</v>
      </c>
      <c r="F133" s="188">
        <v>310</v>
      </c>
      <c r="G133" s="189">
        <v>-0.28240740740740744</v>
      </c>
      <c r="H133" s="188">
        <v>12</v>
      </c>
      <c r="I133" s="189">
        <v>9.0909090909090828E-2</v>
      </c>
      <c r="J133" s="188">
        <v>718</v>
      </c>
      <c r="K133" s="189">
        <v>-0.29538763493621201</v>
      </c>
      <c r="L133" s="188">
        <v>8859</v>
      </c>
      <c r="M133" s="189">
        <v>-0.24197826644990161</v>
      </c>
    </row>
    <row r="134" spans="3:13" ht="24" customHeight="1" thickBot="1" x14ac:dyDescent="0.25">
      <c r="C134" s="193" t="s">
        <v>51</v>
      </c>
      <c r="D134" s="191">
        <v>11107</v>
      </c>
      <c r="E134" s="189">
        <v>-0.11476847055072925</v>
      </c>
      <c r="F134" s="191">
        <v>169</v>
      </c>
      <c r="G134" s="189">
        <v>-0.15075376884422109</v>
      </c>
      <c r="H134" s="191">
        <v>18</v>
      </c>
      <c r="I134" s="189">
        <v>0.63636363636363646</v>
      </c>
      <c r="J134" s="191">
        <v>1185</v>
      </c>
      <c r="K134" s="189">
        <v>-0.45265588914549648</v>
      </c>
      <c r="L134" s="191">
        <v>9735</v>
      </c>
      <c r="M134" s="189">
        <v>-4.2961069602831303E-2</v>
      </c>
    </row>
    <row r="135" spans="3:13" ht="24" customHeight="1" thickBot="1" x14ac:dyDescent="0.25">
      <c r="C135" s="187" t="s">
        <v>52</v>
      </c>
      <c r="D135" s="188">
        <v>15294</v>
      </c>
      <c r="E135" s="189">
        <v>-0.10104038088520539</v>
      </c>
      <c r="F135" s="188">
        <v>343</v>
      </c>
      <c r="G135" s="189">
        <v>-6.7934782608695676E-2</v>
      </c>
      <c r="H135" s="188">
        <v>10</v>
      </c>
      <c r="I135" s="189">
        <v>-0.375</v>
      </c>
      <c r="J135" s="188">
        <v>3708</v>
      </c>
      <c r="K135" s="189">
        <v>1.6447368421052655E-2</v>
      </c>
      <c r="L135" s="188">
        <v>11233</v>
      </c>
      <c r="M135" s="189">
        <v>-0.13465834681457511</v>
      </c>
    </row>
    <row r="136" spans="3:13" ht="24" customHeight="1" thickBot="1" x14ac:dyDescent="0.25">
      <c r="C136" s="190" t="s">
        <v>53</v>
      </c>
      <c r="D136" s="191">
        <v>4080</v>
      </c>
      <c r="E136" s="189">
        <v>-2.0172910662824228E-2</v>
      </c>
      <c r="F136" s="191">
        <v>226</v>
      </c>
      <c r="G136" s="189">
        <v>0.79365079365079372</v>
      </c>
      <c r="H136" s="191">
        <v>43</v>
      </c>
      <c r="I136" s="189">
        <v>-0.17307692307692313</v>
      </c>
      <c r="J136" s="191">
        <v>716</v>
      </c>
      <c r="K136" s="189">
        <v>0.33831775700934585</v>
      </c>
      <c r="L136" s="191">
        <v>3095</v>
      </c>
      <c r="M136" s="189">
        <v>-0.10315850478122279</v>
      </c>
    </row>
    <row r="137" spans="3:13" ht="24" customHeight="1" thickBot="1" x14ac:dyDescent="0.25">
      <c r="C137" s="192" t="s">
        <v>54</v>
      </c>
      <c r="D137" s="188">
        <v>2815</v>
      </c>
      <c r="E137" s="189">
        <v>-0.17230226403998827</v>
      </c>
      <c r="F137" s="188">
        <v>107</v>
      </c>
      <c r="G137" s="189">
        <v>0.69841269841269837</v>
      </c>
      <c r="H137" s="188">
        <v>26</v>
      </c>
      <c r="I137" s="189">
        <v>-0.1333333333333333</v>
      </c>
      <c r="J137" s="188">
        <v>585</v>
      </c>
      <c r="K137" s="189">
        <v>-4.8780487804878092E-2</v>
      </c>
      <c r="L137" s="188">
        <v>2097</v>
      </c>
      <c r="M137" s="189">
        <v>-0.22131451912365396</v>
      </c>
    </row>
    <row r="138" spans="3:13" ht="24" customHeight="1" thickBot="1" x14ac:dyDescent="0.25">
      <c r="C138" s="190" t="s">
        <v>55</v>
      </c>
      <c r="D138" s="191">
        <v>6405</v>
      </c>
      <c r="E138" s="189">
        <v>-0.22532656023222064</v>
      </c>
      <c r="F138" s="191">
        <v>152</v>
      </c>
      <c r="G138" s="189">
        <v>-0.42641509433962266</v>
      </c>
      <c r="H138" s="191">
        <v>19</v>
      </c>
      <c r="I138" s="189">
        <v>0.26666666666666661</v>
      </c>
      <c r="J138" s="191">
        <v>521</v>
      </c>
      <c r="K138" s="189">
        <v>-7.6241134751773076E-2</v>
      </c>
      <c r="L138" s="191">
        <v>5713</v>
      </c>
      <c r="M138" s="189">
        <v>-0.23046875</v>
      </c>
    </row>
    <row r="139" spans="3:13" ht="24" customHeight="1" thickBot="1" x14ac:dyDescent="0.25">
      <c r="C139" s="192" t="s">
        <v>56</v>
      </c>
      <c r="D139" s="188">
        <v>9703</v>
      </c>
      <c r="E139" s="189">
        <v>0.18127587046505966</v>
      </c>
      <c r="F139" s="188">
        <v>209</v>
      </c>
      <c r="G139" s="189">
        <v>-0.10300429184549353</v>
      </c>
      <c r="H139" s="188">
        <v>21</v>
      </c>
      <c r="I139" s="189">
        <v>-0.16000000000000003</v>
      </c>
      <c r="J139" s="188">
        <v>1243</v>
      </c>
      <c r="K139" s="189">
        <v>0.78591954022988508</v>
      </c>
      <c r="L139" s="188">
        <v>8230</v>
      </c>
      <c r="M139" s="189">
        <v>0.13360881542699721</v>
      </c>
    </row>
    <row r="140" spans="3:13" ht="24" customHeight="1" thickBot="1" x14ac:dyDescent="0.25">
      <c r="C140" s="190" t="s">
        <v>57</v>
      </c>
      <c r="D140" s="191">
        <v>11665</v>
      </c>
      <c r="E140" s="189">
        <v>0.34095873088860795</v>
      </c>
      <c r="F140" s="191">
        <v>503</v>
      </c>
      <c r="G140" s="189">
        <v>0.12780269058295968</v>
      </c>
      <c r="H140" s="191">
        <v>29</v>
      </c>
      <c r="I140" s="189">
        <v>-0.25641025641025639</v>
      </c>
      <c r="J140" s="191">
        <v>2152</v>
      </c>
      <c r="K140" s="189">
        <v>0.4790378006872853</v>
      </c>
      <c r="L140" s="191">
        <v>8981</v>
      </c>
      <c r="M140" s="189">
        <v>0.32874685604379339</v>
      </c>
    </row>
    <row r="141" spans="3:13" ht="24" customHeight="1" thickBot="1" x14ac:dyDescent="0.25">
      <c r="C141" s="192" t="s">
        <v>58</v>
      </c>
      <c r="D141" s="188">
        <v>1498</v>
      </c>
      <c r="E141" s="189">
        <v>0.11874533233756535</v>
      </c>
      <c r="F141" s="188">
        <v>145</v>
      </c>
      <c r="G141" s="189">
        <v>-0.20765027322404372</v>
      </c>
      <c r="H141" s="188">
        <v>61</v>
      </c>
      <c r="I141" s="189">
        <v>5.1724137931034475E-2</v>
      </c>
      <c r="J141" s="188">
        <v>231</v>
      </c>
      <c r="K141" s="189">
        <v>4.3478260869564966E-3</v>
      </c>
      <c r="L141" s="188">
        <v>1061</v>
      </c>
      <c r="M141" s="189">
        <v>0.22235023041474644</v>
      </c>
    </row>
    <row r="142" spans="3:13" ht="24" customHeight="1" thickBot="1" x14ac:dyDescent="0.25">
      <c r="C142" s="190" t="s">
        <v>59</v>
      </c>
      <c r="D142" s="191">
        <v>1536</v>
      </c>
      <c r="E142" s="189">
        <v>0.38753387533875339</v>
      </c>
      <c r="F142" s="191">
        <v>294</v>
      </c>
      <c r="G142" s="189">
        <v>2.7972027972027913E-2</v>
      </c>
      <c r="H142" s="191">
        <v>32</v>
      </c>
      <c r="I142" s="189">
        <v>0.14285714285714279</v>
      </c>
      <c r="J142" s="191">
        <v>222</v>
      </c>
      <c r="K142" s="189">
        <v>-4.484304932735439E-3</v>
      </c>
      <c r="L142" s="191">
        <v>988</v>
      </c>
      <c r="M142" s="189">
        <v>0.73333333333333339</v>
      </c>
    </row>
    <row r="143" spans="3:13" ht="24" customHeight="1" thickBot="1" x14ac:dyDescent="0.25">
      <c r="C143" s="192" t="s">
        <v>60</v>
      </c>
      <c r="D143" s="194">
        <v>4691</v>
      </c>
      <c r="E143" s="195">
        <v>0.31400560224089635</v>
      </c>
      <c r="F143" s="194">
        <v>622</v>
      </c>
      <c r="G143" s="195">
        <v>0.1915708812260537</v>
      </c>
      <c r="H143" s="194">
        <v>52</v>
      </c>
      <c r="I143" s="195">
        <v>0.20930232558139528</v>
      </c>
      <c r="J143" s="194">
        <v>713</v>
      </c>
      <c r="K143" s="195">
        <v>0.47314049586776852</v>
      </c>
      <c r="L143" s="194">
        <v>3304</v>
      </c>
      <c r="M143" s="195">
        <v>0.31059103530345111</v>
      </c>
    </row>
    <row r="144" spans="3:13" ht="30.75" customHeight="1" thickTop="1" thickBot="1" x14ac:dyDescent="0.25">
      <c r="C144" s="196" t="s">
        <v>61</v>
      </c>
      <c r="D144" s="197">
        <v>352440</v>
      </c>
      <c r="E144" s="198">
        <v>5.0191301445785985E-2</v>
      </c>
      <c r="F144" s="197">
        <v>7388</v>
      </c>
      <c r="G144" s="198">
        <v>-2.0548853241415865E-2</v>
      </c>
      <c r="H144" s="197">
        <v>1752</v>
      </c>
      <c r="I144" s="198">
        <v>8.0147965474722582E-2</v>
      </c>
      <c r="J144" s="197">
        <v>42634</v>
      </c>
      <c r="K144" s="198">
        <v>2.5299408397864376E-2</v>
      </c>
      <c r="L144" s="197">
        <v>300666</v>
      </c>
      <c r="M144" s="198">
        <v>5.5527665535072934E-2</v>
      </c>
    </row>
    <row r="145" spans="3:13" ht="24" customHeight="1" thickBot="1" x14ac:dyDescent="0.25">
      <c r="C145" s="199" t="s">
        <v>8</v>
      </c>
      <c r="D145" s="200">
        <v>423617</v>
      </c>
      <c r="E145" s="201">
        <v>2.9018318025802126E-2</v>
      </c>
      <c r="F145" s="200">
        <v>20155</v>
      </c>
      <c r="G145" s="201">
        <v>2.278493859738151E-2</v>
      </c>
      <c r="H145" s="200">
        <v>3442</v>
      </c>
      <c r="I145" s="201">
        <v>1.1757789535567387E-2</v>
      </c>
      <c r="J145" s="200">
        <v>67988</v>
      </c>
      <c r="K145" s="201">
        <v>6.0341148247888832E-4</v>
      </c>
      <c r="L145" s="200">
        <v>332032</v>
      </c>
      <c r="M145" s="201">
        <v>3.560645756917924E-2</v>
      </c>
    </row>
    <row r="146" spans="3:13" ht="13.5" thickBot="1" x14ac:dyDescent="0.25">
      <c r="C146" s="18"/>
      <c r="D146" s="5"/>
      <c r="E146" s="5"/>
      <c r="F146" s="5"/>
      <c r="G146" s="5"/>
      <c r="H146" s="5"/>
      <c r="I146" s="5"/>
      <c r="J146" s="5"/>
      <c r="K146" s="5"/>
      <c r="L146" s="5"/>
      <c r="M146" s="202"/>
    </row>
    <row r="147" spans="3:13" ht="35.25" customHeight="1" thickBot="1" x14ac:dyDescent="0.25">
      <c r="C147" s="164" t="s">
        <v>29</v>
      </c>
      <c r="D147" s="165"/>
      <c r="E147" s="165"/>
      <c r="F147" s="165"/>
      <c r="G147" s="165"/>
      <c r="H147" s="165"/>
      <c r="I147" s="165"/>
      <c r="J147" s="165"/>
      <c r="K147" s="165"/>
      <c r="L147" s="165"/>
      <c r="M147" s="166"/>
    </row>
    <row r="148" spans="3:13" ht="20.100000000000001" customHeight="1" x14ac:dyDescent="0.2">
      <c r="C148" s="167"/>
      <c r="D148" s="168"/>
      <c r="E148" s="168"/>
      <c r="F148" s="168"/>
      <c r="G148" s="169" t="str">
        <f>I2</f>
        <v>año 2015</v>
      </c>
      <c r="H148" s="170"/>
      <c r="I148" s="170"/>
      <c r="J148" s="168"/>
      <c r="K148" s="168"/>
      <c r="L148" s="168"/>
      <c r="M148" s="171"/>
    </row>
    <row r="149" spans="3:13" ht="5.25" customHeight="1" thickBot="1" x14ac:dyDescent="0.25">
      <c r="C149" s="172"/>
      <c r="D149" s="168"/>
      <c r="E149" s="168"/>
      <c r="F149" s="168"/>
      <c r="G149" s="173"/>
      <c r="H149" s="173"/>
      <c r="I149" s="173"/>
      <c r="J149" s="168"/>
      <c r="K149" s="168"/>
      <c r="L149" s="168"/>
      <c r="M149" s="174"/>
    </row>
    <row r="150" spans="3:13" ht="32.25" customHeight="1" thickTop="1" thickBot="1" x14ac:dyDescent="0.25">
      <c r="C150" s="175"/>
      <c r="D150" s="176" t="s">
        <v>7</v>
      </c>
      <c r="E150" s="177"/>
      <c r="F150" s="176" t="s">
        <v>30</v>
      </c>
      <c r="G150" s="177"/>
      <c r="H150" s="176" t="s">
        <v>31</v>
      </c>
      <c r="I150" s="177"/>
      <c r="J150" s="176" t="s">
        <v>32</v>
      </c>
      <c r="K150" s="177"/>
      <c r="L150" s="176" t="s">
        <v>33</v>
      </c>
      <c r="M150" s="177"/>
    </row>
    <row r="151" spans="3:13" ht="31.5" customHeight="1" thickBot="1" x14ac:dyDescent="0.25">
      <c r="C151" s="178"/>
      <c r="D151" s="179" t="s">
        <v>62</v>
      </c>
      <c r="E151" s="180" t="s">
        <v>35</v>
      </c>
      <c r="F151" s="179" t="s">
        <v>62</v>
      </c>
      <c r="G151" s="180" t="s">
        <v>35</v>
      </c>
      <c r="H151" s="179" t="s">
        <v>62</v>
      </c>
      <c r="I151" s="180" t="s">
        <v>35</v>
      </c>
      <c r="J151" s="179" t="s">
        <v>62</v>
      </c>
      <c r="K151" s="180" t="s">
        <v>35</v>
      </c>
      <c r="L151" s="179" t="s">
        <v>62</v>
      </c>
      <c r="M151" s="180" t="s">
        <v>35</v>
      </c>
    </row>
    <row r="152" spans="3:13" ht="24" customHeight="1" thickBot="1" x14ac:dyDescent="0.25">
      <c r="C152" s="181" t="s">
        <v>36</v>
      </c>
      <c r="D152" s="182">
        <v>1197223</v>
      </c>
      <c r="E152" s="183">
        <v>3.6667108272136373E-2</v>
      </c>
      <c r="F152" s="182">
        <v>151993</v>
      </c>
      <c r="G152" s="183">
        <v>7.4740318052933352E-2</v>
      </c>
      <c r="H152" s="182">
        <v>19396</v>
      </c>
      <c r="I152" s="183">
        <v>0.10424138912610315</v>
      </c>
      <c r="J152" s="182">
        <v>418120</v>
      </c>
      <c r="K152" s="183">
        <v>2.989534044528952E-2</v>
      </c>
      <c r="L152" s="182">
        <v>607714</v>
      </c>
      <c r="M152" s="183">
        <v>3.0187860438781744E-2</v>
      </c>
    </row>
    <row r="153" spans="3:13" ht="24" customHeight="1" thickBot="1" x14ac:dyDescent="0.25">
      <c r="C153" s="184" t="s">
        <v>37</v>
      </c>
      <c r="D153" s="185">
        <v>350114.799596528</v>
      </c>
      <c r="E153" s="186">
        <v>9.8661621965783874E-2</v>
      </c>
      <c r="F153" s="185" t="s">
        <v>38</v>
      </c>
      <c r="G153" s="186" t="s">
        <v>38</v>
      </c>
      <c r="H153" s="185" t="s">
        <v>38</v>
      </c>
      <c r="I153" s="186" t="s">
        <v>38</v>
      </c>
      <c r="J153" s="185" t="s">
        <v>38</v>
      </c>
      <c r="K153" s="186" t="s">
        <v>38</v>
      </c>
      <c r="L153" s="185" t="s">
        <v>38</v>
      </c>
      <c r="M153" s="186" t="s">
        <v>38</v>
      </c>
    </row>
    <row r="154" spans="3:13" ht="24" customHeight="1" thickBot="1" x14ac:dyDescent="0.25">
      <c r="C154" s="187" t="s">
        <v>39</v>
      </c>
      <c r="D154" s="188">
        <v>199795.48391418785</v>
      </c>
      <c r="E154" s="189">
        <v>3.4333628832591723E-2</v>
      </c>
      <c r="F154" s="188" t="s">
        <v>38</v>
      </c>
      <c r="G154" s="189" t="s">
        <v>38</v>
      </c>
      <c r="H154" s="188" t="s">
        <v>38</v>
      </c>
      <c r="I154" s="189" t="s">
        <v>38</v>
      </c>
      <c r="J154" s="188" t="s">
        <v>38</v>
      </c>
      <c r="K154" s="189" t="s">
        <v>38</v>
      </c>
      <c r="L154" s="188" t="s">
        <v>38</v>
      </c>
      <c r="M154" s="189" t="s">
        <v>38</v>
      </c>
    </row>
    <row r="155" spans="3:13" ht="24" customHeight="1" thickBot="1" x14ac:dyDescent="0.25">
      <c r="C155" s="187" t="s">
        <v>40</v>
      </c>
      <c r="D155" s="188">
        <v>647312.71648904984</v>
      </c>
      <c r="E155" s="189">
        <v>6.6451762089489996E-3</v>
      </c>
      <c r="F155" s="188" t="s">
        <v>38</v>
      </c>
      <c r="G155" s="189" t="s">
        <v>38</v>
      </c>
      <c r="H155" s="188" t="s">
        <v>38</v>
      </c>
      <c r="I155" s="189" t="s">
        <v>38</v>
      </c>
      <c r="J155" s="188" t="s">
        <v>38</v>
      </c>
      <c r="K155" s="189" t="s">
        <v>38</v>
      </c>
      <c r="L155" s="188" t="s">
        <v>38</v>
      </c>
      <c r="M155" s="189" t="s">
        <v>38</v>
      </c>
    </row>
    <row r="156" spans="3:13" ht="24" customHeight="1" thickBot="1" x14ac:dyDescent="0.25">
      <c r="C156" s="190" t="s">
        <v>41</v>
      </c>
      <c r="D156" s="191">
        <v>146148</v>
      </c>
      <c r="E156" s="189">
        <v>6.1242865649098865E-2</v>
      </c>
      <c r="F156" s="191">
        <v>1460</v>
      </c>
      <c r="G156" s="189">
        <v>6.7251461988304007E-2</v>
      </c>
      <c r="H156" s="191">
        <v>731</v>
      </c>
      <c r="I156" s="189">
        <v>0.15118110236220472</v>
      </c>
      <c r="J156" s="191">
        <v>7594</v>
      </c>
      <c r="K156" s="189">
        <v>0.2447139813145387</v>
      </c>
      <c r="L156" s="191">
        <v>136363</v>
      </c>
      <c r="M156" s="189">
        <v>5.21024612298433E-2</v>
      </c>
    </row>
    <row r="157" spans="3:13" ht="24" customHeight="1" thickBot="1" x14ac:dyDescent="0.25">
      <c r="C157" s="192" t="s">
        <v>42</v>
      </c>
      <c r="D157" s="188">
        <v>146061</v>
      </c>
      <c r="E157" s="189">
        <v>4.1707972869847953E-2</v>
      </c>
      <c r="F157" s="188">
        <v>1334</v>
      </c>
      <c r="G157" s="189">
        <v>-3.95968322534197E-2</v>
      </c>
      <c r="H157" s="188">
        <v>415</v>
      </c>
      <c r="I157" s="189">
        <v>0.12466124661246614</v>
      </c>
      <c r="J157" s="188">
        <v>4088</v>
      </c>
      <c r="K157" s="189">
        <v>8.8971763452317498E-2</v>
      </c>
      <c r="L157" s="188">
        <v>140224</v>
      </c>
      <c r="M157" s="189">
        <v>4.1001922777113675E-2</v>
      </c>
    </row>
    <row r="158" spans="3:13" ht="24" customHeight="1" thickBot="1" x14ac:dyDescent="0.25">
      <c r="C158" s="190" t="s">
        <v>43</v>
      </c>
      <c r="D158" s="191">
        <v>590615</v>
      </c>
      <c r="E158" s="189">
        <v>-3.4745658835546478E-2</v>
      </c>
      <c r="F158" s="191">
        <v>9412</v>
      </c>
      <c r="G158" s="189">
        <v>0.10612292866376771</v>
      </c>
      <c r="H158" s="191">
        <v>7545</v>
      </c>
      <c r="I158" s="189">
        <v>-2.650059626341239E-4</v>
      </c>
      <c r="J158" s="191">
        <v>206593</v>
      </c>
      <c r="K158" s="189">
        <v>-2.3570280744871885E-2</v>
      </c>
      <c r="L158" s="191">
        <v>367065</v>
      </c>
      <c r="M158" s="189">
        <v>-4.469613964225394E-2</v>
      </c>
    </row>
    <row r="159" spans="3:13" ht="24" customHeight="1" thickBot="1" x14ac:dyDescent="0.25">
      <c r="C159" s="192" t="s">
        <v>44</v>
      </c>
      <c r="D159" s="188">
        <v>168840</v>
      </c>
      <c r="E159" s="189">
        <v>1.0069717988669957E-4</v>
      </c>
      <c r="F159" s="188">
        <v>5928</v>
      </c>
      <c r="G159" s="189">
        <v>-9.606587374199449E-2</v>
      </c>
      <c r="H159" s="188">
        <v>2931</v>
      </c>
      <c r="I159" s="189">
        <v>0.33530751708428252</v>
      </c>
      <c r="J159" s="188">
        <v>29740</v>
      </c>
      <c r="K159" s="189">
        <v>-4.7832490235000358E-2</v>
      </c>
      <c r="L159" s="188">
        <v>130241</v>
      </c>
      <c r="M159" s="189">
        <v>1.0905337017603767E-2</v>
      </c>
    </row>
    <row r="160" spans="3:13" ht="24" customHeight="1" thickBot="1" x14ac:dyDescent="0.25">
      <c r="C160" s="190" t="s">
        <v>45</v>
      </c>
      <c r="D160" s="191">
        <v>1765216</v>
      </c>
      <c r="E160" s="189">
        <v>4.8096705222801628E-2</v>
      </c>
      <c r="F160" s="191">
        <v>9297</v>
      </c>
      <c r="G160" s="189">
        <v>9.3507410021171466E-2</v>
      </c>
      <c r="H160" s="191">
        <v>1406</v>
      </c>
      <c r="I160" s="189">
        <v>0.46764091858037582</v>
      </c>
      <c r="J160" s="191">
        <v>63469</v>
      </c>
      <c r="K160" s="189">
        <v>-3.4970882938770598E-2</v>
      </c>
      <c r="L160" s="191">
        <v>1691044</v>
      </c>
      <c r="M160" s="189">
        <v>5.1002435080069297E-2</v>
      </c>
    </row>
    <row r="161" spans="3:13" ht="24" customHeight="1" thickBot="1" x14ac:dyDescent="0.25">
      <c r="C161" s="192" t="s">
        <v>46</v>
      </c>
      <c r="D161" s="188">
        <v>79328</v>
      </c>
      <c r="E161" s="189">
        <v>9.0329319918632134E-2</v>
      </c>
      <c r="F161" s="188">
        <v>863</v>
      </c>
      <c r="G161" s="189">
        <v>9.7964376590330859E-2</v>
      </c>
      <c r="H161" s="188">
        <v>169</v>
      </c>
      <c r="I161" s="189">
        <v>0.625</v>
      </c>
      <c r="J161" s="188">
        <v>3589</v>
      </c>
      <c r="K161" s="189">
        <v>-1.1132758140829369E-3</v>
      </c>
      <c r="L161" s="188">
        <v>74707</v>
      </c>
      <c r="M161" s="189">
        <v>9.4239303970822919E-2</v>
      </c>
    </row>
    <row r="162" spans="3:13" ht="24" customHeight="1" thickBot="1" x14ac:dyDescent="0.25">
      <c r="C162" s="190" t="s">
        <v>47</v>
      </c>
      <c r="D162" s="191">
        <v>152449</v>
      </c>
      <c r="E162" s="189">
        <v>0.28445167160959817</v>
      </c>
      <c r="F162" s="191">
        <v>7189</v>
      </c>
      <c r="G162" s="189">
        <v>0.10447073283146402</v>
      </c>
      <c r="H162" s="191">
        <v>1391</v>
      </c>
      <c r="I162" s="189">
        <v>-5.9499661933739012E-2</v>
      </c>
      <c r="J162" s="191">
        <v>12543</v>
      </c>
      <c r="K162" s="189">
        <v>0.20954676952748308</v>
      </c>
      <c r="L162" s="191">
        <v>131326</v>
      </c>
      <c r="M162" s="189">
        <v>0.30894049636200549</v>
      </c>
    </row>
    <row r="163" spans="3:13" ht="24" customHeight="1" thickBot="1" x14ac:dyDescent="0.25">
      <c r="C163" s="192" t="s">
        <v>48</v>
      </c>
      <c r="D163" s="188">
        <v>434210</v>
      </c>
      <c r="E163" s="189">
        <v>-0.13459507077342536</v>
      </c>
      <c r="F163" s="188">
        <v>9183</v>
      </c>
      <c r="G163" s="189">
        <v>-3.802639849151479E-2</v>
      </c>
      <c r="H163" s="188">
        <v>406</v>
      </c>
      <c r="I163" s="189">
        <v>-0.13800424628450103</v>
      </c>
      <c r="J163" s="188">
        <v>48718</v>
      </c>
      <c r="K163" s="189">
        <v>-0.20407129670473301</v>
      </c>
      <c r="L163" s="188">
        <v>375903</v>
      </c>
      <c r="M163" s="189">
        <v>-0.12685475104293453</v>
      </c>
    </row>
    <row r="164" spans="3:13" ht="24" customHeight="1" thickBot="1" x14ac:dyDescent="0.25">
      <c r="C164" s="193" t="s">
        <v>49</v>
      </c>
      <c r="D164" s="191">
        <v>155985</v>
      </c>
      <c r="E164" s="189">
        <v>-0.13163168735734565</v>
      </c>
      <c r="F164" s="191">
        <v>3524</v>
      </c>
      <c r="G164" s="189">
        <v>-5.5227882037533482E-2</v>
      </c>
      <c r="H164" s="191">
        <v>123</v>
      </c>
      <c r="I164" s="189">
        <v>-0.27647058823529413</v>
      </c>
      <c r="J164" s="191">
        <v>11735</v>
      </c>
      <c r="K164" s="189">
        <v>-0.20202638378892968</v>
      </c>
      <c r="L164" s="191">
        <v>140603</v>
      </c>
      <c r="M164" s="189">
        <v>-0.12681960453100161</v>
      </c>
    </row>
    <row r="165" spans="3:13" ht="24" customHeight="1" thickBot="1" x14ac:dyDescent="0.25">
      <c r="C165" s="187" t="s">
        <v>50</v>
      </c>
      <c r="D165" s="188">
        <v>86324</v>
      </c>
      <c r="E165" s="189">
        <v>-0.26673179018899984</v>
      </c>
      <c r="F165" s="188">
        <v>2410</v>
      </c>
      <c r="G165" s="189">
        <v>-2.1121039805036546E-2</v>
      </c>
      <c r="H165" s="188">
        <v>69</v>
      </c>
      <c r="I165" s="189">
        <v>-0.12658227848101267</v>
      </c>
      <c r="J165" s="188">
        <v>5177</v>
      </c>
      <c r="K165" s="189">
        <v>-0.40425776754890674</v>
      </c>
      <c r="L165" s="188">
        <v>78668</v>
      </c>
      <c r="M165" s="189">
        <v>-0.26129171596521872</v>
      </c>
    </row>
    <row r="166" spans="3:13" ht="24" customHeight="1" thickBot="1" x14ac:dyDescent="0.25">
      <c r="C166" s="193" t="s">
        <v>51</v>
      </c>
      <c r="D166" s="191">
        <v>96011</v>
      </c>
      <c r="E166" s="189">
        <v>-7.4935212264393147E-4</v>
      </c>
      <c r="F166" s="191">
        <v>1324</v>
      </c>
      <c r="G166" s="189">
        <v>-4.953338119167261E-2</v>
      </c>
      <c r="H166" s="191">
        <v>157</v>
      </c>
      <c r="I166" s="189">
        <v>3.289473684210531E-2</v>
      </c>
      <c r="J166" s="191">
        <v>10514</v>
      </c>
      <c r="K166" s="189">
        <v>-2.3721415694089032E-3</v>
      </c>
      <c r="L166" s="191">
        <v>84016</v>
      </c>
      <c r="M166" s="189">
        <v>2.0238336170663729E-4</v>
      </c>
    </row>
    <row r="167" spans="3:13" ht="24" customHeight="1" thickBot="1" x14ac:dyDescent="0.25">
      <c r="C167" s="187" t="s">
        <v>52</v>
      </c>
      <c r="D167" s="188">
        <v>95890</v>
      </c>
      <c r="E167" s="189">
        <v>-0.11462180528881671</v>
      </c>
      <c r="F167" s="188">
        <v>1925</v>
      </c>
      <c r="G167" s="189">
        <v>-1.8357980622131564E-2</v>
      </c>
      <c r="H167" s="188">
        <v>57</v>
      </c>
      <c r="I167" s="189">
        <v>-0.18571428571428572</v>
      </c>
      <c r="J167" s="188">
        <v>21292</v>
      </c>
      <c r="K167" s="189">
        <v>-0.21932976461098486</v>
      </c>
      <c r="L167" s="188">
        <v>72616</v>
      </c>
      <c r="M167" s="189">
        <v>-8.0798491120140814E-2</v>
      </c>
    </row>
    <row r="168" spans="3:13" ht="24" customHeight="1" thickBot="1" x14ac:dyDescent="0.25">
      <c r="C168" s="190" t="s">
        <v>53</v>
      </c>
      <c r="D168" s="191">
        <v>52206</v>
      </c>
      <c r="E168" s="189">
        <v>-3.0673251884585362E-2</v>
      </c>
      <c r="F168" s="191">
        <v>1357</v>
      </c>
      <c r="G168" s="189">
        <v>3.1155015197568359E-2</v>
      </c>
      <c r="H168" s="191">
        <v>718</v>
      </c>
      <c r="I168" s="189">
        <v>0.11317829457364348</v>
      </c>
      <c r="J168" s="191">
        <v>6728</v>
      </c>
      <c r="K168" s="189">
        <v>3.9394407539008247E-2</v>
      </c>
      <c r="L168" s="191">
        <v>43403</v>
      </c>
      <c r="M168" s="189">
        <v>-4.4491898555829468E-2</v>
      </c>
    </row>
    <row r="169" spans="3:13" ht="24" customHeight="1" thickBot="1" x14ac:dyDescent="0.25">
      <c r="C169" s="192" t="s">
        <v>54</v>
      </c>
      <c r="D169" s="188">
        <v>33808</v>
      </c>
      <c r="E169" s="189">
        <v>-4.7151996843381005E-2</v>
      </c>
      <c r="F169" s="188">
        <v>731</v>
      </c>
      <c r="G169" s="189">
        <v>3.2485875706214751E-2</v>
      </c>
      <c r="H169" s="188">
        <v>299</v>
      </c>
      <c r="I169" s="189">
        <v>-0.10746268656716418</v>
      </c>
      <c r="J169" s="188">
        <v>6226</v>
      </c>
      <c r="K169" s="189">
        <v>-5.8948004836759327E-2</v>
      </c>
      <c r="L169" s="188">
        <v>26552</v>
      </c>
      <c r="M169" s="189">
        <v>-4.5647329451513174E-2</v>
      </c>
    </row>
    <row r="170" spans="3:13" ht="24" customHeight="1" thickBot="1" x14ac:dyDescent="0.25">
      <c r="C170" s="190" t="s">
        <v>55</v>
      </c>
      <c r="D170" s="191">
        <v>90162</v>
      </c>
      <c r="E170" s="189">
        <v>-0.47592115741198215</v>
      </c>
      <c r="F170" s="191">
        <v>1477</v>
      </c>
      <c r="G170" s="189">
        <v>-0.35445804195804198</v>
      </c>
      <c r="H170" s="191">
        <v>175</v>
      </c>
      <c r="I170" s="189">
        <v>-0.22222222222222221</v>
      </c>
      <c r="J170" s="191">
        <v>7548</v>
      </c>
      <c r="K170" s="189">
        <v>-0.34891745018545672</v>
      </c>
      <c r="L170" s="191">
        <v>80962</v>
      </c>
      <c r="M170" s="189">
        <v>-0.48736489524038673</v>
      </c>
    </row>
    <row r="171" spans="3:13" ht="24" customHeight="1" thickBot="1" x14ac:dyDescent="0.25">
      <c r="C171" s="192" t="s">
        <v>56</v>
      </c>
      <c r="D171" s="188">
        <v>115491</v>
      </c>
      <c r="E171" s="189">
        <v>0.10199232839067962</v>
      </c>
      <c r="F171" s="188">
        <v>1627</v>
      </c>
      <c r="G171" s="189">
        <v>-0.15917312661498706</v>
      </c>
      <c r="H171" s="188">
        <v>209</v>
      </c>
      <c r="I171" s="189">
        <v>-0.20229007633587781</v>
      </c>
      <c r="J171" s="188">
        <v>11822</v>
      </c>
      <c r="K171" s="189">
        <v>9.7474935016709896E-2</v>
      </c>
      <c r="L171" s="188">
        <v>101833</v>
      </c>
      <c r="M171" s="189">
        <v>0.10889331721712248</v>
      </c>
    </row>
    <row r="172" spans="3:13" ht="24" customHeight="1" thickBot="1" x14ac:dyDescent="0.25">
      <c r="C172" s="190" t="s">
        <v>57</v>
      </c>
      <c r="D172" s="191">
        <v>135208</v>
      </c>
      <c r="E172" s="189">
        <v>0.18101061274402763</v>
      </c>
      <c r="F172" s="191">
        <v>4339</v>
      </c>
      <c r="G172" s="189">
        <v>0.16639784946236569</v>
      </c>
      <c r="H172" s="191">
        <v>368</v>
      </c>
      <c r="I172" s="189">
        <v>0.10843373493975905</v>
      </c>
      <c r="J172" s="191">
        <v>22508</v>
      </c>
      <c r="K172" s="189">
        <v>0.14983397190293735</v>
      </c>
      <c r="L172" s="191">
        <v>107993</v>
      </c>
      <c r="M172" s="189">
        <v>0.18859098813533204</v>
      </c>
    </row>
    <row r="173" spans="3:13" ht="24" customHeight="1" thickBot="1" x14ac:dyDescent="0.25">
      <c r="C173" s="192" t="s">
        <v>58</v>
      </c>
      <c r="D173" s="188">
        <v>14861</v>
      </c>
      <c r="E173" s="189">
        <v>0.11753647164987213</v>
      </c>
      <c r="F173" s="188">
        <v>1581</v>
      </c>
      <c r="G173" s="189">
        <v>-2.2263450834879461E-2</v>
      </c>
      <c r="H173" s="188">
        <v>374</v>
      </c>
      <c r="I173" s="189">
        <v>-1.5789473684210575E-2</v>
      </c>
      <c r="J173" s="188">
        <v>1926</v>
      </c>
      <c r="K173" s="189">
        <v>-9.5349929544387035E-2</v>
      </c>
      <c r="L173" s="188">
        <v>10980</v>
      </c>
      <c r="M173" s="189">
        <v>0.1971216746620148</v>
      </c>
    </row>
    <row r="174" spans="3:13" ht="24" customHeight="1" thickBot="1" x14ac:dyDescent="0.25">
      <c r="C174" s="190" t="s">
        <v>59</v>
      </c>
      <c r="D174" s="191">
        <v>16780</v>
      </c>
      <c r="E174" s="189">
        <v>0.18964906061680264</v>
      </c>
      <c r="F174" s="191">
        <v>2927</v>
      </c>
      <c r="G174" s="189">
        <v>2.4501225061253074E-2</v>
      </c>
      <c r="H174" s="191">
        <v>351</v>
      </c>
      <c r="I174" s="189">
        <v>3.2352941176470695E-2</v>
      </c>
      <c r="J174" s="191">
        <v>3449</v>
      </c>
      <c r="K174" s="189">
        <v>-8.3381253594019267E-3</v>
      </c>
      <c r="L174" s="191">
        <v>10053</v>
      </c>
      <c r="M174" s="189">
        <v>0.35302826379542385</v>
      </c>
    </row>
    <row r="175" spans="3:13" ht="24" customHeight="1" thickBot="1" x14ac:dyDescent="0.25">
      <c r="C175" s="192" t="s">
        <v>60</v>
      </c>
      <c r="D175" s="194">
        <v>47701</v>
      </c>
      <c r="E175" s="195">
        <v>-3.6070807905266178E-2</v>
      </c>
      <c r="F175" s="194">
        <v>4585</v>
      </c>
      <c r="G175" s="195">
        <v>9.0228873239437402E-3</v>
      </c>
      <c r="H175" s="194">
        <v>429</v>
      </c>
      <c r="I175" s="195">
        <v>0.1785714285714286</v>
      </c>
      <c r="J175" s="194">
        <v>7508</v>
      </c>
      <c r="K175" s="195">
        <v>-7.4343484157317175E-2</v>
      </c>
      <c r="L175" s="194">
        <v>35179</v>
      </c>
      <c r="M175" s="195">
        <v>-3.5319604025557338E-2</v>
      </c>
    </row>
    <row r="176" spans="3:13" ht="30.75" customHeight="1" thickTop="1" thickBot="1" x14ac:dyDescent="0.25">
      <c r="C176" s="196" t="s">
        <v>61</v>
      </c>
      <c r="D176" s="197">
        <v>3989084</v>
      </c>
      <c r="E176" s="198">
        <v>-1.1248064391412571E-3</v>
      </c>
      <c r="F176" s="197">
        <v>63290</v>
      </c>
      <c r="G176" s="198">
        <v>1.8309949800489056E-2</v>
      </c>
      <c r="H176" s="197">
        <v>17917</v>
      </c>
      <c r="I176" s="198">
        <v>7.6678084249744538E-2</v>
      </c>
      <c r="J176" s="197">
        <v>444049</v>
      </c>
      <c r="K176" s="198">
        <v>-3.9597107862539116E-2</v>
      </c>
      <c r="L176" s="197">
        <v>3463828</v>
      </c>
      <c r="M176" s="198">
        <v>3.3026051825586489E-3</v>
      </c>
    </row>
    <row r="177" spans="3:18" ht="24" customHeight="1" thickBot="1" x14ac:dyDescent="0.25">
      <c r="C177" s="199" t="s">
        <v>8</v>
      </c>
      <c r="D177" s="200">
        <v>5186307</v>
      </c>
      <c r="E177" s="201">
        <v>7.3524998674359132E-3</v>
      </c>
      <c r="F177" s="200">
        <v>215283</v>
      </c>
      <c r="G177" s="201">
        <v>5.7511973474149602E-2</v>
      </c>
      <c r="H177" s="200">
        <v>37313</v>
      </c>
      <c r="I177" s="201">
        <v>9.0832017774659324E-2</v>
      </c>
      <c r="J177" s="200">
        <v>862169</v>
      </c>
      <c r="K177" s="201">
        <v>-7.106663288573567E-3</v>
      </c>
      <c r="L177" s="200">
        <v>4071542</v>
      </c>
      <c r="M177" s="201">
        <v>7.2260269567170354E-3</v>
      </c>
    </row>
    <row r="178" spans="3:18" ht="18" customHeight="1" x14ac:dyDescent="0.2">
      <c r="C178" s="4"/>
    </row>
    <row r="179" spans="3:18" ht="17.25" hidden="1" customHeight="1" x14ac:dyDescent="0.2">
      <c r="C179" s="157"/>
      <c r="D179" s="158"/>
      <c r="E179" s="158"/>
      <c r="F179" s="158"/>
      <c r="G179" s="158"/>
      <c r="H179" s="158"/>
      <c r="I179" s="158"/>
      <c r="J179" s="158"/>
      <c r="K179" s="158"/>
      <c r="L179" s="158"/>
      <c r="M179" s="159"/>
    </row>
    <row r="180" spans="3:18" ht="21.75" hidden="1" customHeight="1" x14ac:dyDescent="0.2">
      <c r="C180" s="160"/>
      <c r="D180" s="161"/>
      <c r="E180" s="203" t="str">
        <f>$E$1</f>
        <v>INDICADORES TURÍSTICOS DE TENERIFE definitivo</v>
      </c>
      <c r="F180" s="204"/>
      <c r="G180" s="204"/>
      <c r="H180" s="204"/>
      <c r="I180" s="204"/>
      <c r="J180" s="204"/>
      <c r="K180" s="205"/>
      <c r="L180" s="161"/>
      <c r="M180" s="163"/>
    </row>
    <row r="181" spans="3:18" s="1" customFormat="1" ht="21.75" hidden="1" customHeight="1" x14ac:dyDescent="0.2">
      <c r="C181" s="160"/>
      <c r="D181" s="161"/>
      <c r="E181" s="162"/>
      <c r="F181" s="162"/>
      <c r="G181" s="162"/>
      <c r="H181" s="162"/>
      <c r="I181" s="162"/>
      <c r="J181" s="162"/>
      <c r="K181" s="162"/>
      <c r="L181" s="161"/>
      <c r="M181" s="163"/>
    </row>
    <row r="182" spans="3:18" ht="33" hidden="1" customHeight="1" x14ac:dyDescent="0.2">
      <c r="C182" s="206" t="s">
        <v>29</v>
      </c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8"/>
    </row>
    <row r="183" spans="3:18" ht="20.100000000000001" hidden="1" customHeight="1" x14ac:dyDescent="0.2">
      <c r="C183" s="209">
        <f>E3</f>
        <v>0</v>
      </c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1"/>
    </row>
    <row r="184" spans="3:18" ht="17.25" hidden="1" customHeight="1" x14ac:dyDescent="0.2">
      <c r="C184" s="211"/>
      <c r="D184" s="212" t="s">
        <v>24</v>
      </c>
      <c r="E184" s="213"/>
      <c r="F184" s="212" t="s">
        <v>23</v>
      </c>
      <c r="G184" s="213"/>
      <c r="H184" s="212" t="s">
        <v>22</v>
      </c>
      <c r="I184" s="213"/>
      <c r="J184" s="212" t="s">
        <v>21</v>
      </c>
      <c r="K184" s="213"/>
      <c r="L184" s="212" t="s">
        <v>20</v>
      </c>
      <c r="M184" s="213"/>
      <c r="N184" s="212" t="s">
        <v>63</v>
      </c>
      <c r="O184" s="213"/>
      <c r="P184" s="212" t="s">
        <v>64</v>
      </c>
      <c r="Q184" s="213"/>
    </row>
    <row r="185" spans="3:18" ht="28.5" hidden="1" customHeight="1" x14ac:dyDescent="0.2">
      <c r="C185" s="211"/>
      <c r="D185" s="214" t="s">
        <v>35</v>
      </c>
      <c r="E185" s="214" t="s">
        <v>34</v>
      </c>
      <c r="F185" s="214" t="s">
        <v>35</v>
      </c>
      <c r="G185" s="214" t="s">
        <v>34</v>
      </c>
      <c r="H185" s="214" t="s">
        <v>35</v>
      </c>
      <c r="I185" s="214" t="s">
        <v>34</v>
      </c>
      <c r="J185" s="214" t="s">
        <v>35</v>
      </c>
      <c r="K185" s="214" t="s">
        <v>34</v>
      </c>
      <c r="L185" s="214" t="s">
        <v>35</v>
      </c>
      <c r="M185" s="214" t="s">
        <v>34</v>
      </c>
      <c r="N185" s="214" t="s">
        <v>35</v>
      </c>
      <c r="O185" s="214" t="s">
        <v>34</v>
      </c>
      <c r="P185" s="214" t="s">
        <v>35</v>
      </c>
      <c r="Q185" s="214" t="s">
        <v>34</v>
      </c>
    </row>
    <row r="186" spans="3:18" ht="24" hidden="1" customHeight="1" x14ac:dyDescent="0.2">
      <c r="C186" s="215" t="s">
        <v>36</v>
      </c>
      <c r="D186" s="216" t="e">
        <f>VLOOKUP("españa",#REF!,6,FALSE)/VLOOKUP("españa",#REF!,6,FALSE)-1</f>
        <v>#REF!</v>
      </c>
      <c r="E186" s="217" t="e">
        <f>VLOOKUP("españa",#REF!,6,FALSE)</f>
        <v>#REF!</v>
      </c>
      <c r="F186" s="216" t="e">
        <f>VLOOKUP("españa",#REF!,5,FALSE)/VLOOKUP("españa",#REF!,5,FALSE)-1</f>
        <v>#REF!</v>
      </c>
      <c r="G186" s="217" t="e">
        <f>VLOOKUP("españa",#REF!,5,FALSE)</f>
        <v>#REF!</v>
      </c>
      <c r="H186" s="216" t="e">
        <f>VLOOKUP("españa",#REF!,4,FALSE)/VLOOKUP("españa",#REF!,4,FALSE)-1</f>
        <v>#REF!</v>
      </c>
      <c r="I186" s="217" t="e">
        <f>VLOOKUP("españa",#REF!,4,FALSE)</f>
        <v>#REF!</v>
      </c>
      <c r="J186" s="216" t="e">
        <f>VLOOKUP("españa",#REF!,3,FALSE)/VLOOKUP("españa",#REF!,3,FALSE)-1</f>
        <v>#REF!</v>
      </c>
      <c r="K186" s="217" t="e">
        <f>VLOOKUP("españa",#REF!,3,FALSE)</f>
        <v>#REF!</v>
      </c>
      <c r="L186" s="216" t="e">
        <f>VLOOKUP("españa",#REF!,2,FALSE)/VLOOKUP("españa",#REF!,2,FALSE)-1</f>
        <v>#REF!</v>
      </c>
      <c r="M186" s="217" t="e">
        <f>VLOOKUP("españa",#REF!,2,FALSE)</f>
        <v>#REF!</v>
      </c>
      <c r="N186" s="216" t="e">
        <f>VLOOKUP("españa",#REF!,7,FALSE)/VLOOKUP("españa",#REF!,7,FALSE)-1</f>
        <v>#REF!</v>
      </c>
      <c r="O186" s="217" t="e">
        <f>VLOOKUP("españa",#REF!,7,FALSE)</f>
        <v>#REF!</v>
      </c>
      <c r="P186" s="216" t="e">
        <f>VLOOKUP("españa",#REF!,8,FALSE)/VLOOKUP("españa",#REF!,8,FALSE)-1</f>
        <v>#REF!</v>
      </c>
      <c r="Q186" s="217" t="e">
        <f>VLOOKUP("españa",#REF!,8,FALSE)</f>
        <v>#REF!</v>
      </c>
    </row>
    <row r="187" spans="3:18" ht="24" hidden="1" customHeight="1" x14ac:dyDescent="0.2">
      <c r="C187" s="215" t="s">
        <v>41</v>
      </c>
      <c r="D187" s="216" t="e">
        <f>VLOOKUP("holanda",#REF!,6,FALSE)/VLOOKUP("holanda",#REF!,6,FALSE)-1</f>
        <v>#REF!</v>
      </c>
      <c r="E187" s="217" t="e">
        <f>VLOOKUP("holanda",#REF!,6,FALSE)</f>
        <v>#REF!</v>
      </c>
      <c r="F187" s="216" t="e">
        <f>VLOOKUP("holanda",#REF!,5,FALSE)/VLOOKUP("holanda",#REF!,5,FALSE)-1</f>
        <v>#REF!</v>
      </c>
      <c r="G187" s="217" t="e">
        <f>VLOOKUP("holanda",#REF!,5,FALSE)</f>
        <v>#REF!</v>
      </c>
      <c r="H187" s="216" t="e">
        <f>VLOOKUP("holanda",#REF!,4,FALSE)/VLOOKUP("holanda",#REF!,4,FALSE)-1</f>
        <v>#REF!</v>
      </c>
      <c r="I187" s="217" t="e">
        <f>VLOOKUP("holanda",#REF!,4,FALSE)</f>
        <v>#REF!</v>
      </c>
      <c r="J187" s="216" t="e">
        <f>VLOOKUP("holanda",#REF!,3,FALSE)/VLOOKUP("holanda",#REF!,3,FALSE)-1</f>
        <v>#REF!</v>
      </c>
      <c r="K187" s="217" t="e">
        <f>VLOOKUP("holanda",#REF!,3,FALSE)</f>
        <v>#REF!</v>
      </c>
      <c r="L187" s="216" t="e">
        <f>VLOOKUP("holanda",#REF!,2,FALSE)/VLOOKUP("holanda",#REF!,2,FALSE)-1</f>
        <v>#REF!</v>
      </c>
      <c r="M187" s="217" t="e">
        <f>VLOOKUP("holanda",#REF!,2,FALSE)</f>
        <v>#REF!</v>
      </c>
      <c r="N187" s="216" t="e">
        <f>VLOOKUP("holanda",#REF!,7,FALSE)/VLOOKUP("holanda",#REF!,7,FALSE)-1</f>
        <v>#REF!</v>
      </c>
      <c r="O187" s="217" t="e">
        <f>VLOOKUP("holanda",#REF!,7,FALSE)</f>
        <v>#REF!</v>
      </c>
      <c r="P187" s="216" t="e">
        <f>VLOOKUP("holanda",#REF!,8,FALSE)/VLOOKUP("holanda",#REF!,8,FALSE)-1</f>
        <v>#REF!</v>
      </c>
      <c r="Q187" s="217" t="e">
        <f>VLOOKUP("holanda",#REF!,8,FALSE)</f>
        <v>#REF!</v>
      </c>
    </row>
    <row r="188" spans="3:18" ht="24" hidden="1" customHeight="1" x14ac:dyDescent="0.2">
      <c r="C188" s="215" t="s">
        <v>42</v>
      </c>
      <c r="D188" s="216" t="e">
        <f>VLOOKUP("belgica",#REF!,6,FALSE)/VLOOKUP("belgica",#REF!,6,FALSE)-1</f>
        <v>#REF!</v>
      </c>
      <c r="E188" s="217" t="e">
        <f>VLOOKUP("belgica",#REF!,6,FALSE)</f>
        <v>#REF!</v>
      </c>
      <c r="F188" s="216" t="e">
        <f>VLOOKUP("belgica",#REF!,5,FALSE)/VLOOKUP("belgica",#REF!,5,FALSE)-1</f>
        <v>#REF!</v>
      </c>
      <c r="G188" s="217" t="e">
        <f>VLOOKUP("belgica",#REF!,5,FALSE)</f>
        <v>#REF!</v>
      </c>
      <c r="H188" s="216" t="e">
        <f>VLOOKUP("belgica",#REF!,4,FALSE)/VLOOKUP("belgica",#REF!,4,FALSE)-1</f>
        <v>#REF!</v>
      </c>
      <c r="I188" s="217" t="e">
        <f>VLOOKUP("belgica",#REF!,4,FALSE)</f>
        <v>#REF!</v>
      </c>
      <c r="J188" s="216" t="e">
        <f>VLOOKUP("belgica",#REF!,3,FALSE)/VLOOKUP("belgica",#REF!,3,FALSE)-1</f>
        <v>#REF!</v>
      </c>
      <c r="K188" s="217" t="e">
        <f>VLOOKUP("belgica",#REF!,3,FALSE)</f>
        <v>#REF!</v>
      </c>
      <c r="L188" s="216" t="e">
        <f>VLOOKUP("belgica",#REF!,2,FALSE)/VLOOKUP("belgica",#REF!,2,FALSE)-1</f>
        <v>#REF!</v>
      </c>
      <c r="M188" s="217" t="e">
        <f>VLOOKUP("belgica",#REF!,2,FALSE)</f>
        <v>#REF!</v>
      </c>
      <c r="N188" s="216" t="e">
        <f>VLOOKUP("belgica",#REF!,7,FALSE)/VLOOKUP("belgica",#REF!,7,FALSE)-1</f>
        <v>#REF!</v>
      </c>
      <c r="O188" s="217" t="e">
        <f>VLOOKUP("belgica",#REF!,7,FALSE)</f>
        <v>#REF!</v>
      </c>
      <c r="P188" s="216" t="e">
        <f>VLOOKUP("belgica",#REF!,8,FALSE)/VLOOKUP("belgica",#REF!,8,FALSE)-1</f>
        <v>#REF!</v>
      </c>
      <c r="Q188" s="217" t="e">
        <f>VLOOKUP("belgica",#REF!,8,FALSE)</f>
        <v>#REF!</v>
      </c>
    </row>
    <row r="189" spans="3:18" ht="24" hidden="1" customHeight="1" x14ac:dyDescent="0.2">
      <c r="C189" s="215" t="s">
        <v>43</v>
      </c>
      <c r="D189" s="216" t="e">
        <f>VLOOKUP("alemania",#REF!,6,FALSE)/VLOOKUP("alemania",#REF!,6,FALSE)-1</f>
        <v>#REF!</v>
      </c>
      <c r="E189" s="217" t="e">
        <f>VLOOKUP("alemania",#REF!,6,FALSE)</f>
        <v>#REF!</v>
      </c>
      <c r="F189" s="216" t="e">
        <f>VLOOKUP("alemania",#REF!,5,FALSE)/VLOOKUP("alemania",#REF!,5,FALSE)-1</f>
        <v>#REF!</v>
      </c>
      <c r="G189" s="217" t="e">
        <f>VLOOKUP("alemania",#REF!,5,FALSE)</f>
        <v>#REF!</v>
      </c>
      <c r="H189" s="216" t="e">
        <f>VLOOKUP("alemania",#REF!,4,FALSE)/VLOOKUP("alemania",#REF!,4,FALSE)-1</f>
        <v>#REF!</v>
      </c>
      <c r="I189" s="217" t="e">
        <f>VLOOKUP("alemania",#REF!,4,FALSE)</f>
        <v>#REF!</v>
      </c>
      <c r="J189" s="216" t="e">
        <f>VLOOKUP("alemania",#REF!,3,FALSE)/VLOOKUP("alemania",#REF!,3,FALSE)-1</f>
        <v>#REF!</v>
      </c>
      <c r="K189" s="217" t="e">
        <f>VLOOKUP("alemania",#REF!,3,FALSE)</f>
        <v>#REF!</v>
      </c>
      <c r="L189" s="216" t="e">
        <f>VLOOKUP("alemania",#REF!,2,FALSE)/VLOOKUP("alemania",#REF!,2,FALSE)-1</f>
        <v>#REF!</v>
      </c>
      <c r="M189" s="217" t="e">
        <f>VLOOKUP("alemania",#REF!,2,FALSE)</f>
        <v>#REF!</v>
      </c>
      <c r="N189" s="216" t="e">
        <f>VLOOKUP("alemania",#REF!,7,FALSE)/VLOOKUP("alemania",#REF!,7,FALSE)-1</f>
        <v>#REF!</v>
      </c>
      <c r="O189" s="217" t="e">
        <f>VLOOKUP("alemania",#REF!,7,FALSE)</f>
        <v>#REF!</v>
      </c>
      <c r="P189" s="216" t="e">
        <f>VLOOKUP("alemania",#REF!,8,FALSE)/VLOOKUP("alemania",#REF!,8,FALSE)-1</f>
        <v>#REF!</v>
      </c>
      <c r="Q189" s="217" t="e">
        <f>VLOOKUP("alemania",#REF!,8,FALSE)</f>
        <v>#REF!</v>
      </c>
    </row>
    <row r="190" spans="3:18" ht="24" hidden="1" customHeight="1" x14ac:dyDescent="0.2">
      <c r="C190" s="215" t="s">
        <v>44</v>
      </c>
      <c r="D190" s="216" t="e">
        <f>VLOOKUP("francia",#REF!,6,FALSE)/VLOOKUP("francia",#REF!,6,FALSE)-1</f>
        <v>#REF!</v>
      </c>
      <c r="E190" s="217" t="e">
        <f>VLOOKUP("francia",#REF!,6,FALSE)</f>
        <v>#REF!</v>
      </c>
      <c r="F190" s="216" t="e">
        <f>VLOOKUP("francia",#REF!,5,FALSE)/VLOOKUP("francia",#REF!,5,FALSE)-1</f>
        <v>#REF!</v>
      </c>
      <c r="G190" s="217" t="e">
        <f>VLOOKUP("francia",#REF!,5,FALSE)</f>
        <v>#REF!</v>
      </c>
      <c r="H190" s="216" t="e">
        <f>VLOOKUP("francia",#REF!,4,FALSE)/VLOOKUP("francia",#REF!,4,FALSE)-1</f>
        <v>#REF!</v>
      </c>
      <c r="I190" s="217" t="e">
        <f>VLOOKUP("francia",#REF!,4,FALSE)</f>
        <v>#REF!</v>
      </c>
      <c r="J190" s="216" t="e">
        <f>VLOOKUP("francia",#REF!,3,FALSE)/VLOOKUP("francia",#REF!,3,FALSE)-1</f>
        <v>#REF!</v>
      </c>
      <c r="K190" s="217" t="e">
        <f>VLOOKUP("francia",#REF!,3,FALSE)</f>
        <v>#REF!</v>
      </c>
      <c r="L190" s="216" t="e">
        <f>VLOOKUP("francia",#REF!,2,FALSE)/VLOOKUP("francia",#REF!,2,FALSE)-1</f>
        <v>#REF!</v>
      </c>
      <c r="M190" s="217" t="e">
        <f>VLOOKUP("francia",#REF!,2,FALSE)</f>
        <v>#REF!</v>
      </c>
      <c r="N190" s="216" t="e">
        <f>VLOOKUP("francia",#REF!,7,FALSE)/VLOOKUP("francia",#REF!,7,FALSE)-1</f>
        <v>#REF!</v>
      </c>
      <c r="O190" s="217" t="e">
        <f>VLOOKUP("francia",#REF!,7,FALSE)</f>
        <v>#REF!</v>
      </c>
      <c r="P190" s="216" t="e">
        <f>VLOOKUP("francia",#REF!,8,FALSE)/VLOOKUP("francia",#REF!,8,FALSE)-1</f>
        <v>#REF!</v>
      </c>
      <c r="Q190" s="217" t="e">
        <f>VLOOKUP("francia",#REF!,8,FALSE)</f>
        <v>#REF!</v>
      </c>
    </row>
    <row r="191" spans="3:18" ht="24" hidden="1" customHeight="1" x14ac:dyDescent="0.2">
      <c r="C191" s="215" t="s">
        <v>45</v>
      </c>
      <c r="D191" s="216" t="e">
        <f>VLOOKUP("reino unido",#REF!,6,FALSE)/VLOOKUP("reino unido",#REF!,6,FALSE)-1</f>
        <v>#REF!</v>
      </c>
      <c r="E191" s="217" t="e">
        <f>VLOOKUP("reino unido",#REF!,6,FALSE)</f>
        <v>#REF!</v>
      </c>
      <c r="F191" s="216" t="e">
        <f>VLOOKUP("reino unido",#REF!,5,FALSE)/VLOOKUP("reino unido",#REF!,5,FALSE)-1</f>
        <v>#REF!</v>
      </c>
      <c r="G191" s="217" t="e">
        <f>VLOOKUP("reino unido",#REF!,5,FALSE)</f>
        <v>#REF!</v>
      </c>
      <c r="H191" s="216" t="e">
        <f>VLOOKUP("reino unido",#REF!,4,FALSE)/VLOOKUP("reino unido",#REF!,4,FALSE)-1</f>
        <v>#REF!</v>
      </c>
      <c r="I191" s="217" t="e">
        <f>VLOOKUP("reino unido",#REF!,4,FALSE)</f>
        <v>#REF!</v>
      </c>
      <c r="J191" s="216" t="e">
        <f>VLOOKUP("reino unido",#REF!,3,FALSE)/VLOOKUP("reino unido",#REF!,3,FALSE)-1</f>
        <v>#REF!</v>
      </c>
      <c r="K191" s="217" t="e">
        <f>VLOOKUP("reino unido",#REF!,3,FALSE)</f>
        <v>#REF!</v>
      </c>
      <c r="L191" s="216" t="e">
        <f>VLOOKUP("reino unido",#REF!,2,FALSE)/VLOOKUP("reino unido",#REF!,2,FALSE)-1</f>
        <v>#REF!</v>
      </c>
      <c r="M191" s="217" t="e">
        <f>VLOOKUP("reino unido",#REF!,2,FALSE)</f>
        <v>#REF!</v>
      </c>
      <c r="N191" s="216" t="e">
        <f>VLOOKUP("reino unido",#REF!,7,FALSE)/VLOOKUP("reino unido",#REF!,7,FALSE)-1</f>
        <v>#REF!</v>
      </c>
      <c r="O191" s="217" t="e">
        <f>VLOOKUP("reino unido",#REF!,7,FALSE)</f>
        <v>#REF!</v>
      </c>
      <c r="P191" s="216" t="e">
        <f>VLOOKUP("reino unido",#REF!,8,FALSE)/VLOOKUP("reino unido",#REF!,8,FALSE)-1</f>
        <v>#REF!</v>
      </c>
      <c r="Q191" s="217" t="e">
        <f>VLOOKUP("reino unido",#REF!,8,FALSE)</f>
        <v>#REF!</v>
      </c>
    </row>
    <row r="192" spans="3:18" ht="24" hidden="1" customHeight="1" x14ac:dyDescent="0.2">
      <c r="C192" s="215" t="s">
        <v>46</v>
      </c>
      <c r="D192" s="216" t="e">
        <f>VLOOKUP("irlanda",#REF!,6,FALSE)/VLOOKUP("irlanda",#REF!,6,FALSE)-1</f>
        <v>#REF!</v>
      </c>
      <c r="E192" s="217" t="e">
        <f>VLOOKUP("irlanda",#REF!,6,FALSE)</f>
        <v>#REF!</v>
      </c>
      <c r="F192" s="216" t="e">
        <f>VLOOKUP("irlanda",#REF!,5,FALSE)/VLOOKUP("irlanda",#REF!,5,FALSE)-1</f>
        <v>#REF!</v>
      </c>
      <c r="G192" s="217" t="e">
        <f>VLOOKUP("irlanda",#REF!,5,FALSE)</f>
        <v>#REF!</v>
      </c>
      <c r="H192" s="216" t="e">
        <f>VLOOKUP("irlanda",#REF!,4,FALSE)/VLOOKUP("irlanda",#REF!,4,FALSE)-1</f>
        <v>#REF!</v>
      </c>
      <c r="I192" s="217" t="e">
        <f>VLOOKUP("irlanda",#REF!,4,FALSE)</f>
        <v>#REF!</v>
      </c>
      <c r="J192" s="216" t="e">
        <f>VLOOKUP("irlanda",#REF!,3,FALSE)/VLOOKUP("irlanda",#REF!,3,FALSE)-1</f>
        <v>#REF!</v>
      </c>
      <c r="K192" s="217" t="e">
        <f>VLOOKUP("irlanda",#REF!,3,FALSE)</f>
        <v>#REF!</v>
      </c>
      <c r="L192" s="216" t="e">
        <f>VLOOKUP("irlanda",#REF!,2,FALSE)/VLOOKUP("irlanda",#REF!,2,FALSE)-1</f>
        <v>#REF!</v>
      </c>
      <c r="M192" s="217" t="e">
        <f>VLOOKUP("irlanda",#REF!,2,FALSE)</f>
        <v>#REF!</v>
      </c>
      <c r="N192" s="216" t="e">
        <f>VLOOKUP("irlanda",#REF!,7,FALSE)/VLOOKUP("irlanda",#REF!,7,FALSE)-1</f>
        <v>#REF!</v>
      </c>
      <c r="O192" s="217" t="e">
        <f>VLOOKUP("irlanda",#REF!,7,FALSE)</f>
        <v>#REF!</v>
      </c>
      <c r="P192" s="216" t="e">
        <f>VLOOKUP("irlanda",#REF!,8,FALSE)/VLOOKUP("irlanda",#REF!,8,FALSE)-1</f>
        <v>#REF!</v>
      </c>
      <c r="Q192" s="217" t="e">
        <f>VLOOKUP("irlanda",#REF!,8,FALSE)</f>
        <v>#REF!</v>
      </c>
    </row>
    <row r="193" spans="3:17" ht="24" hidden="1" customHeight="1" x14ac:dyDescent="0.2">
      <c r="C193" s="215" t="s">
        <v>47</v>
      </c>
      <c r="D193" s="216" t="e">
        <f>VLOOKUP("italia",#REF!,6,FALSE)/VLOOKUP("italia",#REF!,6,FALSE)-1</f>
        <v>#REF!</v>
      </c>
      <c r="E193" s="217" t="e">
        <f>VLOOKUP("italia",#REF!,6,FALSE)</f>
        <v>#REF!</v>
      </c>
      <c r="F193" s="216" t="e">
        <f>VLOOKUP("italia",#REF!,5,FALSE)/VLOOKUP("italia",#REF!,5,FALSE)-1</f>
        <v>#REF!</v>
      </c>
      <c r="G193" s="217" t="e">
        <f>VLOOKUP("italia",#REF!,5,FALSE)</f>
        <v>#REF!</v>
      </c>
      <c r="H193" s="216" t="e">
        <f>VLOOKUP("italia",#REF!,4,FALSE)/VLOOKUP("italia",#REF!,4,FALSE)-1</f>
        <v>#REF!</v>
      </c>
      <c r="I193" s="217" t="e">
        <f>VLOOKUP("italia",#REF!,4,FALSE)</f>
        <v>#REF!</v>
      </c>
      <c r="J193" s="216" t="e">
        <f>VLOOKUP("italia",#REF!,3,FALSE)/VLOOKUP("italia",#REF!,3,FALSE)-1</f>
        <v>#REF!</v>
      </c>
      <c r="K193" s="217" t="e">
        <f>VLOOKUP("italia",#REF!,3,FALSE)</f>
        <v>#REF!</v>
      </c>
      <c r="L193" s="216" t="e">
        <f>VLOOKUP("italia",#REF!,2,FALSE)/VLOOKUP("italia",#REF!,2,FALSE)-1</f>
        <v>#REF!</v>
      </c>
      <c r="M193" s="217" t="e">
        <f>VLOOKUP("italia",#REF!,2,FALSE)</f>
        <v>#REF!</v>
      </c>
      <c r="N193" s="216" t="e">
        <f>VLOOKUP("italia",#REF!,7,FALSE)/VLOOKUP("italia",#REF!,7,FALSE)-1</f>
        <v>#REF!</v>
      </c>
      <c r="O193" s="217" t="e">
        <f>VLOOKUP("italia",#REF!,7,FALSE)</f>
        <v>#REF!</v>
      </c>
      <c r="P193" s="216" t="e">
        <f>VLOOKUP("italia",#REF!,8,FALSE)/VLOOKUP("italia",#REF!,8,FALSE)-1</f>
        <v>#REF!</v>
      </c>
      <c r="Q193" s="217" t="e">
        <f>VLOOKUP("italia",#REF!,8,FALSE)</f>
        <v>#REF!</v>
      </c>
    </row>
    <row r="194" spans="3:17" ht="24" hidden="1" customHeight="1" x14ac:dyDescent="0.2">
      <c r="C194" s="215" t="s">
        <v>48</v>
      </c>
      <c r="D194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4" s="217" t="e">
        <f>(VLOOKUP("suecia",#REF!,6,FALSE)+VLOOKUP("noruega",#REF!,6,FALSE)+VLOOKUP("dinamarca",#REF!,6,FALSE)+VLOOKUP("finlandia",#REF!,6,FALSE))</f>
        <v>#REF!</v>
      </c>
      <c r="F194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4" s="217" t="e">
        <f>(VLOOKUP("suecia",#REF!,5,FALSE)+VLOOKUP("noruega",#REF!,5,FALSE)+VLOOKUP("dinamarca",#REF!,5,FALSE)+VLOOKUP("finlandia",#REF!,5,FALSE))</f>
        <v>#REF!</v>
      </c>
      <c r="H194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4" s="217" t="e">
        <f>(VLOOKUP("suecia",#REF!,4,FALSE)+VLOOKUP("noruega",#REF!,4,FALSE)+VLOOKUP("dinamarca",#REF!,4,FALSE)+VLOOKUP("finlandia",#REF!,4,FALSE))</f>
        <v>#REF!</v>
      </c>
      <c r="J194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4" s="217" t="e">
        <f>(VLOOKUP("suecia",#REF!,3,FALSE)+VLOOKUP("noruega",#REF!,3,FALSE)+VLOOKUP("dinamarca",#REF!,3,FALSE)+VLOOKUP("finlandia",#REF!,3,FALSE))</f>
        <v>#REF!</v>
      </c>
      <c r="L194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4" s="217" t="e">
        <f>(VLOOKUP("suecia",#REF!,2,FALSE)+VLOOKUP("noruega",#REF!,2,FALSE)+VLOOKUP("dinamarca",#REF!,2,FALSE)+VLOOKUP("finlandia",#REF!,2,FALSE))</f>
        <v>#REF!</v>
      </c>
      <c r="N194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4" s="217" t="e">
        <f>(VLOOKUP("suecia",#REF!,7,FALSE)+VLOOKUP("noruega",#REF!,7,FALSE)+VLOOKUP("dinamarca",#REF!,7,FALSE)+VLOOKUP("finlandia",#REF!,7,FALSE))</f>
        <v>#REF!</v>
      </c>
      <c r="P194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4" s="217" t="e">
        <f>(VLOOKUP("suecia",#REF!,8,FALSE)+VLOOKUP("noruega",#REF!,8,FALSE)+VLOOKUP("dinamarca",#REF!,8,FALSE)+VLOOKUP("finlandia",#REF!,8,FALSE))</f>
        <v>#REF!</v>
      </c>
    </row>
    <row r="195" spans="3:17" ht="24" hidden="1" customHeight="1" x14ac:dyDescent="0.2">
      <c r="C195" s="218" t="s">
        <v>49</v>
      </c>
      <c r="D195" s="216" t="e">
        <f>VLOOKUP("suecia",#REF!,6,FALSE)/VLOOKUP("suecia",#REF!,6,FALSE)-1</f>
        <v>#REF!</v>
      </c>
      <c r="E195" s="217" t="e">
        <f>VLOOKUP("suecia",#REF!,6,FALSE)</f>
        <v>#REF!</v>
      </c>
      <c r="F195" s="216" t="e">
        <f>VLOOKUP("suecia",#REF!,5,FALSE)/VLOOKUP("suecia",#REF!,5,FALSE)-1</f>
        <v>#REF!</v>
      </c>
      <c r="G195" s="217" t="e">
        <f>VLOOKUP("suecia",#REF!,5,FALSE)</f>
        <v>#REF!</v>
      </c>
      <c r="H195" s="216" t="e">
        <f>VLOOKUP("suecia",#REF!,4,FALSE)/VLOOKUP("suecia",#REF!,4,FALSE)-1</f>
        <v>#REF!</v>
      </c>
      <c r="I195" s="217" t="e">
        <f>VLOOKUP("suecia",#REF!,4,FALSE)</f>
        <v>#REF!</v>
      </c>
      <c r="J195" s="216" t="e">
        <f>VLOOKUP("suecia",#REF!,3,FALSE)/VLOOKUP("suecia",#REF!,3,FALSE)-1</f>
        <v>#REF!</v>
      </c>
      <c r="K195" s="217" t="e">
        <f>VLOOKUP("suecia",#REF!,3,FALSE)</f>
        <v>#REF!</v>
      </c>
      <c r="L195" s="216" t="e">
        <f>VLOOKUP("suecia",#REF!,2,FALSE)/VLOOKUP("suecia",#REF!,2,FALSE)-1</f>
        <v>#REF!</v>
      </c>
      <c r="M195" s="217" t="e">
        <f>VLOOKUP("suecia",#REF!,2,FALSE)</f>
        <v>#REF!</v>
      </c>
      <c r="N195" s="216" t="e">
        <f>VLOOKUP("suecia",#REF!,7,FALSE)/VLOOKUP("suecia",#REF!,7,FALSE)-1</f>
        <v>#REF!</v>
      </c>
      <c r="O195" s="217" t="e">
        <f>VLOOKUP("suecia",#REF!,7,FALSE)</f>
        <v>#REF!</v>
      </c>
      <c r="P195" s="216" t="e">
        <f>VLOOKUP("suecia",#REF!,8,FALSE)/VLOOKUP("suecia",#REF!,8,FALSE)-1</f>
        <v>#REF!</v>
      </c>
      <c r="Q195" s="217" t="e">
        <f>VLOOKUP("suecia",#REF!,8,FALSE)</f>
        <v>#REF!</v>
      </c>
    </row>
    <row r="196" spans="3:17" ht="24" hidden="1" customHeight="1" x14ac:dyDescent="0.2">
      <c r="C196" s="218" t="s">
        <v>50</v>
      </c>
      <c r="D196" s="216" t="e">
        <f>VLOOKUP("noruega",#REF!,6,FALSE)/VLOOKUP("noruega",#REF!,6,FALSE)-1</f>
        <v>#REF!</v>
      </c>
      <c r="E196" s="217" t="e">
        <f>VLOOKUP("noruega",#REF!,6,FALSE)</f>
        <v>#REF!</v>
      </c>
      <c r="F196" s="216" t="e">
        <f>VLOOKUP("noruega",#REF!,5,FALSE)/VLOOKUP("noruega",#REF!,5,FALSE)-1</f>
        <v>#REF!</v>
      </c>
      <c r="G196" s="217" t="e">
        <f>VLOOKUP("noruega",#REF!,5,FALSE)</f>
        <v>#REF!</v>
      </c>
      <c r="H196" s="216" t="e">
        <f>VLOOKUP("noruega",#REF!,4,FALSE)/VLOOKUP("noruega",#REF!,4,FALSE)-1</f>
        <v>#REF!</v>
      </c>
      <c r="I196" s="217" t="e">
        <f>VLOOKUP("noruega",#REF!,4,FALSE)</f>
        <v>#REF!</v>
      </c>
      <c r="J196" s="216" t="e">
        <f>VLOOKUP("noruega",#REF!,3,FALSE)/VLOOKUP("noruega",#REF!,3,FALSE)-1</f>
        <v>#REF!</v>
      </c>
      <c r="K196" s="217" t="e">
        <f>VLOOKUP("noruega",#REF!,3,FALSE)</f>
        <v>#REF!</v>
      </c>
      <c r="L196" s="216" t="e">
        <f>VLOOKUP("noruega",#REF!,2,FALSE)/VLOOKUP("noruega",#REF!,2,FALSE)-1</f>
        <v>#REF!</v>
      </c>
      <c r="M196" s="217" t="e">
        <f>VLOOKUP("noruega",#REF!,2,FALSE)</f>
        <v>#REF!</v>
      </c>
      <c r="N196" s="216" t="e">
        <f>VLOOKUP("noruega",#REF!,7,FALSE)/VLOOKUP("noruega",#REF!,7,FALSE)-1</f>
        <v>#REF!</v>
      </c>
      <c r="O196" s="217" t="e">
        <f>VLOOKUP("noruega",#REF!,7,FALSE)</f>
        <v>#REF!</v>
      </c>
      <c r="P196" s="216" t="e">
        <f>VLOOKUP("noruega",#REF!,8,FALSE)/VLOOKUP("noruega",#REF!,8,FALSE)-1</f>
        <v>#REF!</v>
      </c>
      <c r="Q196" s="217" t="e">
        <f>VLOOKUP("noruega",#REF!,8,FALSE)</f>
        <v>#REF!</v>
      </c>
    </row>
    <row r="197" spans="3:17" ht="24" hidden="1" customHeight="1" x14ac:dyDescent="0.2">
      <c r="C197" s="218" t="s">
        <v>51</v>
      </c>
      <c r="D197" s="216" t="e">
        <f>VLOOKUP("dinamarca",#REF!,6,FALSE)/VLOOKUP("dinamarca",#REF!,6,FALSE)-1</f>
        <v>#REF!</v>
      </c>
      <c r="E197" s="217" t="e">
        <f>VLOOKUP("dinamarca",#REF!,6,FALSE)</f>
        <v>#REF!</v>
      </c>
      <c r="F197" s="216" t="e">
        <f>VLOOKUP("dinamarca",#REF!,5,FALSE)/VLOOKUP("dinamarca",#REF!,5,FALSE)-1</f>
        <v>#REF!</v>
      </c>
      <c r="G197" s="217" t="e">
        <f>VLOOKUP("dinamarca",#REF!,5,FALSE)</f>
        <v>#REF!</v>
      </c>
      <c r="H197" s="216" t="e">
        <f>VLOOKUP("dinamarca",#REF!,4,FALSE)/VLOOKUP("dinamarca",#REF!,4,FALSE)-1</f>
        <v>#REF!</v>
      </c>
      <c r="I197" s="217" t="e">
        <f>VLOOKUP("dinamarca",#REF!,4,FALSE)</f>
        <v>#REF!</v>
      </c>
      <c r="J197" s="216" t="e">
        <f>VLOOKUP("dinamarca",#REF!,3,FALSE)/VLOOKUP("dinamarca",#REF!,3,FALSE)-1</f>
        <v>#REF!</v>
      </c>
      <c r="K197" s="217" t="e">
        <f>VLOOKUP("dinamarca",#REF!,3,FALSE)</f>
        <v>#REF!</v>
      </c>
      <c r="L197" s="216" t="e">
        <f>VLOOKUP("dinamarca",#REF!,2,FALSE)/VLOOKUP("dinamarca",#REF!,2,FALSE)-1</f>
        <v>#REF!</v>
      </c>
      <c r="M197" s="217" t="e">
        <f>VLOOKUP("dinamarca",#REF!,2,FALSE)</f>
        <v>#REF!</v>
      </c>
      <c r="N197" s="216" t="e">
        <f>VLOOKUP("dinamarca",#REF!,7,FALSE)/VLOOKUP("dinamarca",#REF!,7,FALSE)-1</f>
        <v>#REF!</v>
      </c>
      <c r="O197" s="217" t="e">
        <f>VLOOKUP("dinamarca",#REF!,7,FALSE)</f>
        <v>#REF!</v>
      </c>
      <c r="P197" s="216" t="e">
        <f>VLOOKUP("dinamarca",#REF!,8,FALSE)/VLOOKUP("dinamarca",#REF!,8,FALSE)-1</f>
        <v>#REF!</v>
      </c>
      <c r="Q197" s="217" t="e">
        <f>VLOOKUP("dinamarca",#REF!,8,FALSE)</f>
        <v>#REF!</v>
      </c>
    </row>
    <row r="198" spans="3:17" ht="24" hidden="1" customHeight="1" x14ac:dyDescent="0.2">
      <c r="C198" s="218" t="s">
        <v>52</v>
      </c>
      <c r="D198" s="216" t="s">
        <v>38</v>
      </c>
      <c r="E198" s="217" t="e">
        <f>VLOOKUP("finlandia",#REF!,6,FALSE)</f>
        <v>#REF!</v>
      </c>
      <c r="F198" s="216" t="e">
        <f>VLOOKUP("finlandia",#REF!,5,FALSE)/VLOOKUP("finlandia",#REF!,5,FALSE)-1</f>
        <v>#REF!</v>
      </c>
      <c r="G198" s="217" t="e">
        <f>VLOOKUP("finlandia",#REF!,5,FALSE)</f>
        <v>#REF!</v>
      </c>
      <c r="H198" s="216" t="e">
        <f>VLOOKUP("finlandia",#REF!,4,FALSE)/VLOOKUP("finlandia",#REF!,4,FALSE)-1</f>
        <v>#REF!</v>
      </c>
      <c r="I198" s="217" t="e">
        <f>VLOOKUP("finlandia",#REF!,4,FALSE)</f>
        <v>#REF!</v>
      </c>
      <c r="J198" s="216" t="e">
        <f>VLOOKUP("finlandia",#REF!,3,FALSE)/VLOOKUP("finlandia",#REF!,3,FALSE)-1</f>
        <v>#REF!</v>
      </c>
      <c r="K198" s="217" t="e">
        <f>VLOOKUP("finlandia",#REF!,3,FALSE)</f>
        <v>#REF!</v>
      </c>
      <c r="L198" s="216" t="s">
        <v>38</v>
      </c>
      <c r="M198" s="217" t="e">
        <f>VLOOKUP("finlandia",#REF!,2,FALSE)</f>
        <v>#REF!</v>
      </c>
      <c r="N198" s="216" t="e">
        <f>VLOOKUP("finlandia",#REF!,7,FALSE)/VLOOKUP("finlandia",#REF!,7,FALSE)-1</f>
        <v>#REF!</v>
      </c>
      <c r="O198" s="217" t="e">
        <f>VLOOKUP("finlandia",#REF!,7,FALSE)</f>
        <v>#REF!</v>
      </c>
      <c r="P198" s="216" t="e">
        <f>VLOOKUP("finlandia",#REF!,8,FALSE)/VLOOKUP("finlandia",#REF!,8,FALSE)-1</f>
        <v>#REF!</v>
      </c>
      <c r="Q198" s="217" t="e">
        <f>VLOOKUP("finlandia",#REF!,8,FALSE)</f>
        <v>#REF!</v>
      </c>
    </row>
    <row r="199" spans="3:17" ht="24" hidden="1" customHeight="1" x14ac:dyDescent="0.2">
      <c r="C199" s="215" t="s">
        <v>53</v>
      </c>
      <c r="D199" s="216" t="e">
        <f>VLOOKUP("suiza",#REF!,6,FALSE)/VLOOKUP("suiza",#REF!,6,FALSE)-1</f>
        <v>#REF!</v>
      </c>
      <c r="E199" s="217" t="e">
        <f>VLOOKUP("suiza",#REF!,6,FALSE)</f>
        <v>#REF!</v>
      </c>
      <c r="F199" s="216" t="e">
        <f>VLOOKUP("suiza",#REF!,5,FALSE)/VLOOKUP("suiza",#REF!,5,FALSE)-1</f>
        <v>#REF!</v>
      </c>
      <c r="G199" s="217" t="e">
        <f>VLOOKUP("suiza",#REF!,5,FALSE)</f>
        <v>#REF!</v>
      </c>
      <c r="H199" s="216" t="e">
        <f>VLOOKUP("suiza",#REF!,4,FALSE)/VLOOKUP("suiza",#REF!,4,FALSE)-1</f>
        <v>#REF!</v>
      </c>
      <c r="I199" s="217" t="e">
        <f>VLOOKUP("suiza",#REF!,4,FALSE)</f>
        <v>#REF!</v>
      </c>
      <c r="J199" s="216" t="e">
        <f>VLOOKUP("suiza",#REF!,3,FALSE)/VLOOKUP("suiza",#REF!,3,FALSE)-1</f>
        <v>#REF!</v>
      </c>
      <c r="K199" s="217" t="e">
        <f>VLOOKUP("suiza",#REF!,3,FALSE)</f>
        <v>#REF!</v>
      </c>
      <c r="L199" s="216" t="e">
        <f>VLOOKUP("suiza",#REF!,2,FALSE)/VLOOKUP("suiza",#REF!,2,FALSE)-1</f>
        <v>#REF!</v>
      </c>
      <c r="M199" s="217" t="e">
        <f>VLOOKUP("suiza",#REF!,2,FALSE)</f>
        <v>#REF!</v>
      </c>
      <c r="N199" s="216" t="e">
        <f>VLOOKUP("suiza",#REF!,7,FALSE)/VLOOKUP("suiza",#REF!,7,FALSE)-1</f>
        <v>#REF!</v>
      </c>
      <c r="O199" s="217" t="e">
        <f>VLOOKUP("suiza",#REF!,7,FALSE)</f>
        <v>#REF!</v>
      </c>
      <c r="P199" s="216" t="e">
        <f>VLOOKUP("suiza",#REF!,8,FALSE)/VLOOKUP("suiza",#REF!,8,FALSE)-1</f>
        <v>#REF!</v>
      </c>
      <c r="Q199" s="217" t="e">
        <f>VLOOKUP("suiza",#REF!,8,FALSE)</f>
        <v>#REF!</v>
      </c>
    </row>
    <row r="200" spans="3:17" ht="24" hidden="1" customHeight="1" x14ac:dyDescent="0.2">
      <c r="C200" s="215" t="s">
        <v>54</v>
      </c>
      <c r="D200" s="216" t="e">
        <f>VLOOKUP("austria",#REF!,6,FALSE)/VLOOKUP("austria",#REF!,6,FALSE)-1</f>
        <v>#REF!</v>
      </c>
      <c r="E200" s="217" t="e">
        <f>VLOOKUP("austria",#REF!,6,FALSE)</f>
        <v>#REF!</v>
      </c>
      <c r="F200" s="216" t="e">
        <f>VLOOKUP("austria",#REF!,5,FALSE)/VLOOKUP("austria",#REF!,5,FALSE)-1</f>
        <v>#REF!</v>
      </c>
      <c r="G200" s="217" t="e">
        <f>VLOOKUP("austria",#REF!,5,FALSE)</f>
        <v>#REF!</v>
      </c>
      <c r="H200" s="216" t="e">
        <f>VLOOKUP("austria",#REF!,4,FALSE)/VLOOKUP("austria",#REF!,4,FALSE)-1</f>
        <v>#REF!</v>
      </c>
      <c r="I200" s="217" t="e">
        <f>VLOOKUP("austria",#REF!,4,FALSE)</f>
        <v>#REF!</v>
      </c>
      <c r="J200" s="216" t="e">
        <f>VLOOKUP("austria",#REF!,3,FALSE)/VLOOKUP("austria",#REF!,3,FALSE)-1</f>
        <v>#REF!</v>
      </c>
      <c r="K200" s="217" t="e">
        <f>VLOOKUP("austria",#REF!,3,FALSE)</f>
        <v>#REF!</v>
      </c>
      <c r="L200" s="216" t="e">
        <f>VLOOKUP("austria",#REF!,2,FALSE)/VLOOKUP("austria",#REF!,2,FALSE)-1</f>
        <v>#REF!</v>
      </c>
      <c r="M200" s="217" t="e">
        <f>VLOOKUP("austria",#REF!,2,FALSE)</f>
        <v>#REF!</v>
      </c>
      <c r="N200" s="216" t="e">
        <f>VLOOKUP("austria",#REF!,7,FALSE)/VLOOKUP("austria",#REF!,7,FALSE)-1</f>
        <v>#REF!</v>
      </c>
      <c r="O200" s="217" t="e">
        <f>VLOOKUP("austria",#REF!,7,FALSE)</f>
        <v>#REF!</v>
      </c>
      <c r="P200" s="216" t="e">
        <f>VLOOKUP("austria",#REF!,8,FALSE)/VLOOKUP("austria",#REF!,8,FALSE)-1</f>
        <v>#REF!</v>
      </c>
      <c r="Q200" s="217" t="e">
        <f>VLOOKUP("austria",#REF!,8,FALSE)</f>
        <v>#REF!</v>
      </c>
    </row>
    <row r="201" spans="3:17" ht="24" hidden="1" customHeight="1" x14ac:dyDescent="0.2">
      <c r="C201" s="215" t="s">
        <v>55</v>
      </c>
      <c r="D201" s="216" t="e">
        <f>VLOOKUP("rusia",#REF!,6,FALSE)/VLOOKUP("rusia",#REF!,6,FALSE)-1</f>
        <v>#REF!</v>
      </c>
      <c r="E201" s="217" t="e">
        <f>VLOOKUP("rusia",#REF!,6,FALSE)</f>
        <v>#REF!</v>
      </c>
      <c r="F201" s="216" t="e">
        <f>VLOOKUP("rusia",#REF!,5,FALSE)/VLOOKUP("rusia",#REF!,5,FALSE)-1</f>
        <v>#REF!</v>
      </c>
      <c r="G201" s="217" t="e">
        <f>VLOOKUP("rusia",#REF!,5,FALSE)</f>
        <v>#REF!</v>
      </c>
      <c r="H201" s="216" t="e">
        <f>VLOOKUP("rusia",#REF!,4,FALSE)/VLOOKUP("rusia",#REF!,4,FALSE)-1</f>
        <v>#REF!</v>
      </c>
      <c r="I201" s="217" t="e">
        <f>VLOOKUP("rusia",#REF!,4,FALSE)</f>
        <v>#REF!</v>
      </c>
      <c r="J201" s="216" t="e">
        <f>VLOOKUP("rusia",#REF!,3,FALSE)/VLOOKUP("rusia",#REF!,3,FALSE)-1</f>
        <v>#REF!</v>
      </c>
      <c r="K201" s="217" t="e">
        <f>VLOOKUP("rusia",#REF!,3,FALSE)</f>
        <v>#REF!</v>
      </c>
      <c r="L201" s="216" t="e">
        <f>VLOOKUP("rusia",#REF!,2,FALSE)/VLOOKUP("rusia",#REF!,2,FALSE)-1</f>
        <v>#REF!</v>
      </c>
      <c r="M201" s="217" t="e">
        <f>VLOOKUP("rusia",#REF!,2,FALSE)</f>
        <v>#REF!</v>
      </c>
      <c r="N201" s="216" t="e">
        <f>VLOOKUP("rusia",#REF!,7,FALSE)/VLOOKUP("rusia",#REF!,7,FALSE)-1</f>
        <v>#REF!</v>
      </c>
      <c r="O201" s="217" t="e">
        <f>VLOOKUP("rusia",#REF!,7,FALSE)</f>
        <v>#REF!</v>
      </c>
      <c r="P201" s="216" t="e">
        <f>VLOOKUP("rusia",#REF!,8,FALSE)/VLOOKUP("rusia",#REF!,8,FALSE)-1</f>
        <v>#REF!</v>
      </c>
      <c r="Q201" s="217" t="e">
        <f>VLOOKUP("rusia",#REF!,8,FALSE)</f>
        <v>#REF!</v>
      </c>
    </row>
    <row r="202" spans="3:17" ht="24" hidden="1" customHeight="1" x14ac:dyDescent="0.2">
      <c r="C202" s="215" t="s">
        <v>56</v>
      </c>
      <c r="D202" s="216" t="e">
        <f>VLOOKUP("paises del este",#REF!,6,FALSE)/VLOOKUP("paises del este",#REF!,6,FALSE)-1</f>
        <v>#REF!</v>
      </c>
      <c r="E202" s="217" t="e">
        <f>VLOOKUP("paises del este",#REF!,6,FALSE)</f>
        <v>#REF!</v>
      </c>
      <c r="F202" s="216" t="e">
        <f>VLOOKUP("paises del este",#REF!,5,FALSE)/VLOOKUP("paises del este",#REF!,5,FALSE)-1</f>
        <v>#REF!</v>
      </c>
      <c r="G202" s="217" t="e">
        <f>VLOOKUP("paises del este",#REF!,5,FALSE)</f>
        <v>#REF!</v>
      </c>
      <c r="H202" s="216" t="e">
        <f>VLOOKUP("paises del este",#REF!,4,FALSE)/VLOOKUP("paises del este",#REF!,4,FALSE)-1</f>
        <v>#REF!</v>
      </c>
      <c r="I202" s="217" t="e">
        <f>VLOOKUP("paises del este",#REF!,4,FALSE)</f>
        <v>#REF!</v>
      </c>
      <c r="J202" s="216" t="e">
        <f>VLOOKUP("paises del este",#REF!,3,FALSE)/VLOOKUP("paises del este",#REF!,3,FALSE)-1</f>
        <v>#REF!</v>
      </c>
      <c r="K202" s="217" t="e">
        <f>VLOOKUP("paises del este",#REF!,3,FALSE)</f>
        <v>#REF!</v>
      </c>
      <c r="L202" s="216" t="e">
        <f>VLOOKUP("paises del este",#REF!,2,FALSE)/VLOOKUP("paises del este",#REF!,2,FALSE)-1</f>
        <v>#REF!</v>
      </c>
      <c r="M202" s="217" t="e">
        <f>VLOOKUP("paises del este",#REF!,2,FALSE)</f>
        <v>#REF!</v>
      </c>
      <c r="N202" s="216" t="e">
        <f>VLOOKUP("paises del este",#REF!,7,FALSE)/VLOOKUP("paises del este",#REF!,7,FALSE)-1</f>
        <v>#REF!</v>
      </c>
      <c r="O202" s="217" t="e">
        <f>VLOOKUP("paises del este",#REF!,7,FALSE)</f>
        <v>#REF!</v>
      </c>
      <c r="P202" s="216" t="e">
        <f>VLOOKUP("paises del este",#REF!,8,FALSE)/VLOOKUP("paises del este",#REF!,8,FALSE)-1</f>
        <v>#REF!</v>
      </c>
      <c r="Q202" s="217" t="e">
        <f>VLOOKUP("paises del este",#REF!,8,FALSE)</f>
        <v>#REF!</v>
      </c>
    </row>
    <row r="203" spans="3:17" ht="24" hidden="1" customHeight="1" x14ac:dyDescent="0.2">
      <c r="C203" s="215" t="s">
        <v>57</v>
      </c>
      <c r="D203" s="216" t="e">
        <f>VLOOKUP("resto de europa",#REF!,6,FALSE)/VLOOKUP("resto de europa",#REF!,6,FALSE)-1</f>
        <v>#REF!</v>
      </c>
      <c r="E203" s="217" t="e">
        <f>VLOOKUP("resto de europa",#REF!,6,FALSE)</f>
        <v>#REF!</v>
      </c>
      <c r="F203" s="216" t="e">
        <f>VLOOKUP("resto de europa",#REF!,5,FALSE)/VLOOKUP("resto de europa",#REF!,5,FALSE)-1</f>
        <v>#REF!</v>
      </c>
      <c r="G203" s="217" t="e">
        <f>VLOOKUP("resto de europa",#REF!,5,FALSE)</f>
        <v>#REF!</v>
      </c>
      <c r="H203" s="216" t="e">
        <f>VLOOKUP("resto de europa",#REF!,4,FALSE)/VLOOKUP("resto de europa",#REF!,4,FALSE)-1</f>
        <v>#REF!</v>
      </c>
      <c r="I203" s="217" t="e">
        <f>VLOOKUP("resto de europa",#REF!,4,FALSE)</f>
        <v>#REF!</v>
      </c>
      <c r="J203" s="216" t="e">
        <f>VLOOKUP("resto de europa",#REF!,3,FALSE)/VLOOKUP("resto de europa",#REF!,3,FALSE)-1</f>
        <v>#REF!</v>
      </c>
      <c r="K203" s="217" t="e">
        <f>VLOOKUP("resto de europa",#REF!,3,FALSE)</f>
        <v>#REF!</v>
      </c>
      <c r="L203" s="216" t="e">
        <f>VLOOKUP("resto de europa",#REF!,2,FALSE)/VLOOKUP("resto de europa",#REF!,2,FALSE)-1</f>
        <v>#REF!</v>
      </c>
      <c r="M203" s="217" t="e">
        <f>VLOOKUP("resto de europa",#REF!,2,FALSE)</f>
        <v>#REF!</v>
      </c>
      <c r="N203" s="216" t="e">
        <f>VLOOKUP("resto de europa",#REF!,7,FALSE)/VLOOKUP("resto de europa",#REF!,7,FALSE)-1</f>
        <v>#REF!</v>
      </c>
      <c r="O203" s="217" t="e">
        <f>VLOOKUP("resto de europa",#REF!,7,FALSE)</f>
        <v>#REF!</v>
      </c>
      <c r="P203" s="216" t="e">
        <f>VLOOKUP("resto de europa",#REF!,8,FALSE)/VLOOKUP("resto de europa",#REF!,8,FALSE)-1</f>
        <v>#REF!</v>
      </c>
      <c r="Q203" s="217" t="e">
        <f>VLOOKUP("resto de europa",#REF!,8,FALSE)</f>
        <v>#REF!</v>
      </c>
    </row>
    <row r="204" spans="3:17" ht="24" hidden="1" customHeight="1" x14ac:dyDescent="0.2">
      <c r="C204" s="215" t="s">
        <v>58</v>
      </c>
      <c r="D204" s="216" t="e">
        <f>VLOOKUP("usa",#REF!,6,FALSE)/VLOOKUP("usa",#REF!,6,FALSE)-1</f>
        <v>#REF!</v>
      </c>
      <c r="E204" s="217" t="e">
        <f>VLOOKUP("usa",#REF!,6,FALSE)</f>
        <v>#REF!</v>
      </c>
      <c r="F204" s="216" t="e">
        <f>VLOOKUP("usa",#REF!,5,FALSE)/VLOOKUP("usa",#REF!,5,FALSE)-1</f>
        <v>#REF!</v>
      </c>
      <c r="G204" s="217" t="e">
        <f>VLOOKUP("usa",#REF!,5,FALSE)</f>
        <v>#REF!</v>
      </c>
      <c r="H204" s="216" t="e">
        <f>VLOOKUP("usa",#REF!,4,FALSE)/VLOOKUP("usa",#REF!,4,FALSE)-1</f>
        <v>#REF!</v>
      </c>
      <c r="I204" s="217" t="e">
        <f>VLOOKUP("usa",#REF!,4,FALSE)</f>
        <v>#REF!</v>
      </c>
      <c r="J204" s="216" t="e">
        <f>VLOOKUP("usa",#REF!,3,FALSE)/VLOOKUP("usa",#REF!,3,FALSE)-1</f>
        <v>#REF!</v>
      </c>
      <c r="K204" s="217" t="e">
        <f>VLOOKUP("usa",#REF!,3,FALSE)</f>
        <v>#REF!</v>
      </c>
      <c r="L204" s="216" t="e">
        <f>VLOOKUP("usa",#REF!,2,FALSE)/VLOOKUP("usa",#REF!,2,FALSE)-1</f>
        <v>#REF!</v>
      </c>
      <c r="M204" s="217" t="e">
        <f>VLOOKUP("usa",#REF!,2,FALSE)</f>
        <v>#REF!</v>
      </c>
      <c r="N204" s="216" t="e">
        <f>VLOOKUP("usa",#REF!,7,FALSE)/VLOOKUP("usa",#REF!,7,FALSE)-1</f>
        <v>#REF!</v>
      </c>
      <c r="O204" s="217" t="e">
        <f>VLOOKUP("usa",#REF!,7,FALSE)</f>
        <v>#REF!</v>
      </c>
      <c r="P204" s="216" t="e">
        <f>VLOOKUP("usa",#REF!,8,FALSE)/VLOOKUP("usa",#REF!,8,FALSE)-1</f>
        <v>#REF!</v>
      </c>
      <c r="Q204" s="217" t="e">
        <f>VLOOKUP("usa",#REF!,8,FALSE)</f>
        <v>#REF!</v>
      </c>
    </row>
    <row r="205" spans="3:17" ht="24" hidden="1" customHeight="1" x14ac:dyDescent="0.2">
      <c r="C205" s="215" t="s">
        <v>59</v>
      </c>
      <c r="D205" s="216" t="e">
        <f>VLOOKUP("resto de america",#REF!,6,FALSE)/VLOOKUP("resto de america",#REF!,6,FALSE)-1</f>
        <v>#REF!</v>
      </c>
      <c r="E205" s="217" t="e">
        <f>VLOOKUP("resto de america",#REF!,6,FALSE)</f>
        <v>#REF!</v>
      </c>
      <c r="F205" s="216" t="e">
        <f>VLOOKUP("resto de america",#REF!,5,FALSE)/VLOOKUP("resto de america",#REF!,5,FALSE)-1</f>
        <v>#REF!</v>
      </c>
      <c r="G205" s="217" t="e">
        <f>VLOOKUP("resto de america",#REF!,5,FALSE)</f>
        <v>#REF!</v>
      </c>
      <c r="H205" s="216" t="e">
        <f>VLOOKUP("resto de america",#REF!,4,FALSE)/VLOOKUP("resto de america",#REF!,4,FALSE)-1</f>
        <v>#REF!</v>
      </c>
      <c r="I205" s="217" t="e">
        <f>VLOOKUP("resto de america",#REF!,4,FALSE)</f>
        <v>#REF!</v>
      </c>
      <c r="J205" s="216" t="e">
        <f>VLOOKUP("resto de america",#REF!,3,FALSE)/VLOOKUP("resto de america",#REF!,3,FALSE)-1</f>
        <v>#REF!</v>
      </c>
      <c r="K205" s="217" t="e">
        <f>VLOOKUP("resto de america",#REF!,3,FALSE)</f>
        <v>#REF!</v>
      </c>
      <c r="L205" s="216" t="e">
        <f>VLOOKUP("resto de america",#REF!,2,FALSE)/VLOOKUP("resto de america",#REF!,2,FALSE)-1</f>
        <v>#REF!</v>
      </c>
      <c r="M205" s="217" t="e">
        <f>VLOOKUP("resto de america",#REF!,2,FALSE)</f>
        <v>#REF!</v>
      </c>
      <c r="N205" s="216" t="e">
        <f>VLOOKUP("resto de america",#REF!,7,FALSE)/VLOOKUP("resto de america",#REF!,7,FALSE)-1</f>
        <v>#REF!</v>
      </c>
      <c r="O205" s="217" t="e">
        <f>VLOOKUP("resto de america",#REF!,7,FALSE)</f>
        <v>#REF!</v>
      </c>
      <c r="P205" s="216" t="e">
        <f>VLOOKUP("resto de america",#REF!,8,FALSE)/VLOOKUP("resto de america",#REF!,8,FALSE)-1</f>
        <v>#REF!</v>
      </c>
      <c r="Q205" s="217" t="e">
        <f>VLOOKUP("resto de america",#REF!,8,FALSE)</f>
        <v>#REF!</v>
      </c>
    </row>
    <row r="206" spans="3:17" ht="24" hidden="1" customHeight="1" x14ac:dyDescent="0.2">
      <c r="C206" s="215" t="s">
        <v>60</v>
      </c>
      <c r="D206" s="216" t="e">
        <f>VLOOKUP("resto del mundo",#REF!,6,FALSE)/VLOOKUP("resto del mundo",#REF!,6,FALSE)-1</f>
        <v>#REF!</v>
      </c>
      <c r="E206" s="217" t="e">
        <f>VLOOKUP("resto del mundo",#REF!,6,FALSE)</f>
        <v>#REF!</v>
      </c>
      <c r="F206" s="216" t="e">
        <f>VLOOKUP("resto del mundo",#REF!,5,FALSE)/VLOOKUP("resto del mundo",#REF!,5,FALSE)-1</f>
        <v>#REF!</v>
      </c>
      <c r="G206" s="217" t="e">
        <f>VLOOKUP("resto del mundo",#REF!,5,FALSE)</f>
        <v>#REF!</v>
      </c>
      <c r="H206" s="216" t="e">
        <f>VLOOKUP("resto del mundo",#REF!,4,FALSE)/VLOOKUP("resto del mundo",#REF!,4,FALSE)-1</f>
        <v>#REF!</v>
      </c>
      <c r="I206" s="217" t="e">
        <f>VLOOKUP("resto del mundo",#REF!,4,FALSE)</f>
        <v>#REF!</v>
      </c>
      <c r="J206" s="216" t="e">
        <f>VLOOKUP("resto del mundo",#REF!,3,FALSE)/VLOOKUP("resto del mundo",#REF!,3,FALSE)-1</f>
        <v>#REF!</v>
      </c>
      <c r="K206" s="217" t="e">
        <f>VLOOKUP("resto del mundo",#REF!,3,FALSE)</f>
        <v>#REF!</v>
      </c>
      <c r="L206" s="216" t="e">
        <f>VLOOKUP("resto del mundo",#REF!,2,FALSE)/VLOOKUP("resto del mundo",#REF!,2,FALSE)-1</f>
        <v>#REF!</v>
      </c>
      <c r="M206" s="217" t="e">
        <f>VLOOKUP("resto del mundo",#REF!,2,FALSE)</f>
        <v>#REF!</v>
      </c>
      <c r="N206" s="216" t="e">
        <f>VLOOKUP("resto del mundo",#REF!,7,FALSE)/VLOOKUP("resto del mundo",#REF!,7,FALSE)-1</f>
        <v>#REF!</v>
      </c>
      <c r="O206" s="217" t="e">
        <f>VLOOKUP("resto del mundo",#REF!,7,FALSE)</f>
        <v>#REF!</v>
      </c>
      <c r="P206" s="216" t="e">
        <f>VLOOKUP("resto del mundo",#REF!,8,FALSE)/VLOOKUP("resto del mundo",#REF!,8,FALSE)-1</f>
        <v>#REF!</v>
      </c>
      <c r="Q206" s="217" t="e">
        <f>VLOOKUP("resto del mundo",#REF!,8,FALSE)</f>
        <v>#REF!</v>
      </c>
    </row>
    <row r="207" spans="3:17" ht="24" hidden="1" customHeight="1" x14ac:dyDescent="0.2">
      <c r="C207" s="215" t="s">
        <v>61</v>
      </c>
      <c r="D207" s="216" t="e">
        <f>(VLOOKUP("total",#REF!,6,FALSE)-VLOOKUP("españa",#REF!,6,FALSE))/(VLOOKUP("total",#REF!,6,FALSE)-VLOOKUP("españa",#REF!,6,FALSE))-1</f>
        <v>#REF!</v>
      </c>
      <c r="E207" s="217" t="e">
        <f>VLOOKUP("total",#REF!,6,FALSE)-VLOOKUP("españa",#REF!,6,FALSE)</f>
        <v>#REF!</v>
      </c>
      <c r="F207" s="216" t="e">
        <f>(VLOOKUP("total",#REF!,5,FALSE)-VLOOKUP("españa",#REF!,5,FALSE))/(VLOOKUP("total",#REF!,5,FALSE)-VLOOKUP("españa",#REF!,5,FALSE))-1</f>
        <v>#REF!</v>
      </c>
      <c r="G207" s="217" t="e">
        <f>VLOOKUP("total",#REF!,5,FALSE)-VLOOKUP("españa",#REF!,5,FALSE)</f>
        <v>#REF!</v>
      </c>
      <c r="H207" s="216" t="e">
        <f>(VLOOKUP("total",#REF!,4,FALSE)-VLOOKUP("españa",#REF!,4,FALSE))/(VLOOKUP("total",#REF!,4,FALSE)-VLOOKUP("españa",#REF!,4,FALSE))-1</f>
        <v>#REF!</v>
      </c>
      <c r="I207" s="217" t="e">
        <f>VLOOKUP("total",#REF!,4,FALSE)-VLOOKUP("españa",#REF!,4,FALSE)</f>
        <v>#REF!</v>
      </c>
      <c r="J207" s="216" t="e">
        <f>(VLOOKUP("total",#REF!,3,FALSE)-VLOOKUP("españa",#REF!,3,FALSE))/(VLOOKUP("total",#REF!,3,FALSE)-VLOOKUP("españa",#REF!,3,FALSE))-1</f>
        <v>#REF!</v>
      </c>
      <c r="K207" s="217" t="e">
        <f>VLOOKUP("total",#REF!,3,FALSE)-VLOOKUP("españa",#REF!,3,FALSE)</f>
        <v>#REF!</v>
      </c>
      <c r="L207" s="216" t="e">
        <f>(VLOOKUP("total",#REF!,2,FALSE)-VLOOKUP("españa",#REF!,2,FALSE))/(VLOOKUP("total",#REF!,2,FALSE)-VLOOKUP("españa",#REF!,2,FALSE))-1</f>
        <v>#REF!</v>
      </c>
      <c r="M207" s="217" t="e">
        <f>VLOOKUP("total",#REF!,2,FALSE)-VLOOKUP("españa",#REF!,2,FALSE)</f>
        <v>#REF!</v>
      </c>
      <c r="N207" s="216" t="e">
        <f>(VLOOKUP("total",#REF!,7,FALSE)-VLOOKUP("españa",#REF!,7,FALSE))/(VLOOKUP("total",#REF!,7,FALSE)-VLOOKUP("españa",#REF!,7,FALSE))-1</f>
        <v>#REF!</v>
      </c>
      <c r="O207" s="217" t="e">
        <f>VLOOKUP("total",#REF!,7,FALSE)-VLOOKUP("españa",#REF!,7,FALSE)</f>
        <v>#REF!</v>
      </c>
      <c r="P207" s="216" t="e">
        <f>(VLOOKUP("total",#REF!,8,FALSE)-VLOOKUP("españa",#REF!,8,FALSE))/(VLOOKUP("total",#REF!,8,FALSE)-VLOOKUP("españa",#REF!,8,FALSE))-1</f>
        <v>#REF!</v>
      </c>
      <c r="Q207" s="217" t="e">
        <f>VLOOKUP("total",#REF!,8,FALSE)-VLOOKUP("españa",#REF!,8,FALSE)</f>
        <v>#REF!</v>
      </c>
    </row>
    <row r="208" spans="3:17" ht="24" hidden="1" customHeight="1" x14ac:dyDescent="0.2">
      <c r="C208" s="215" t="s">
        <v>8</v>
      </c>
      <c r="D208" s="216" t="e">
        <f>VLOOKUP("total",#REF!,6,FALSE)/VLOOKUP("total",#REF!,6,FALSE)-1</f>
        <v>#REF!</v>
      </c>
      <c r="E208" s="217" t="e">
        <f>VLOOKUP("total",#REF!,6,FALSE)</f>
        <v>#REF!</v>
      </c>
      <c r="F208" s="216" t="e">
        <f>VLOOKUP("total",#REF!,5,FALSE)/VLOOKUP("total",#REF!,5,FALSE)-1</f>
        <v>#REF!</v>
      </c>
      <c r="G208" s="217" t="e">
        <f>VLOOKUP("total",#REF!,5,FALSE)</f>
        <v>#REF!</v>
      </c>
      <c r="H208" s="216" t="e">
        <f>VLOOKUP("total",#REF!,4,FALSE)/VLOOKUP("total",#REF!,4,FALSE)-1</f>
        <v>#REF!</v>
      </c>
      <c r="I208" s="217" t="e">
        <f>VLOOKUP("total",#REF!,4,FALSE)</f>
        <v>#REF!</v>
      </c>
      <c r="J208" s="216" t="e">
        <f>VLOOKUP("total",#REF!,3,FALSE)/VLOOKUP("total",#REF!,3,FALSE)-1</f>
        <v>#REF!</v>
      </c>
      <c r="K208" s="217" t="e">
        <f>VLOOKUP("total",#REF!,3,FALSE)</f>
        <v>#REF!</v>
      </c>
      <c r="L208" s="216" t="e">
        <f>VLOOKUP("total",#REF!,2,FALSE)/VLOOKUP("total",#REF!,2,FALSE)-1</f>
        <v>#REF!</v>
      </c>
      <c r="M208" s="217" t="e">
        <f>VLOOKUP("total",#REF!,2,FALSE)</f>
        <v>#REF!</v>
      </c>
      <c r="N208" s="216" t="e">
        <f>VLOOKUP("total",#REF!,7,FALSE)/VLOOKUP("total",#REF!,7,FALSE)-1</f>
        <v>#REF!</v>
      </c>
      <c r="O208" s="217" t="e">
        <f>VLOOKUP("total",#REF!,7,FALSE)</f>
        <v>#REF!</v>
      </c>
      <c r="P208" s="216" t="e">
        <f>VLOOKUP("total",#REF!,8,FALSE)/VLOOKUP("total",#REF!,8,FALSE)-1</f>
        <v>#REF!</v>
      </c>
      <c r="Q208" s="217" t="e">
        <f>VLOOKUP("total",#REF!,8,FALSE)</f>
        <v>#REF!</v>
      </c>
    </row>
    <row r="209" spans="3:18" hidden="1" x14ac:dyDescent="0.2">
      <c r="C209" s="160"/>
      <c r="D209" s="161"/>
      <c r="E209" s="161"/>
      <c r="F209" s="161"/>
      <c r="G209" s="161"/>
      <c r="H209" s="161"/>
      <c r="I209" s="161"/>
      <c r="J209" s="161"/>
      <c r="K209" s="161"/>
      <c r="L209" s="161"/>
      <c r="M209" s="163"/>
    </row>
    <row r="210" spans="3:18" ht="35.25" hidden="1" customHeight="1" x14ac:dyDescent="0.2">
      <c r="C210" s="206" t="s">
        <v>29</v>
      </c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8"/>
    </row>
    <row r="211" spans="3:18" ht="20.100000000000001" hidden="1" customHeight="1" x14ac:dyDescent="0.2">
      <c r="C211" s="219" t="str">
        <f>I2</f>
        <v>año 2015</v>
      </c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220"/>
      <c r="O211" s="220"/>
      <c r="P211" s="220"/>
      <c r="Q211" s="220"/>
      <c r="R211" s="221"/>
    </row>
    <row r="212" spans="3:18" ht="13.5" hidden="1" thickBot="1" x14ac:dyDescent="0.25">
      <c r="C212" s="211"/>
      <c r="D212" s="212" t="s">
        <v>24</v>
      </c>
      <c r="E212" s="213"/>
      <c r="F212" s="212" t="s">
        <v>23</v>
      </c>
      <c r="G212" s="213"/>
      <c r="H212" s="212" t="s">
        <v>22</v>
      </c>
      <c r="I212" s="213"/>
      <c r="J212" s="212" t="s">
        <v>21</v>
      </c>
      <c r="K212" s="213"/>
      <c r="L212" s="212" t="s">
        <v>20</v>
      </c>
      <c r="M212" s="213"/>
      <c r="N212" s="212" t="s">
        <v>63</v>
      </c>
      <c r="O212" s="213"/>
      <c r="P212" s="212" t="s">
        <v>64</v>
      </c>
      <c r="Q212" s="213"/>
    </row>
    <row r="213" spans="3:18" ht="28.5" hidden="1" customHeight="1" x14ac:dyDescent="0.2">
      <c r="C213" s="211"/>
      <c r="D213" s="214" t="s">
        <v>65</v>
      </c>
      <c r="E213" s="214" t="s">
        <v>66</v>
      </c>
      <c r="F213" s="214" t="s">
        <v>65</v>
      </c>
      <c r="G213" s="214" t="s">
        <v>66</v>
      </c>
      <c r="H213" s="214" t="s">
        <v>65</v>
      </c>
      <c r="I213" s="214" t="s">
        <v>66</v>
      </c>
      <c r="J213" s="214" t="s">
        <v>65</v>
      </c>
      <c r="K213" s="214" t="s">
        <v>66</v>
      </c>
      <c r="L213" s="214" t="s">
        <v>65</v>
      </c>
      <c r="M213" s="214" t="s">
        <v>66</v>
      </c>
      <c r="N213" s="214" t="s">
        <v>65</v>
      </c>
      <c r="O213" s="214" t="s">
        <v>66</v>
      </c>
      <c r="P213" s="214" t="s">
        <v>65</v>
      </c>
      <c r="Q213" s="214" t="s">
        <v>66</v>
      </c>
    </row>
    <row r="214" spans="3:18" ht="24" hidden="1" customHeight="1" x14ac:dyDescent="0.2">
      <c r="C214" s="215" t="s">
        <v>36</v>
      </c>
      <c r="D214" s="216" t="e">
        <f>VLOOKUP("españa",#REF!,6,FALSE)/VLOOKUP("españa",#REF!,6,FALSE)-1</f>
        <v>#REF!</v>
      </c>
      <c r="E214" s="217" t="e">
        <f>VLOOKUP("españa",#REF!,6,FALSE)</f>
        <v>#REF!</v>
      </c>
      <c r="F214" s="216" t="e">
        <f>VLOOKUP("españa",#REF!,5,FALSE)/VLOOKUP("españa",#REF!,5,FALSE)-1</f>
        <v>#REF!</v>
      </c>
      <c r="G214" s="217" t="e">
        <f>VLOOKUP("españa",#REF!,5,FALSE)</f>
        <v>#REF!</v>
      </c>
      <c r="H214" s="216" t="e">
        <f>VLOOKUP("españa",#REF!,4,FALSE)/VLOOKUP("españa",#REF!,4,FALSE)-1</f>
        <v>#REF!</v>
      </c>
      <c r="I214" s="217" t="e">
        <f>VLOOKUP("españa",#REF!,4,FALSE)</f>
        <v>#REF!</v>
      </c>
      <c r="J214" s="216" t="e">
        <f>VLOOKUP("españa",#REF!,3,FALSE)/VLOOKUP("españa",#REF!,3,FALSE)-1</f>
        <v>#REF!</v>
      </c>
      <c r="K214" s="217" t="e">
        <f>VLOOKUP("españa",#REF!,3,FALSE)</f>
        <v>#REF!</v>
      </c>
      <c r="L214" s="216" t="e">
        <f>VLOOKUP("españa",#REF!,2,FALSE)/VLOOKUP("españa",#REF!,2,FALSE)-1</f>
        <v>#REF!</v>
      </c>
      <c r="M214" s="217" t="e">
        <f>VLOOKUP("españa",#REF!,2,FALSE)</f>
        <v>#REF!</v>
      </c>
      <c r="N214" s="216" t="e">
        <f>VLOOKUP("españa",#REF!,7,FALSE)/VLOOKUP("españa",#REF!,7,FALSE)-1</f>
        <v>#REF!</v>
      </c>
      <c r="O214" s="217" t="e">
        <f>VLOOKUP("españa",#REF!,7,FALSE)</f>
        <v>#REF!</v>
      </c>
      <c r="P214" s="216" t="e">
        <f>VLOOKUP("españa",#REF!,8,FALSE)/VLOOKUP("españa",#REF!,8,FALSE)-1</f>
        <v>#REF!</v>
      </c>
      <c r="Q214" s="217" t="e">
        <f>VLOOKUP("españa",#REF!,8,FALSE)</f>
        <v>#REF!</v>
      </c>
    </row>
    <row r="215" spans="3:18" ht="24" hidden="1" customHeight="1" x14ac:dyDescent="0.2">
      <c r="C215" s="215" t="s">
        <v>41</v>
      </c>
      <c r="D215" s="216" t="e">
        <f>VLOOKUP("holanda",#REF!,6,FALSE)/VLOOKUP("holanda",#REF!,6,FALSE)-1</f>
        <v>#REF!</v>
      </c>
      <c r="E215" s="217" t="e">
        <f>VLOOKUP("holanda",#REF!,6,FALSE)</f>
        <v>#REF!</v>
      </c>
      <c r="F215" s="216" t="e">
        <f>VLOOKUP("holanda",#REF!,5,FALSE)/VLOOKUP("holanda",#REF!,5,FALSE)-1</f>
        <v>#REF!</v>
      </c>
      <c r="G215" s="217" t="e">
        <f>VLOOKUP("holanda",#REF!,5,FALSE)</f>
        <v>#REF!</v>
      </c>
      <c r="H215" s="216" t="e">
        <f>VLOOKUP("holanda",#REF!,4,FALSE)/VLOOKUP("holanda",#REF!,4,FALSE)-1</f>
        <v>#REF!</v>
      </c>
      <c r="I215" s="217" t="e">
        <f>VLOOKUP("holanda",#REF!,4,FALSE)</f>
        <v>#REF!</v>
      </c>
      <c r="J215" s="216" t="e">
        <f>VLOOKUP("holanda",#REF!,3,FALSE)/VLOOKUP("holanda",#REF!,3,FALSE)-1</f>
        <v>#REF!</v>
      </c>
      <c r="K215" s="217" t="e">
        <f>VLOOKUP("holanda",#REF!,3,FALSE)</f>
        <v>#REF!</v>
      </c>
      <c r="L215" s="216" t="e">
        <f>VLOOKUP("holanda",#REF!,2,FALSE)/VLOOKUP("holanda",#REF!,2,FALSE)-1</f>
        <v>#REF!</v>
      </c>
      <c r="M215" s="217" t="e">
        <f>VLOOKUP("holanda",#REF!,2,FALSE)</f>
        <v>#REF!</v>
      </c>
      <c r="N215" s="216" t="e">
        <f>VLOOKUP("holanda",#REF!,7,FALSE)/VLOOKUP("holanda",#REF!,7,FALSE)-1</f>
        <v>#REF!</v>
      </c>
      <c r="O215" s="217" t="e">
        <f>VLOOKUP("holanda",#REF!,7,FALSE)</f>
        <v>#REF!</v>
      </c>
      <c r="P215" s="216" t="e">
        <f>VLOOKUP("holanda",#REF!,8,FALSE)/VLOOKUP("holanda",#REF!,8,FALSE)-1</f>
        <v>#REF!</v>
      </c>
      <c r="Q215" s="217" t="e">
        <f>VLOOKUP("holanda",#REF!,8,FALSE)</f>
        <v>#REF!</v>
      </c>
    </row>
    <row r="216" spans="3:18" ht="24" hidden="1" customHeight="1" x14ac:dyDescent="0.2">
      <c r="C216" s="215" t="s">
        <v>42</v>
      </c>
      <c r="D216" s="216" t="e">
        <f>VLOOKUP("belgica",#REF!,6,FALSE)/VLOOKUP("belgica",#REF!,6,FALSE)-1</f>
        <v>#REF!</v>
      </c>
      <c r="E216" s="217" t="e">
        <f>VLOOKUP("belgica",#REF!,6,FALSE)</f>
        <v>#REF!</v>
      </c>
      <c r="F216" s="216" t="e">
        <f>VLOOKUP("belgica",#REF!,5,FALSE)/VLOOKUP("belgica",#REF!,5,FALSE)-1</f>
        <v>#REF!</v>
      </c>
      <c r="G216" s="217" t="e">
        <f>VLOOKUP("belgica",#REF!,5,FALSE)</f>
        <v>#REF!</v>
      </c>
      <c r="H216" s="216" t="e">
        <f>VLOOKUP("belgica",#REF!,4,FALSE)/VLOOKUP("belgica",#REF!,4,FALSE)-1</f>
        <v>#REF!</v>
      </c>
      <c r="I216" s="217" t="e">
        <f>VLOOKUP("belgica",#REF!,4,FALSE)</f>
        <v>#REF!</v>
      </c>
      <c r="J216" s="216" t="e">
        <f>VLOOKUP("belgica",#REF!,3,FALSE)/VLOOKUP("belgica",#REF!,3,FALSE)-1</f>
        <v>#REF!</v>
      </c>
      <c r="K216" s="217" t="e">
        <f>VLOOKUP("belgica",#REF!,3,FALSE)</f>
        <v>#REF!</v>
      </c>
      <c r="L216" s="216" t="e">
        <f>VLOOKUP("belgica",#REF!,2,FALSE)/VLOOKUP("belgica",#REF!,2,FALSE)-1</f>
        <v>#REF!</v>
      </c>
      <c r="M216" s="217" t="e">
        <f>VLOOKUP("belgica",#REF!,2,FALSE)</f>
        <v>#REF!</v>
      </c>
      <c r="N216" s="216" t="e">
        <f>VLOOKUP("belgica",#REF!,7,FALSE)/VLOOKUP("belgica",#REF!,7,FALSE)-1</f>
        <v>#REF!</v>
      </c>
      <c r="O216" s="217" t="e">
        <f>VLOOKUP("belgica",#REF!,7,FALSE)</f>
        <v>#REF!</v>
      </c>
      <c r="P216" s="216" t="e">
        <f>VLOOKUP("belgica",#REF!,8,FALSE)/VLOOKUP("belgica",#REF!,8,FALSE)-1</f>
        <v>#REF!</v>
      </c>
      <c r="Q216" s="217" t="e">
        <f>VLOOKUP("belgica",#REF!,8,FALSE)</f>
        <v>#REF!</v>
      </c>
    </row>
    <row r="217" spans="3:18" ht="24" hidden="1" customHeight="1" x14ac:dyDescent="0.2">
      <c r="C217" s="215" t="s">
        <v>43</v>
      </c>
      <c r="D217" s="216" t="e">
        <f>VLOOKUP("alemania",#REF!,6,FALSE)/VLOOKUP("alemania",#REF!,6,FALSE)-1</f>
        <v>#REF!</v>
      </c>
      <c r="E217" s="217" t="e">
        <f>VLOOKUP("alemania",#REF!,6,FALSE)</f>
        <v>#REF!</v>
      </c>
      <c r="F217" s="216" t="e">
        <f>VLOOKUP("alemania",#REF!,5,FALSE)/VLOOKUP("alemania",#REF!,5,FALSE)-1</f>
        <v>#REF!</v>
      </c>
      <c r="G217" s="217" t="e">
        <f>VLOOKUP("alemania",#REF!,5,FALSE)</f>
        <v>#REF!</v>
      </c>
      <c r="H217" s="216" t="e">
        <f>VLOOKUP("alemania",#REF!,4,FALSE)/VLOOKUP("alemania",#REF!,4,FALSE)-1</f>
        <v>#REF!</v>
      </c>
      <c r="I217" s="217" t="e">
        <f>VLOOKUP("alemania",#REF!,4,FALSE)</f>
        <v>#REF!</v>
      </c>
      <c r="J217" s="216" t="e">
        <f>VLOOKUP("alemania",#REF!,3,FALSE)/VLOOKUP("alemania",#REF!,3,FALSE)-1</f>
        <v>#REF!</v>
      </c>
      <c r="K217" s="217" t="e">
        <f>VLOOKUP("alemania",#REF!,3,FALSE)</f>
        <v>#REF!</v>
      </c>
      <c r="L217" s="216" t="e">
        <f>VLOOKUP("alemania",#REF!,2,FALSE)/VLOOKUP("alemania",#REF!,2,FALSE)-1</f>
        <v>#REF!</v>
      </c>
      <c r="M217" s="217" t="e">
        <f>VLOOKUP("alemania",#REF!,2,FALSE)</f>
        <v>#REF!</v>
      </c>
      <c r="N217" s="216" t="e">
        <f>VLOOKUP("alemania",#REF!,7,FALSE)/VLOOKUP("alemania",#REF!,7,FALSE)-1</f>
        <v>#REF!</v>
      </c>
      <c r="O217" s="217" t="e">
        <f>VLOOKUP("alemania",#REF!,7,FALSE)</f>
        <v>#REF!</v>
      </c>
      <c r="P217" s="216" t="e">
        <f>VLOOKUP("alemania",#REF!,8,FALSE)/VLOOKUP("alemania",#REF!,8,FALSE)-1</f>
        <v>#REF!</v>
      </c>
      <c r="Q217" s="217" t="e">
        <f>VLOOKUP("alemania",#REF!,8,FALSE)</f>
        <v>#REF!</v>
      </c>
    </row>
    <row r="218" spans="3:18" ht="24" hidden="1" customHeight="1" x14ac:dyDescent="0.2">
      <c r="C218" s="215" t="s">
        <v>44</v>
      </c>
      <c r="D218" s="216" t="e">
        <f>VLOOKUP("francia",#REF!,6,FALSE)/VLOOKUP("francia",#REF!,6,FALSE)-1</f>
        <v>#REF!</v>
      </c>
      <c r="E218" s="217" t="e">
        <f>VLOOKUP("francia",#REF!,6,FALSE)</f>
        <v>#REF!</v>
      </c>
      <c r="F218" s="216" t="e">
        <f>VLOOKUP("francia",#REF!,5,FALSE)/VLOOKUP("francia",#REF!,5,FALSE)-1</f>
        <v>#REF!</v>
      </c>
      <c r="G218" s="217" t="e">
        <f>VLOOKUP("francia",#REF!,5,FALSE)</f>
        <v>#REF!</v>
      </c>
      <c r="H218" s="216" t="e">
        <f>VLOOKUP("francia",#REF!,4,FALSE)/VLOOKUP("francia",#REF!,4,FALSE)-1</f>
        <v>#REF!</v>
      </c>
      <c r="I218" s="217" t="e">
        <f>VLOOKUP("francia",#REF!,4,FALSE)</f>
        <v>#REF!</v>
      </c>
      <c r="J218" s="216" t="e">
        <f>VLOOKUP("francia",#REF!,3,FALSE)/VLOOKUP("francia",#REF!,3,FALSE)-1</f>
        <v>#REF!</v>
      </c>
      <c r="K218" s="217" t="e">
        <f>VLOOKUP("francia",#REF!,3,FALSE)</f>
        <v>#REF!</v>
      </c>
      <c r="L218" s="216" t="e">
        <f>VLOOKUP("francia",#REF!,2,FALSE)/VLOOKUP("francia",#REF!,2,FALSE)-1</f>
        <v>#REF!</v>
      </c>
      <c r="M218" s="217" t="e">
        <f>VLOOKUP("francia",#REF!,2,FALSE)</f>
        <v>#REF!</v>
      </c>
      <c r="N218" s="216" t="e">
        <f>VLOOKUP("francia",#REF!,7,FALSE)/VLOOKUP("francia",#REF!,7,FALSE)-1</f>
        <v>#REF!</v>
      </c>
      <c r="O218" s="217" t="e">
        <f>VLOOKUP("francia",#REF!,7,FALSE)</f>
        <v>#REF!</v>
      </c>
      <c r="P218" s="216" t="e">
        <f>VLOOKUP("francia",#REF!,8,FALSE)/VLOOKUP("francia",#REF!,8,FALSE)-1</f>
        <v>#REF!</v>
      </c>
      <c r="Q218" s="217" t="e">
        <f>VLOOKUP("francia",#REF!,8,FALSE)</f>
        <v>#REF!</v>
      </c>
    </row>
    <row r="219" spans="3:18" ht="24" hidden="1" customHeight="1" x14ac:dyDescent="0.2">
      <c r="C219" s="215" t="s">
        <v>45</v>
      </c>
      <c r="D219" s="216" t="e">
        <f>VLOOKUP("reino unido",#REF!,6,FALSE)/VLOOKUP("reino unido",#REF!,6,FALSE)-1</f>
        <v>#REF!</v>
      </c>
      <c r="E219" s="217" t="e">
        <f>VLOOKUP("reino unido",#REF!,6,FALSE)</f>
        <v>#REF!</v>
      </c>
      <c r="F219" s="216" t="e">
        <f>VLOOKUP("reino unido",#REF!,5,FALSE)/VLOOKUP("reino unido",#REF!,5,FALSE)-1</f>
        <v>#REF!</v>
      </c>
      <c r="G219" s="217" t="e">
        <f>VLOOKUP("reino unido",#REF!,5,FALSE)</f>
        <v>#REF!</v>
      </c>
      <c r="H219" s="216" t="e">
        <f>VLOOKUP("reino unido",#REF!,4,FALSE)/VLOOKUP("reino unido",#REF!,4,FALSE)-1</f>
        <v>#REF!</v>
      </c>
      <c r="I219" s="217" t="e">
        <f>VLOOKUP("reino unido",#REF!,4,FALSE)</f>
        <v>#REF!</v>
      </c>
      <c r="J219" s="216" t="e">
        <f>VLOOKUP("reino unido",#REF!,3,FALSE)/VLOOKUP("reino unido",#REF!,3,FALSE)-1</f>
        <v>#REF!</v>
      </c>
      <c r="K219" s="217" t="e">
        <f>VLOOKUP("reino unido",#REF!,3,FALSE)</f>
        <v>#REF!</v>
      </c>
      <c r="L219" s="216" t="e">
        <f>VLOOKUP("reino unido",#REF!,2,FALSE)/VLOOKUP("reino unido",#REF!,2,FALSE)-1</f>
        <v>#REF!</v>
      </c>
      <c r="M219" s="217" t="e">
        <f>VLOOKUP("reino unido",#REF!,2,FALSE)</f>
        <v>#REF!</v>
      </c>
      <c r="N219" s="216" t="e">
        <f>VLOOKUP("reino unido",#REF!,7,FALSE)/VLOOKUP("reino unido",#REF!,7,FALSE)-1</f>
        <v>#REF!</v>
      </c>
      <c r="O219" s="217" t="e">
        <f>VLOOKUP("reino unido",#REF!,7,FALSE)</f>
        <v>#REF!</v>
      </c>
      <c r="P219" s="216" t="e">
        <f>VLOOKUP("reino unido",#REF!,8,FALSE)/VLOOKUP("reino unido",#REF!,8,FALSE)-1</f>
        <v>#REF!</v>
      </c>
      <c r="Q219" s="217" t="e">
        <f>VLOOKUP("reino unido",#REF!,8,FALSE)</f>
        <v>#REF!</v>
      </c>
    </row>
    <row r="220" spans="3:18" ht="24" hidden="1" customHeight="1" x14ac:dyDescent="0.2">
      <c r="C220" s="215" t="s">
        <v>46</v>
      </c>
      <c r="D220" s="216" t="e">
        <f>VLOOKUP("irlanda",#REF!,6,FALSE)/VLOOKUP("irlanda",#REF!,6,FALSE)-1</f>
        <v>#REF!</v>
      </c>
      <c r="E220" s="217" t="e">
        <f>VLOOKUP("irlanda",#REF!,6,FALSE)</f>
        <v>#REF!</v>
      </c>
      <c r="F220" s="216" t="e">
        <f>VLOOKUP("irlanda",#REF!,5,FALSE)/VLOOKUP("irlanda",#REF!,5,FALSE)-1</f>
        <v>#REF!</v>
      </c>
      <c r="G220" s="217" t="e">
        <f>VLOOKUP("irlanda",#REF!,5,FALSE)</f>
        <v>#REF!</v>
      </c>
      <c r="H220" s="216" t="e">
        <f>VLOOKUP("irlanda",#REF!,4,FALSE)/VLOOKUP("irlanda",#REF!,4,FALSE)-1</f>
        <v>#REF!</v>
      </c>
      <c r="I220" s="217" t="e">
        <f>VLOOKUP("irlanda",#REF!,4,FALSE)</f>
        <v>#REF!</v>
      </c>
      <c r="J220" s="216" t="e">
        <f>VLOOKUP("irlanda",#REF!,3,FALSE)/VLOOKUP("irlanda",#REF!,3,FALSE)-1</f>
        <v>#REF!</v>
      </c>
      <c r="K220" s="217" t="e">
        <f>VLOOKUP("irlanda",#REF!,3,FALSE)</f>
        <v>#REF!</v>
      </c>
      <c r="L220" s="216" t="e">
        <f>VLOOKUP("irlanda",#REF!,2,FALSE)/VLOOKUP("irlanda",#REF!,2,FALSE)-1</f>
        <v>#REF!</v>
      </c>
      <c r="M220" s="217" t="e">
        <f>VLOOKUP("irlanda",#REF!,2,FALSE)</f>
        <v>#REF!</v>
      </c>
      <c r="N220" s="216" t="e">
        <f>VLOOKUP("irlanda",#REF!,7,FALSE)/VLOOKUP("irlanda",#REF!,7,FALSE)-1</f>
        <v>#REF!</v>
      </c>
      <c r="O220" s="217" t="e">
        <f>VLOOKUP("irlanda",#REF!,7,FALSE)</f>
        <v>#REF!</v>
      </c>
      <c r="P220" s="216" t="e">
        <f>VLOOKUP("irlanda",#REF!,8,FALSE)/VLOOKUP("irlanda",#REF!,8,FALSE)-1</f>
        <v>#REF!</v>
      </c>
      <c r="Q220" s="217" t="e">
        <f>VLOOKUP("irlanda",#REF!,8,FALSE)</f>
        <v>#REF!</v>
      </c>
    </row>
    <row r="221" spans="3:18" ht="24" hidden="1" customHeight="1" x14ac:dyDescent="0.2">
      <c r="C221" s="215" t="s">
        <v>47</v>
      </c>
      <c r="D221" s="216" t="e">
        <f>VLOOKUP("italia",#REF!,6,FALSE)/VLOOKUP("italia",#REF!,6,FALSE)-1</f>
        <v>#REF!</v>
      </c>
      <c r="E221" s="217" t="e">
        <f>VLOOKUP("italia",#REF!,6,FALSE)</f>
        <v>#REF!</v>
      </c>
      <c r="F221" s="216" t="e">
        <f>VLOOKUP("italia",#REF!,5,FALSE)/VLOOKUP("italia",#REF!,5,FALSE)-1</f>
        <v>#REF!</v>
      </c>
      <c r="G221" s="217" t="e">
        <f>VLOOKUP("italia",#REF!,5,FALSE)</f>
        <v>#REF!</v>
      </c>
      <c r="H221" s="216" t="e">
        <f>VLOOKUP("italia",#REF!,4,FALSE)/VLOOKUP("italia",#REF!,4,FALSE)-1</f>
        <v>#REF!</v>
      </c>
      <c r="I221" s="217" t="e">
        <f>VLOOKUP("italia",#REF!,4,FALSE)</f>
        <v>#REF!</v>
      </c>
      <c r="J221" s="216" t="e">
        <f>VLOOKUP("italia",#REF!,3,FALSE)/VLOOKUP("italia",#REF!,3,FALSE)-1</f>
        <v>#REF!</v>
      </c>
      <c r="K221" s="217" t="e">
        <f>VLOOKUP("italia",#REF!,3,FALSE)</f>
        <v>#REF!</v>
      </c>
      <c r="L221" s="216" t="e">
        <f>VLOOKUP("italia",#REF!,2,FALSE)/VLOOKUP("italia",#REF!,2,FALSE)-1</f>
        <v>#REF!</v>
      </c>
      <c r="M221" s="217" t="e">
        <f>VLOOKUP("italia",#REF!,2,FALSE)</f>
        <v>#REF!</v>
      </c>
      <c r="N221" s="216" t="e">
        <f>VLOOKUP("italia",#REF!,7,FALSE)/VLOOKUP("italia",#REF!,7,FALSE)-1</f>
        <v>#REF!</v>
      </c>
      <c r="O221" s="217" t="e">
        <f>VLOOKUP("italia",#REF!,7,FALSE)</f>
        <v>#REF!</v>
      </c>
      <c r="P221" s="216" t="e">
        <f>VLOOKUP("italia",#REF!,8,FALSE)/VLOOKUP("italia",#REF!,8,FALSE)-1</f>
        <v>#REF!</v>
      </c>
      <c r="Q221" s="217" t="e">
        <f>VLOOKUP("italia",#REF!,8,FALSE)</f>
        <v>#REF!</v>
      </c>
    </row>
    <row r="222" spans="3:18" ht="24" hidden="1" customHeight="1" x14ac:dyDescent="0.2">
      <c r="C222" s="215" t="s">
        <v>48</v>
      </c>
      <c r="D222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2" s="217" t="e">
        <f>(VLOOKUP("suecia",#REF!,6,FALSE)+VLOOKUP("noruega",#REF!,6,FALSE)+VLOOKUP("dinamarca",#REF!,6,FALSE)+VLOOKUP("finlandia",#REF!,6,FALSE))</f>
        <v>#REF!</v>
      </c>
      <c r="F222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2" s="217" t="e">
        <f>(VLOOKUP("suecia",#REF!,5,FALSE)+VLOOKUP("noruega",#REF!,5,FALSE)+VLOOKUP("dinamarca",#REF!,5,FALSE)+VLOOKUP("finlandia",#REF!,5,FALSE))</f>
        <v>#REF!</v>
      </c>
      <c r="H222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2" s="217" t="e">
        <f>(VLOOKUP("suecia",#REF!,4,FALSE)+VLOOKUP("noruega",#REF!,4,FALSE)+VLOOKUP("dinamarca",#REF!,4,FALSE)+VLOOKUP("finlandia",#REF!,4,FALSE))</f>
        <v>#REF!</v>
      </c>
      <c r="J222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2" s="217" t="e">
        <f>(VLOOKUP("suecia",#REF!,3,FALSE)+VLOOKUP("noruega",#REF!,3,FALSE)+VLOOKUP("dinamarca",#REF!,3,FALSE)+VLOOKUP("finlandia",#REF!,3,FALSE))</f>
        <v>#REF!</v>
      </c>
      <c r="L222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2" s="217" t="e">
        <f>(VLOOKUP("suecia",#REF!,2,FALSE)+VLOOKUP("noruega",#REF!,2,FALSE)+VLOOKUP("dinamarca",#REF!,2,FALSE)+VLOOKUP("finlandia",#REF!,2,FALSE))</f>
        <v>#REF!</v>
      </c>
      <c r="N222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2" s="217" t="e">
        <f>(VLOOKUP("suecia",#REF!,7,FALSE)+VLOOKUP("noruega",#REF!,7,FALSE)+VLOOKUP("dinamarca",#REF!,7,FALSE)+VLOOKUP("finlandia",#REF!,7,FALSE))</f>
        <v>#REF!</v>
      </c>
      <c r="P222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2" s="217" t="e">
        <f>(VLOOKUP("suecia",#REF!,8,FALSE)+VLOOKUP("noruega",#REF!,8,FALSE)+VLOOKUP("dinamarca",#REF!,8,FALSE)+VLOOKUP("finlandia",#REF!,8,FALSE))</f>
        <v>#REF!</v>
      </c>
    </row>
    <row r="223" spans="3:18" ht="24" hidden="1" customHeight="1" x14ac:dyDescent="0.2">
      <c r="C223" s="218" t="s">
        <v>49</v>
      </c>
      <c r="D223" s="216" t="e">
        <f>VLOOKUP("suecia",#REF!,6,FALSE)/VLOOKUP("suecia",#REF!,6,FALSE)-1</f>
        <v>#REF!</v>
      </c>
      <c r="E223" s="217" t="e">
        <f>VLOOKUP("suecia",#REF!,6,FALSE)</f>
        <v>#REF!</v>
      </c>
      <c r="F223" s="216" t="e">
        <f>VLOOKUP("suecia",#REF!,5,FALSE)/VLOOKUP("suecia",#REF!,5,FALSE)-1</f>
        <v>#REF!</v>
      </c>
      <c r="G223" s="217" t="e">
        <f>VLOOKUP("suecia",#REF!,5,FALSE)</f>
        <v>#REF!</v>
      </c>
      <c r="H223" s="216" t="e">
        <f>VLOOKUP("suecia",#REF!,4,FALSE)/VLOOKUP("suecia",#REF!,4,FALSE)-1</f>
        <v>#REF!</v>
      </c>
      <c r="I223" s="217" t="e">
        <f>VLOOKUP("suecia",#REF!,4,FALSE)</f>
        <v>#REF!</v>
      </c>
      <c r="J223" s="216" t="e">
        <f>VLOOKUP("suecia",#REF!,3,FALSE)/VLOOKUP("suecia",#REF!,3,FALSE)-1</f>
        <v>#REF!</v>
      </c>
      <c r="K223" s="217" t="e">
        <f>VLOOKUP("suecia",#REF!,3,FALSE)</f>
        <v>#REF!</v>
      </c>
      <c r="L223" s="216" t="e">
        <f>VLOOKUP("suecia",#REF!,2,FALSE)/VLOOKUP("suecia",#REF!,2,FALSE)-1</f>
        <v>#REF!</v>
      </c>
      <c r="M223" s="217" t="e">
        <f>VLOOKUP("suecia",#REF!,2,FALSE)</f>
        <v>#REF!</v>
      </c>
      <c r="N223" s="216" t="e">
        <f>VLOOKUP("suecia",#REF!,7,FALSE)/VLOOKUP("suecia",#REF!,7,FALSE)-1</f>
        <v>#REF!</v>
      </c>
      <c r="O223" s="217" t="e">
        <f>VLOOKUP("suecia",#REF!,7,FALSE)</f>
        <v>#REF!</v>
      </c>
      <c r="P223" s="216" t="e">
        <f>VLOOKUP("suecia",#REF!,8,FALSE)/VLOOKUP("suecia",#REF!,8,FALSE)-1</f>
        <v>#REF!</v>
      </c>
      <c r="Q223" s="217" t="e">
        <f>VLOOKUP("suecia",#REF!,8,FALSE)</f>
        <v>#REF!</v>
      </c>
    </row>
    <row r="224" spans="3:18" ht="24" hidden="1" customHeight="1" x14ac:dyDescent="0.2">
      <c r="C224" s="218" t="s">
        <v>50</v>
      </c>
      <c r="D224" s="216" t="e">
        <f>VLOOKUP("noruega",#REF!,6,FALSE)/VLOOKUP("noruega",#REF!,6,FALSE)-1</f>
        <v>#REF!</v>
      </c>
      <c r="E224" s="217" t="e">
        <f>VLOOKUP("noruega",#REF!,6,FALSE)</f>
        <v>#REF!</v>
      </c>
      <c r="F224" s="216" t="e">
        <f>VLOOKUP("noruega",#REF!,5,FALSE)/VLOOKUP("noruega",#REF!,5,FALSE)-1</f>
        <v>#REF!</v>
      </c>
      <c r="G224" s="217" t="e">
        <f>VLOOKUP("noruega",#REF!,5,FALSE)</f>
        <v>#REF!</v>
      </c>
      <c r="H224" s="216" t="e">
        <f>VLOOKUP("noruega",#REF!,4,FALSE)/VLOOKUP("noruega",#REF!,4,FALSE)-1</f>
        <v>#REF!</v>
      </c>
      <c r="I224" s="217" t="e">
        <f>VLOOKUP("noruega",#REF!,4,FALSE)</f>
        <v>#REF!</v>
      </c>
      <c r="J224" s="216" t="e">
        <f>VLOOKUP("noruega",#REF!,3,FALSE)/VLOOKUP("noruega",#REF!,3,FALSE)-1</f>
        <v>#REF!</v>
      </c>
      <c r="K224" s="217" t="e">
        <f>VLOOKUP("noruega",#REF!,3,FALSE)</f>
        <v>#REF!</v>
      </c>
      <c r="L224" s="216" t="e">
        <f>VLOOKUP("noruega",#REF!,2,FALSE)/VLOOKUP("noruega",#REF!,2,FALSE)-1</f>
        <v>#REF!</v>
      </c>
      <c r="M224" s="217" t="e">
        <f>VLOOKUP("noruega",#REF!,2,FALSE)</f>
        <v>#REF!</v>
      </c>
      <c r="N224" s="216" t="e">
        <f>VLOOKUP("noruega",#REF!,7,FALSE)/VLOOKUP("noruega",#REF!,7,FALSE)-1</f>
        <v>#REF!</v>
      </c>
      <c r="O224" s="217" t="e">
        <f>VLOOKUP("noruega",#REF!,7,FALSE)</f>
        <v>#REF!</v>
      </c>
      <c r="P224" s="216" t="e">
        <f>VLOOKUP("noruega",#REF!,8,FALSE)/VLOOKUP("noruega",#REF!,8,FALSE)-1</f>
        <v>#REF!</v>
      </c>
      <c r="Q224" s="217" t="e">
        <f>VLOOKUP("noruega",#REF!,8,FALSE)</f>
        <v>#REF!</v>
      </c>
    </row>
    <row r="225" spans="3:17" ht="24" hidden="1" customHeight="1" x14ac:dyDescent="0.2">
      <c r="C225" s="218" t="s">
        <v>51</v>
      </c>
      <c r="D225" s="216" t="e">
        <f>VLOOKUP("dinamarca",#REF!,6,FALSE)/VLOOKUP("dinamarca",#REF!,6,FALSE)-1</f>
        <v>#REF!</v>
      </c>
      <c r="E225" s="217" t="e">
        <f>VLOOKUP("dinamarca",#REF!,6,FALSE)</f>
        <v>#REF!</v>
      </c>
      <c r="F225" s="216" t="e">
        <f>VLOOKUP("dinamarca",#REF!,5,FALSE)/VLOOKUP("dinamarca",#REF!,5,FALSE)-1</f>
        <v>#REF!</v>
      </c>
      <c r="G225" s="217" t="e">
        <f>VLOOKUP("dinamarca",#REF!,5,FALSE)</f>
        <v>#REF!</v>
      </c>
      <c r="H225" s="216" t="e">
        <f>VLOOKUP("dinamarca",#REF!,4,FALSE)/VLOOKUP("dinamarca",#REF!,4,FALSE)-1</f>
        <v>#REF!</v>
      </c>
      <c r="I225" s="217" t="e">
        <f>VLOOKUP("dinamarca",#REF!,4,FALSE)</f>
        <v>#REF!</v>
      </c>
      <c r="J225" s="216" t="e">
        <f>VLOOKUP("dinamarca",#REF!,3,FALSE)/VLOOKUP("dinamarca",#REF!,3,FALSE)-1</f>
        <v>#REF!</v>
      </c>
      <c r="K225" s="217" t="e">
        <f>VLOOKUP("dinamarca",#REF!,3,FALSE)</f>
        <v>#REF!</v>
      </c>
      <c r="L225" s="216" t="e">
        <f>VLOOKUP("dinamarca",#REF!,2,FALSE)/VLOOKUP("dinamarca",#REF!,2,FALSE)-1</f>
        <v>#REF!</v>
      </c>
      <c r="M225" s="217" t="e">
        <f>VLOOKUP("dinamarca",#REF!,2,FALSE)</f>
        <v>#REF!</v>
      </c>
      <c r="N225" s="216" t="e">
        <f>VLOOKUP("dinamarca",#REF!,7,FALSE)/VLOOKUP("dinamarca",#REF!,7,FALSE)-1</f>
        <v>#REF!</v>
      </c>
      <c r="O225" s="217" t="e">
        <f>VLOOKUP("dinamarca",#REF!,7,FALSE)</f>
        <v>#REF!</v>
      </c>
      <c r="P225" s="216" t="e">
        <f>VLOOKUP("dinamarca",#REF!,8,FALSE)/VLOOKUP("dinamarca",#REF!,8,FALSE)-1</f>
        <v>#REF!</v>
      </c>
      <c r="Q225" s="217" t="e">
        <f>VLOOKUP("dinamarca",#REF!,8,FALSE)</f>
        <v>#REF!</v>
      </c>
    </row>
    <row r="226" spans="3:17" ht="24" hidden="1" customHeight="1" x14ac:dyDescent="0.2">
      <c r="C226" s="218" t="s">
        <v>52</v>
      </c>
      <c r="D226" s="216" t="s">
        <v>38</v>
      </c>
      <c r="E226" s="217" t="e">
        <f>VLOOKUP("finlandia",#REF!,6,FALSE)</f>
        <v>#REF!</v>
      </c>
      <c r="F226" s="216" t="e">
        <f>VLOOKUP("finlandia",#REF!,5,FALSE)/VLOOKUP("finlandia",#REF!,5,FALSE)-1</f>
        <v>#REF!</v>
      </c>
      <c r="G226" s="217" t="e">
        <f>VLOOKUP("finlandia",#REF!,5,FALSE)</f>
        <v>#REF!</v>
      </c>
      <c r="H226" s="216" t="e">
        <f>VLOOKUP("finlandia",#REF!,4,FALSE)/VLOOKUP("finlandia",#REF!,4,FALSE)-1</f>
        <v>#REF!</v>
      </c>
      <c r="I226" s="217" t="e">
        <f>VLOOKUP("finlandia",#REF!,4,FALSE)</f>
        <v>#REF!</v>
      </c>
      <c r="J226" s="216" t="e">
        <f>VLOOKUP("finlandia",#REF!,3,FALSE)/VLOOKUP("finlandia",#REF!,3,FALSE)-1</f>
        <v>#REF!</v>
      </c>
      <c r="K226" s="217" t="e">
        <f>VLOOKUP("finlandia",#REF!,3,FALSE)</f>
        <v>#REF!</v>
      </c>
      <c r="L226" s="216" t="s">
        <v>38</v>
      </c>
      <c r="M226" s="217" t="e">
        <f>VLOOKUP("finlandia",#REF!,2,FALSE)</f>
        <v>#REF!</v>
      </c>
      <c r="N226" s="216" t="e">
        <f>VLOOKUP("finlandia",#REF!,7,FALSE)/VLOOKUP("finlandia",#REF!,7,FALSE)-1</f>
        <v>#REF!</v>
      </c>
      <c r="O226" s="217" t="e">
        <f>VLOOKUP("finlandia",#REF!,7,FALSE)</f>
        <v>#REF!</v>
      </c>
      <c r="P226" s="216" t="e">
        <f>VLOOKUP("finlandia",#REF!,8,FALSE)/VLOOKUP("finlandia",#REF!,8,FALSE)-1</f>
        <v>#REF!</v>
      </c>
      <c r="Q226" s="217" t="e">
        <f>VLOOKUP("finlandia",#REF!,8,FALSE)</f>
        <v>#REF!</v>
      </c>
    </row>
    <row r="227" spans="3:17" ht="24" hidden="1" customHeight="1" x14ac:dyDescent="0.2">
      <c r="C227" s="215" t="s">
        <v>53</v>
      </c>
      <c r="D227" s="216" t="e">
        <f>VLOOKUP("suiza",#REF!,6,FALSE)/VLOOKUP("suiza",#REF!,6,FALSE)-1</f>
        <v>#REF!</v>
      </c>
      <c r="E227" s="217" t="e">
        <f>VLOOKUP("suiza",#REF!,6,FALSE)</f>
        <v>#REF!</v>
      </c>
      <c r="F227" s="216" t="e">
        <f>VLOOKUP("suiza",#REF!,5,FALSE)/VLOOKUP("suiza",#REF!,5,FALSE)-1</f>
        <v>#REF!</v>
      </c>
      <c r="G227" s="217" t="e">
        <f>VLOOKUP("suiza",#REF!,5,FALSE)</f>
        <v>#REF!</v>
      </c>
      <c r="H227" s="216" t="e">
        <f>VLOOKUP("suiza",#REF!,4,FALSE)/VLOOKUP("suiza",#REF!,4,FALSE)-1</f>
        <v>#REF!</v>
      </c>
      <c r="I227" s="217" t="e">
        <f>VLOOKUP("suiza",#REF!,4,FALSE)</f>
        <v>#REF!</v>
      </c>
      <c r="J227" s="216" t="e">
        <f>VLOOKUP("suiza",#REF!,3,FALSE)/VLOOKUP("suiza",#REF!,3,FALSE)-1</f>
        <v>#REF!</v>
      </c>
      <c r="K227" s="217" t="e">
        <f>VLOOKUP("suiza",#REF!,3,FALSE)</f>
        <v>#REF!</v>
      </c>
      <c r="L227" s="216" t="e">
        <f>VLOOKUP("suiza",#REF!,2,FALSE)/VLOOKUP("suiza",#REF!,2,FALSE)-1</f>
        <v>#REF!</v>
      </c>
      <c r="M227" s="217" t="e">
        <f>VLOOKUP("suiza",#REF!,2,FALSE)</f>
        <v>#REF!</v>
      </c>
      <c r="N227" s="216" t="e">
        <f>VLOOKUP("suiza",#REF!,7,FALSE)/VLOOKUP("suiza",#REF!,7,FALSE)-1</f>
        <v>#REF!</v>
      </c>
      <c r="O227" s="217" t="e">
        <f>VLOOKUP("suiza",#REF!,7,FALSE)</f>
        <v>#REF!</v>
      </c>
      <c r="P227" s="216" t="e">
        <f>VLOOKUP("suiza",#REF!,8,FALSE)/VLOOKUP("suiza",#REF!,8,FALSE)-1</f>
        <v>#REF!</v>
      </c>
      <c r="Q227" s="217" t="e">
        <f>VLOOKUP("suiza",#REF!,8,FALSE)</f>
        <v>#REF!</v>
      </c>
    </row>
    <row r="228" spans="3:17" ht="24" hidden="1" customHeight="1" x14ac:dyDescent="0.2">
      <c r="C228" s="215" t="s">
        <v>54</v>
      </c>
      <c r="D228" s="216" t="e">
        <f>VLOOKUP("austria",#REF!,6,FALSE)/VLOOKUP("austria",#REF!,6,FALSE)-1</f>
        <v>#REF!</v>
      </c>
      <c r="E228" s="217" t="e">
        <f>VLOOKUP("austria",#REF!,6,FALSE)</f>
        <v>#REF!</v>
      </c>
      <c r="F228" s="216" t="e">
        <f>VLOOKUP("austria",#REF!,5,FALSE)/VLOOKUP("austria",#REF!,5,FALSE)-1</f>
        <v>#REF!</v>
      </c>
      <c r="G228" s="217" t="e">
        <f>VLOOKUP("austria",#REF!,5,FALSE)</f>
        <v>#REF!</v>
      </c>
      <c r="H228" s="216" t="e">
        <f>VLOOKUP("austria",#REF!,4,FALSE)/VLOOKUP("austria",#REF!,4,FALSE)-1</f>
        <v>#REF!</v>
      </c>
      <c r="I228" s="217" t="e">
        <f>VLOOKUP("austria",#REF!,4,FALSE)</f>
        <v>#REF!</v>
      </c>
      <c r="J228" s="216" t="e">
        <f>VLOOKUP("austria",#REF!,3,FALSE)/VLOOKUP("austria",#REF!,3,FALSE)-1</f>
        <v>#REF!</v>
      </c>
      <c r="K228" s="217" t="e">
        <f>VLOOKUP("austria",#REF!,3,FALSE)</f>
        <v>#REF!</v>
      </c>
      <c r="L228" s="216" t="e">
        <f>VLOOKUP("austria",#REF!,2,FALSE)/VLOOKUP("austria",#REF!,2,FALSE)-1</f>
        <v>#REF!</v>
      </c>
      <c r="M228" s="217" t="e">
        <f>VLOOKUP("austria",#REF!,2,FALSE)</f>
        <v>#REF!</v>
      </c>
      <c r="N228" s="216" t="e">
        <f>VLOOKUP("austria",#REF!,7,FALSE)/VLOOKUP("austria",#REF!,7,FALSE)-1</f>
        <v>#REF!</v>
      </c>
      <c r="O228" s="217" t="e">
        <f>VLOOKUP("austria",#REF!,7,FALSE)</f>
        <v>#REF!</v>
      </c>
      <c r="P228" s="216" t="e">
        <f>VLOOKUP("austria",#REF!,8,FALSE)/VLOOKUP("austria",#REF!,8,FALSE)-1</f>
        <v>#REF!</v>
      </c>
      <c r="Q228" s="217" t="e">
        <f>VLOOKUP("austria",#REF!,8,FALSE)</f>
        <v>#REF!</v>
      </c>
    </row>
    <row r="229" spans="3:17" ht="24" hidden="1" customHeight="1" x14ac:dyDescent="0.2">
      <c r="C229" s="215" t="s">
        <v>55</v>
      </c>
      <c r="D229" s="216" t="e">
        <f>VLOOKUP("rusia",#REF!,6,FALSE)/VLOOKUP("rusia",#REF!,6,FALSE)-1</f>
        <v>#REF!</v>
      </c>
      <c r="E229" s="217" t="e">
        <f>VLOOKUP("rusia",#REF!,6,FALSE)</f>
        <v>#REF!</v>
      </c>
      <c r="F229" s="216" t="e">
        <f>VLOOKUP("rusia",#REF!,5,FALSE)/VLOOKUP("rusia",#REF!,5,FALSE)-1</f>
        <v>#REF!</v>
      </c>
      <c r="G229" s="217" t="e">
        <f>VLOOKUP("rusia",#REF!,5,FALSE)</f>
        <v>#REF!</v>
      </c>
      <c r="H229" s="216" t="e">
        <f>VLOOKUP("rusia",#REF!,4,FALSE)/VLOOKUP("rusia",#REF!,4,FALSE)-1</f>
        <v>#REF!</v>
      </c>
      <c r="I229" s="217" t="e">
        <f>VLOOKUP("rusia",#REF!,4,FALSE)</f>
        <v>#REF!</v>
      </c>
      <c r="J229" s="216" t="e">
        <f>VLOOKUP("rusia",#REF!,3,FALSE)/VLOOKUP("rusia",#REF!,3,FALSE)-1</f>
        <v>#REF!</v>
      </c>
      <c r="K229" s="217" t="e">
        <f>VLOOKUP("rusia",#REF!,3,FALSE)</f>
        <v>#REF!</v>
      </c>
      <c r="L229" s="216" t="e">
        <f>VLOOKUP("rusia",#REF!,2,FALSE)/VLOOKUP("rusia",#REF!,2,FALSE)-1</f>
        <v>#REF!</v>
      </c>
      <c r="M229" s="217" t="e">
        <f>VLOOKUP("rusia",#REF!,2,FALSE)</f>
        <v>#REF!</v>
      </c>
      <c r="N229" s="216" t="e">
        <f>VLOOKUP("rusia",#REF!,7,FALSE)/VLOOKUP("rusia",#REF!,7,FALSE)-1</f>
        <v>#REF!</v>
      </c>
      <c r="O229" s="217" t="e">
        <f>VLOOKUP("rusia",#REF!,7,FALSE)</f>
        <v>#REF!</v>
      </c>
      <c r="P229" s="216" t="e">
        <f>VLOOKUP("rusia",#REF!,8,FALSE)/VLOOKUP("rusia",#REF!,8,FALSE)-1</f>
        <v>#REF!</v>
      </c>
      <c r="Q229" s="217" t="e">
        <f>VLOOKUP("rusia",#REF!,8,FALSE)</f>
        <v>#REF!</v>
      </c>
    </row>
    <row r="230" spans="3:17" ht="24" hidden="1" customHeight="1" x14ac:dyDescent="0.2">
      <c r="C230" s="215" t="s">
        <v>56</v>
      </c>
      <c r="D230" s="216" t="e">
        <f>VLOOKUP("paises del este",#REF!,6,FALSE)/VLOOKUP("paises del este",#REF!,6,FALSE)-1</f>
        <v>#REF!</v>
      </c>
      <c r="E230" s="217" t="e">
        <f>VLOOKUP("paises del este",#REF!,6,FALSE)</f>
        <v>#REF!</v>
      </c>
      <c r="F230" s="216" t="e">
        <f>VLOOKUP("paises del este",#REF!,5,FALSE)/VLOOKUP("paises del este",#REF!,5,FALSE)-1</f>
        <v>#REF!</v>
      </c>
      <c r="G230" s="217" t="e">
        <f>VLOOKUP("paises del este",#REF!,5,FALSE)</f>
        <v>#REF!</v>
      </c>
      <c r="H230" s="216" t="e">
        <f>VLOOKUP("paises del este",#REF!,4,FALSE)/VLOOKUP("paises del este",#REF!,4,FALSE)-1</f>
        <v>#REF!</v>
      </c>
      <c r="I230" s="217" t="e">
        <f>VLOOKUP("paises del este",#REF!,4,FALSE)</f>
        <v>#REF!</v>
      </c>
      <c r="J230" s="216" t="e">
        <f>VLOOKUP("paises del este",#REF!,3,FALSE)/VLOOKUP("paises del este",#REF!,3,FALSE)-1</f>
        <v>#REF!</v>
      </c>
      <c r="K230" s="217" t="e">
        <f>VLOOKUP("paises del este",#REF!,3,FALSE)</f>
        <v>#REF!</v>
      </c>
      <c r="L230" s="216" t="e">
        <f>VLOOKUP("paises del este",#REF!,2,FALSE)/VLOOKUP("paises del este",#REF!,2,FALSE)-1</f>
        <v>#REF!</v>
      </c>
      <c r="M230" s="217" t="e">
        <f>VLOOKUP("paises del este",#REF!,2,FALSE)</f>
        <v>#REF!</v>
      </c>
      <c r="N230" s="216" t="e">
        <f>VLOOKUP("paises del este",#REF!,7,FALSE)/VLOOKUP("paises del este",#REF!,7,FALSE)-1</f>
        <v>#REF!</v>
      </c>
      <c r="O230" s="217" t="e">
        <f>VLOOKUP("paises del este",#REF!,7,FALSE)</f>
        <v>#REF!</v>
      </c>
      <c r="P230" s="216" t="e">
        <f>VLOOKUP("paises del este",#REF!,8,FALSE)/VLOOKUP("paises del este",#REF!,8,FALSE)-1</f>
        <v>#REF!</v>
      </c>
      <c r="Q230" s="217" t="e">
        <f>VLOOKUP("paises del este",#REF!,8,FALSE)</f>
        <v>#REF!</v>
      </c>
    </row>
    <row r="231" spans="3:17" ht="24" hidden="1" customHeight="1" x14ac:dyDescent="0.2">
      <c r="C231" s="215" t="s">
        <v>57</v>
      </c>
      <c r="D231" s="216" t="e">
        <f>VLOOKUP("resto de europa",#REF!,6,FALSE)/VLOOKUP("resto de europa",#REF!,6,FALSE)-1</f>
        <v>#REF!</v>
      </c>
      <c r="E231" s="217" t="e">
        <f>VLOOKUP("resto de europa",#REF!,6,FALSE)</f>
        <v>#REF!</v>
      </c>
      <c r="F231" s="216" t="e">
        <f>VLOOKUP("resto de europa",#REF!,5,FALSE)/VLOOKUP("resto de europa",#REF!,5,FALSE)-1</f>
        <v>#REF!</v>
      </c>
      <c r="G231" s="217" t="e">
        <f>VLOOKUP("resto de europa",#REF!,5,FALSE)</f>
        <v>#REF!</v>
      </c>
      <c r="H231" s="216" t="e">
        <f>VLOOKUP("resto de europa",#REF!,4,FALSE)/VLOOKUP("resto de europa",#REF!,4,FALSE)-1</f>
        <v>#REF!</v>
      </c>
      <c r="I231" s="217" t="e">
        <f>VLOOKUP("resto de europa",#REF!,4,FALSE)</f>
        <v>#REF!</v>
      </c>
      <c r="J231" s="216" t="e">
        <f>VLOOKUP("resto de europa",#REF!,3,FALSE)/VLOOKUP("resto de europa",#REF!,3,FALSE)-1</f>
        <v>#REF!</v>
      </c>
      <c r="K231" s="217" t="e">
        <f>VLOOKUP("resto de europa",#REF!,3,FALSE)</f>
        <v>#REF!</v>
      </c>
      <c r="L231" s="216" t="e">
        <f>VLOOKUP("resto de europa",#REF!,2,FALSE)/VLOOKUP("resto de europa",#REF!,2,FALSE)-1</f>
        <v>#REF!</v>
      </c>
      <c r="M231" s="217" t="e">
        <f>VLOOKUP("resto de europa",#REF!,2,FALSE)</f>
        <v>#REF!</v>
      </c>
      <c r="N231" s="216" t="e">
        <f>VLOOKUP("resto de europa",#REF!,7,FALSE)/VLOOKUP("resto de europa",#REF!,7,FALSE)-1</f>
        <v>#REF!</v>
      </c>
      <c r="O231" s="217" t="e">
        <f>VLOOKUP("resto de europa",#REF!,7,FALSE)</f>
        <v>#REF!</v>
      </c>
      <c r="P231" s="216" t="e">
        <f>VLOOKUP("resto de europa",#REF!,8,FALSE)/VLOOKUP("resto de europa",#REF!,8,FALSE)-1</f>
        <v>#REF!</v>
      </c>
      <c r="Q231" s="217" t="e">
        <f>VLOOKUP("resto de europa",#REF!,8,FALSE)</f>
        <v>#REF!</v>
      </c>
    </row>
    <row r="232" spans="3:17" ht="24" hidden="1" customHeight="1" x14ac:dyDescent="0.2">
      <c r="C232" s="215" t="s">
        <v>58</v>
      </c>
      <c r="D232" s="216" t="e">
        <f>VLOOKUP("usa",#REF!,6,FALSE)/VLOOKUP("usa",#REF!,6,FALSE)-1</f>
        <v>#REF!</v>
      </c>
      <c r="E232" s="217" t="e">
        <f>VLOOKUP("usa",#REF!,6,FALSE)</f>
        <v>#REF!</v>
      </c>
      <c r="F232" s="216" t="e">
        <f>VLOOKUP("usa",#REF!,5,FALSE)/VLOOKUP("usa",#REF!,5,FALSE)-1</f>
        <v>#REF!</v>
      </c>
      <c r="G232" s="217" t="e">
        <f>VLOOKUP("usa",#REF!,5,FALSE)</f>
        <v>#REF!</v>
      </c>
      <c r="H232" s="216" t="e">
        <f>VLOOKUP("usa",#REF!,4,FALSE)/VLOOKUP("usa",#REF!,4,FALSE)-1</f>
        <v>#REF!</v>
      </c>
      <c r="I232" s="217" t="e">
        <f>VLOOKUP("usa",#REF!,4,FALSE)</f>
        <v>#REF!</v>
      </c>
      <c r="J232" s="216" t="e">
        <f>VLOOKUP("usa",#REF!,3,FALSE)/VLOOKUP("usa",#REF!,3,FALSE)-1</f>
        <v>#REF!</v>
      </c>
      <c r="K232" s="217" t="e">
        <f>VLOOKUP("usa",#REF!,3,FALSE)</f>
        <v>#REF!</v>
      </c>
      <c r="L232" s="216" t="e">
        <f>VLOOKUP("usa",#REF!,2,FALSE)/VLOOKUP("usa",#REF!,2,FALSE)-1</f>
        <v>#REF!</v>
      </c>
      <c r="M232" s="217" t="e">
        <f>VLOOKUP("usa",#REF!,2,FALSE)</f>
        <v>#REF!</v>
      </c>
      <c r="N232" s="216" t="e">
        <f>VLOOKUP("usa",#REF!,7,FALSE)/VLOOKUP("usa",#REF!,7,FALSE)-1</f>
        <v>#REF!</v>
      </c>
      <c r="O232" s="217" t="e">
        <f>VLOOKUP("usa",#REF!,7,FALSE)</f>
        <v>#REF!</v>
      </c>
      <c r="P232" s="216" t="e">
        <f>VLOOKUP("usa",#REF!,8,FALSE)/VLOOKUP("usa",#REF!,8,FALSE)-1</f>
        <v>#REF!</v>
      </c>
      <c r="Q232" s="217" t="e">
        <f>VLOOKUP("usa",#REF!,8,FALSE)</f>
        <v>#REF!</v>
      </c>
    </row>
    <row r="233" spans="3:17" ht="24" hidden="1" customHeight="1" x14ac:dyDescent="0.2">
      <c r="C233" s="215" t="s">
        <v>59</v>
      </c>
      <c r="D233" s="216" t="e">
        <f>VLOOKUP("resto de america",#REF!,6,FALSE)/VLOOKUP("resto de america",#REF!,6,FALSE)-1</f>
        <v>#REF!</v>
      </c>
      <c r="E233" s="217" t="e">
        <f>VLOOKUP("resto de america",#REF!,6,FALSE)</f>
        <v>#REF!</v>
      </c>
      <c r="F233" s="216" t="e">
        <f>VLOOKUP("resto de america",#REF!,5,FALSE)/VLOOKUP("resto de america",#REF!,5,FALSE)-1</f>
        <v>#REF!</v>
      </c>
      <c r="G233" s="217" t="e">
        <f>VLOOKUP("resto de america",#REF!,5,FALSE)</f>
        <v>#REF!</v>
      </c>
      <c r="H233" s="216" t="e">
        <f>VLOOKUP("resto de america",#REF!,4,FALSE)/VLOOKUP("resto de america",#REF!,4,FALSE)-1</f>
        <v>#REF!</v>
      </c>
      <c r="I233" s="217" t="e">
        <f>VLOOKUP("resto de america",#REF!,4,FALSE)</f>
        <v>#REF!</v>
      </c>
      <c r="J233" s="216" t="e">
        <f>VLOOKUP("resto de america",#REF!,3,FALSE)/VLOOKUP("resto de america",#REF!,3,FALSE)-1</f>
        <v>#REF!</v>
      </c>
      <c r="K233" s="217" t="e">
        <f>VLOOKUP("resto de america",#REF!,3,FALSE)</f>
        <v>#REF!</v>
      </c>
      <c r="L233" s="216" t="e">
        <f>VLOOKUP("resto de america",#REF!,2,FALSE)/VLOOKUP("resto de america",#REF!,2,FALSE)-1</f>
        <v>#REF!</v>
      </c>
      <c r="M233" s="217" t="e">
        <f>VLOOKUP("resto de america",#REF!,2,FALSE)</f>
        <v>#REF!</v>
      </c>
      <c r="N233" s="216" t="e">
        <f>VLOOKUP("resto de america",#REF!,7,FALSE)/VLOOKUP("resto de america",#REF!,7,FALSE)-1</f>
        <v>#REF!</v>
      </c>
      <c r="O233" s="217" t="e">
        <f>VLOOKUP("resto de america",#REF!,7,FALSE)</f>
        <v>#REF!</v>
      </c>
      <c r="P233" s="216" t="e">
        <f>VLOOKUP("resto de america",#REF!,8,FALSE)/VLOOKUP("resto de america",#REF!,8,FALSE)-1</f>
        <v>#REF!</v>
      </c>
      <c r="Q233" s="217" t="e">
        <f>VLOOKUP("resto de america",#REF!,8,FALSE)</f>
        <v>#REF!</v>
      </c>
    </row>
    <row r="234" spans="3:17" ht="24" hidden="1" customHeight="1" x14ac:dyDescent="0.2">
      <c r="C234" s="215" t="s">
        <v>60</v>
      </c>
      <c r="D234" s="216" t="e">
        <f>VLOOKUP("resto del mundo",#REF!,6,FALSE)/VLOOKUP("resto del mundo",#REF!,6,FALSE)-1</f>
        <v>#REF!</v>
      </c>
      <c r="E234" s="217" t="e">
        <f>VLOOKUP("resto del mundo",#REF!,6,FALSE)</f>
        <v>#REF!</v>
      </c>
      <c r="F234" s="216" t="e">
        <f>VLOOKUP("resto del mundo",#REF!,5,FALSE)/VLOOKUP("resto del mundo",#REF!,5,FALSE)-1</f>
        <v>#REF!</v>
      </c>
      <c r="G234" s="217" t="e">
        <f>VLOOKUP("resto del mundo",#REF!,5,FALSE)</f>
        <v>#REF!</v>
      </c>
      <c r="H234" s="216" t="e">
        <f>VLOOKUP("resto del mundo",#REF!,4,FALSE)/VLOOKUP("resto del mundo",#REF!,4,FALSE)-1</f>
        <v>#REF!</v>
      </c>
      <c r="I234" s="217" t="e">
        <f>VLOOKUP("resto del mundo",#REF!,4,FALSE)</f>
        <v>#REF!</v>
      </c>
      <c r="J234" s="216" t="e">
        <f>VLOOKUP("resto del mundo",#REF!,3,FALSE)/VLOOKUP("resto del mundo",#REF!,3,FALSE)-1</f>
        <v>#REF!</v>
      </c>
      <c r="K234" s="217" t="e">
        <f>VLOOKUP("resto del mundo",#REF!,3,FALSE)</f>
        <v>#REF!</v>
      </c>
      <c r="L234" s="216" t="e">
        <f>VLOOKUP("resto del mundo",#REF!,2,FALSE)/VLOOKUP("resto del mundo",#REF!,2,FALSE)-1</f>
        <v>#REF!</v>
      </c>
      <c r="M234" s="217" t="e">
        <f>VLOOKUP("resto del mundo",#REF!,2,FALSE)</f>
        <v>#REF!</v>
      </c>
      <c r="N234" s="216" t="e">
        <f>VLOOKUP("resto del mundo",#REF!,7,FALSE)/VLOOKUP("resto del mundo",#REF!,7,FALSE)-1</f>
        <v>#REF!</v>
      </c>
      <c r="O234" s="217" t="e">
        <f>VLOOKUP("resto del mundo",#REF!,7,FALSE)</f>
        <v>#REF!</v>
      </c>
      <c r="P234" s="216" t="e">
        <f>VLOOKUP("resto del mundo",#REF!,8,FALSE)/VLOOKUP("resto del mundo",#REF!,8,FALSE)-1</f>
        <v>#REF!</v>
      </c>
      <c r="Q234" s="217" t="e">
        <f>VLOOKUP("resto del mundo",#REF!,8,FALSE)</f>
        <v>#REF!</v>
      </c>
    </row>
    <row r="235" spans="3:17" ht="24" hidden="1" customHeight="1" x14ac:dyDescent="0.2">
      <c r="C235" s="215" t="s">
        <v>61</v>
      </c>
      <c r="D235" s="216" t="e">
        <f>(VLOOKUP("total",#REF!,6,FALSE)-VLOOKUP("españa",#REF!,6,FALSE))/(VLOOKUP("total",#REF!,6,FALSE)-VLOOKUP("españa",#REF!,6,FALSE))-1</f>
        <v>#REF!</v>
      </c>
      <c r="E235" s="217" t="e">
        <f>VLOOKUP("total",#REF!,6,FALSE)-VLOOKUP("españa",#REF!,6,FALSE)</f>
        <v>#REF!</v>
      </c>
      <c r="F235" s="216" t="e">
        <f>(VLOOKUP("total",#REF!,5,FALSE)-VLOOKUP("españa",#REF!,5,FALSE))/(VLOOKUP("total",#REF!,5,FALSE)-VLOOKUP("españa",#REF!,5,FALSE))-1</f>
        <v>#REF!</v>
      </c>
      <c r="G235" s="217" t="e">
        <f>VLOOKUP("total",#REF!,5,FALSE)-VLOOKUP("españa",#REF!,5,FALSE)</f>
        <v>#REF!</v>
      </c>
      <c r="H235" s="216" t="e">
        <f>(VLOOKUP("total",#REF!,4,FALSE)-VLOOKUP("españa",#REF!,4,FALSE))/(VLOOKUP("total",#REF!,4,FALSE)-VLOOKUP("españa",#REF!,4,FALSE))-1</f>
        <v>#REF!</v>
      </c>
      <c r="I235" s="217" t="e">
        <f>VLOOKUP("total",#REF!,4,FALSE)-VLOOKUP("españa",#REF!,4,FALSE)</f>
        <v>#REF!</v>
      </c>
      <c r="J235" s="216" t="e">
        <f>(VLOOKUP("total",#REF!,3,FALSE)-VLOOKUP("españa",#REF!,3,FALSE))/(VLOOKUP("total",#REF!,3,FALSE)-VLOOKUP("españa",#REF!,3,FALSE))-1</f>
        <v>#REF!</v>
      </c>
      <c r="K235" s="217" t="e">
        <f>VLOOKUP("total",#REF!,3,FALSE)-VLOOKUP("españa",#REF!,3,FALSE)</f>
        <v>#REF!</v>
      </c>
      <c r="L235" s="216" t="e">
        <f>(VLOOKUP("total",#REF!,2,FALSE)-VLOOKUP("españa",#REF!,2,FALSE))/(VLOOKUP("total",#REF!,2,FALSE)-VLOOKUP("españa",#REF!,2,FALSE))-1</f>
        <v>#REF!</v>
      </c>
      <c r="M235" s="217" t="e">
        <f>VLOOKUP("total",#REF!,2,FALSE)-VLOOKUP("españa",#REF!,2,FALSE)</f>
        <v>#REF!</v>
      </c>
      <c r="N235" s="216" t="e">
        <f>(VLOOKUP("total",#REF!,7,FALSE)-VLOOKUP("españa",#REF!,7,FALSE))/(VLOOKUP("total",#REF!,7,FALSE)-VLOOKUP("españa",#REF!,7,FALSE))-1</f>
        <v>#REF!</v>
      </c>
      <c r="O235" s="217" t="e">
        <f>VLOOKUP("total",#REF!,7,FALSE)-VLOOKUP("españa",#REF!,7,FALSE)</f>
        <v>#REF!</v>
      </c>
      <c r="P235" s="216" t="e">
        <f>(VLOOKUP("total",#REF!,8,FALSE)-VLOOKUP("españa",#REF!,8,FALSE))/(VLOOKUP("total",#REF!,8,FALSE)-VLOOKUP("españa",#REF!,8,FALSE))-1</f>
        <v>#REF!</v>
      </c>
      <c r="Q235" s="217" t="e">
        <f>VLOOKUP("total",#REF!,8,FALSE)-VLOOKUP("españa",#REF!,8,FALSE)</f>
        <v>#REF!</v>
      </c>
    </row>
    <row r="236" spans="3:17" ht="24" hidden="1" customHeight="1" x14ac:dyDescent="0.2">
      <c r="C236" s="215" t="s">
        <v>8</v>
      </c>
      <c r="D236" s="216" t="e">
        <f>VLOOKUP("total",#REF!,6,FALSE)/VLOOKUP("total",#REF!,6,FALSE)-1</f>
        <v>#REF!</v>
      </c>
      <c r="E236" s="217" t="e">
        <f>VLOOKUP("total",#REF!,6,FALSE)</f>
        <v>#REF!</v>
      </c>
      <c r="F236" s="216" t="e">
        <f>VLOOKUP("total",#REF!,5,FALSE)/VLOOKUP("total",#REF!,5,FALSE)-1</f>
        <v>#REF!</v>
      </c>
      <c r="G236" s="217" t="e">
        <f>VLOOKUP("total",#REF!,5,FALSE)</f>
        <v>#REF!</v>
      </c>
      <c r="H236" s="216" t="e">
        <f>VLOOKUP("total",#REF!,4,FALSE)/VLOOKUP("total",#REF!,4,FALSE)-1</f>
        <v>#REF!</v>
      </c>
      <c r="I236" s="217" t="e">
        <f>VLOOKUP("total",#REF!,4,FALSE)</f>
        <v>#REF!</v>
      </c>
      <c r="J236" s="216" t="e">
        <f>VLOOKUP("total",#REF!,3,FALSE)/VLOOKUP("total",#REF!,3,FALSE)-1</f>
        <v>#REF!</v>
      </c>
      <c r="K236" s="217" t="e">
        <f>VLOOKUP("total",#REF!,3,FALSE)</f>
        <v>#REF!</v>
      </c>
      <c r="L236" s="216" t="e">
        <f>VLOOKUP("total",#REF!,2,FALSE)/VLOOKUP("total",#REF!,2,FALSE)-1</f>
        <v>#REF!</v>
      </c>
      <c r="M236" s="217" t="e">
        <f>VLOOKUP("total",#REF!,2,FALSE)</f>
        <v>#REF!</v>
      </c>
      <c r="N236" s="216" t="e">
        <f>VLOOKUP("total",#REF!,7,FALSE)/VLOOKUP("total",#REF!,7,FALSE)-1</f>
        <v>#REF!</v>
      </c>
      <c r="O236" s="217" t="e">
        <f>VLOOKUP("total",#REF!,7,FALSE)</f>
        <v>#REF!</v>
      </c>
      <c r="P236" s="216" t="e">
        <f>VLOOKUP("total",#REF!,8,FALSE)/VLOOKUP("total",#REF!,8,FALSE)-1</f>
        <v>#REF!</v>
      </c>
      <c r="Q236" s="217" t="e">
        <f>VLOOKUP("total",#REF!,8,FALSE)</f>
        <v>#REF!</v>
      </c>
    </row>
    <row r="237" spans="3:17" ht="18" customHeight="1" thickBot="1" x14ac:dyDescent="0.25">
      <c r="C237" s="4"/>
    </row>
    <row r="238" spans="3:17" ht="50.25" customHeight="1" thickBot="1" x14ac:dyDescent="0.25">
      <c r="C238" s="2"/>
      <c r="D238" s="2"/>
      <c r="E238" s="3" t="str">
        <f>$E$1</f>
        <v>INDICADORES TURÍSTICOS DE TENERIFE definitivo</v>
      </c>
      <c r="F238" s="3"/>
      <c r="G238" s="3"/>
      <c r="H238" s="3"/>
      <c r="I238" s="3"/>
      <c r="J238" s="3"/>
      <c r="K238" s="3"/>
      <c r="L238" s="2"/>
      <c r="M238" s="2"/>
    </row>
    <row r="239" spans="3:17" ht="5.25" customHeight="1" thickBot="1" x14ac:dyDescent="0.25">
      <c r="C239" s="4"/>
    </row>
    <row r="240" spans="3:17" ht="28.5" customHeight="1" thickBot="1" x14ac:dyDescent="0.25">
      <c r="C240" s="222" t="s">
        <v>67</v>
      </c>
      <c r="D240" s="223"/>
      <c r="E240" s="223"/>
      <c r="F240" s="223"/>
      <c r="G240" s="223"/>
      <c r="H240" s="223"/>
      <c r="I240" s="223"/>
      <c r="J240" s="223"/>
      <c r="K240" s="223"/>
      <c r="L240" s="223"/>
      <c r="M240" s="224"/>
    </row>
    <row r="241" spans="3:13" ht="5.25" customHeight="1" thickBot="1" x14ac:dyDescent="0.25">
      <c r="C241" s="225"/>
      <c r="D241" s="226"/>
      <c r="E241" s="226"/>
      <c r="F241" s="226"/>
      <c r="G241" s="227"/>
      <c r="H241" s="227"/>
      <c r="I241" s="227"/>
      <c r="J241" s="226"/>
      <c r="K241" s="226"/>
      <c r="L241" s="226"/>
      <c r="M241" s="228"/>
    </row>
    <row r="242" spans="3:13" ht="32.25" customHeight="1" thickTop="1" thickBot="1" x14ac:dyDescent="0.25">
      <c r="C242" s="175"/>
      <c r="D242" s="176" t="s">
        <v>7</v>
      </c>
      <c r="E242" s="177"/>
      <c r="F242" s="176" t="s">
        <v>30</v>
      </c>
      <c r="G242" s="177"/>
      <c r="H242" s="176" t="s">
        <v>31</v>
      </c>
      <c r="I242" s="177"/>
      <c r="J242" s="176" t="s">
        <v>32</v>
      </c>
      <c r="K242" s="177"/>
      <c r="L242" s="176" t="s">
        <v>33</v>
      </c>
      <c r="M242" s="229"/>
    </row>
    <row r="243" spans="3:13" ht="31.5" customHeight="1" thickBot="1" x14ac:dyDescent="0.25">
      <c r="C243" s="178"/>
      <c r="D243" s="230" t="s">
        <v>68</v>
      </c>
      <c r="E243" s="231" t="s">
        <v>69</v>
      </c>
      <c r="F243" s="230" t="s">
        <v>68</v>
      </c>
      <c r="G243" s="231" t="s">
        <v>69</v>
      </c>
      <c r="H243" s="230" t="s">
        <v>68</v>
      </c>
      <c r="I243" s="231" t="s">
        <v>69</v>
      </c>
      <c r="J243" s="230" t="s">
        <v>68</v>
      </c>
      <c r="K243" s="231" t="s">
        <v>69</v>
      </c>
      <c r="L243" s="230" t="s">
        <v>68</v>
      </c>
      <c r="M243" s="232" t="s">
        <v>69</v>
      </c>
    </row>
    <row r="244" spans="3:13" ht="18.75" thickBot="1" x14ac:dyDescent="0.25">
      <c r="C244" s="181" t="s">
        <v>36</v>
      </c>
      <c r="D244" s="233">
        <v>0.16802205766057549</v>
      </c>
      <c r="E244" s="234">
        <v>0.23084306424590753</v>
      </c>
      <c r="F244" s="233">
        <v>0.63344083354006453</v>
      </c>
      <c r="G244" s="234">
        <v>0.70601487344565061</v>
      </c>
      <c r="H244" s="233">
        <v>0.49099360836722833</v>
      </c>
      <c r="I244" s="234">
        <v>0.51981882989842687</v>
      </c>
      <c r="J244" s="233">
        <v>0.37291875036771194</v>
      </c>
      <c r="K244" s="234">
        <v>0.48496292490219434</v>
      </c>
      <c r="L244" s="233">
        <v>9.4466798380878958E-2</v>
      </c>
      <c r="M244" s="235">
        <v>0.14925892941789623</v>
      </c>
    </row>
    <row r="245" spans="3:13" ht="26.25" thickBot="1" x14ac:dyDescent="0.25">
      <c r="C245" s="236" t="s">
        <v>70</v>
      </c>
      <c r="D245" s="237">
        <v>4.3559928446672398E-2</v>
      </c>
      <c r="E245" s="238">
        <v>6.750753466706233E-2</v>
      </c>
      <c r="F245" s="237"/>
      <c r="G245" s="238"/>
      <c r="H245" s="237"/>
      <c r="I245" s="238"/>
      <c r="J245" s="237"/>
      <c r="K245" s="238"/>
      <c r="L245" s="237"/>
      <c r="M245" s="239"/>
    </row>
    <row r="246" spans="3:13" ht="26.25" thickBot="1" x14ac:dyDescent="0.25">
      <c r="C246" s="236" t="s">
        <v>39</v>
      </c>
      <c r="D246" s="237">
        <v>2.7800980829620216E-2</v>
      </c>
      <c r="E246" s="238">
        <v>3.8523651591428711E-2</v>
      </c>
      <c r="F246" s="237"/>
      <c r="G246" s="238"/>
      <c r="H246" s="237"/>
      <c r="I246" s="238"/>
      <c r="J246" s="237"/>
      <c r="K246" s="238"/>
      <c r="L246" s="237"/>
      <c r="M246" s="239"/>
    </row>
    <row r="247" spans="3:13" ht="18.75" thickBot="1" x14ac:dyDescent="0.25">
      <c r="C247" s="236" t="s">
        <v>40</v>
      </c>
      <c r="D247" s="237">
        <v>9.6661148384282844E-2</v>
      </c>
      <c r="E247" s="238">
        <v>0.12481187798737133</v>
      </c>
      <c r="F247" s="237"/>
      <c r="G247" s="238"/>
      <c r="H247" s="237"/>
      <c r="I247" s="238"/>
      <c r="J247" s="237"/>
      <c r="K247" s="238"/>
      <c r="L247" s="237"/>
      <c r="M247" s="239"/>
    </row>
    <row r="248" spans="3:13" ht="18.75" thickBot="1" x14ac:dyDescent="0.25">
      <c r="C248" s="240" t="s">
        <v>41</v>
      </c>
      <c r="D248" s="241">
        <v>2.9106480618105505E-2</v>
      </c>
      <c r="E248" s="242">
        <v>2.8179589060192543E-2</v>
      </c>
      <c r="F248" s="241">
        <v>9.3277102455966258E-3</v>
      </c>
      <c r="G248" s="242">
        <v>6.781770971233214E-3</v>
      </c>
      <c r="H248" s="241">
        <v>3.7187681580476466E-2</v>
      </c>
      <c r="I248" s="242">
        <v>1.9591027255916167E-2</v>
      </c>
      <c r="J248" s="241">
        <v>1.0604812613990704E-2</v>
      </c>
      <c r="K248" s="242">
        <v>8.8080179176008421E-3</v>
      </c>
      <c r="L248" s="241">
        <v>3.4011781996915957E-2</v>
      </c>
      <c r="M248" s="243">
        <v>3.349173359872009E-2</v>
      </c>
    </row>
    <row r="249" spans="3:13" ht="24" customHeight="1" thickBot="1" x14ac:dyDescent="0.25">
      <c r="C249" s="244" t="s">
        <v>42</v>
      </c>
      <c r="D249" s="237">
        <v>3.212571733429017E-2</v>
      </c>
      <c r="E249" s="238">
        <v>2.8162814118022707E-2</v>
      </c>
      <c r="F249" s="237">
        <v>7.2438600843463159E-3</v>
      </c>
      <c r="G249" s="238">
        <v>6.1964948463185668E-3</v>
      </c>
      <c r="H249" s="237">
        <v>1.5398024404416037E-2</v>
      </c>
      <c r="I249" s="238">
        <v>1.1122129016696593E-2</v>
      </c>
      <c r="J249" s="237">
        <v>5.9863505324469022E-3</v>
      </c>
      <c r="K249" s="238">
        <v>4.7415297928828336E-3</v>
      </c>
      <c r="L249" s="237">
        <v>3.9161888010794142E-2</v>
      </c>
      <c r="M249" s="239">
        <v>3.444002296918465E-2</v>
      </c>
    </row>
    <row r="250" spans="3:13" ht="24" customHeight="1" thickBot="1" x14ac:dyDescent="0.25">
      <c r="C250" s="240" t="s">
        <v>43</v>
      </c>
      <c r="D250" s="241">
        <v>0.11676113092722908</v>
      </c>
      <c r="E250" s="242">
        <v>0.11387968355903343</v>
      </c>
      <c r="F250" s="241">
        <v>5.6660878193996525E-2</v>
      </c>
      <c r="G250" s="242">
        <v>4.3719197521402062E-2</v>
      </c>
      <c r="H250" s="241">
        <v>0.19814061592097618</v>
      </c>
      <c r="I250" s="242">
        <v>0.20220834561680914</v>
      </c>
      <c r="J250" s="241">
        <v>0.26189915867506031</v>
      </c>
      <c r="K250" s="242">
        <v>0.23962007448655659</v>
      </c>
      <c r="L250" s="241">
        <v>8.9846761757902849E-2</v>
      </c>
      <c r="M250" s="243">
        <v>9.0153804136123367E-2</v>
      </c>
    </row>
    <row r="251" spans="3:13" ht="24" customHeight="1" thickBot="1" x14ac:dyDescent="0.25">
      <c r="C251" s="244" t="s">
        <v>44</v>
      </c>
      <c r="D251" s="237">
        <v>2.6372879275383187E-2</v>
      </c>
      <c r="E251" s="238">
        <v>3.2554956735110357E-2</v>
      </c>
      <c r="F251" s="237">
        <v>2.7735053336641034E-2</v>
      </c>
      <c r="G251" s="238">
        <v>2.7535848162651023E-2</v>
      </c>
      <c r="H251" s="237">
        <v>7.292271934921557E-2</v>
      </c>
      <c r="I251" s="238">
        <v>7.8551711199849925E-2</v>
      </c>
      <c r="J251" s="237">
        <v>3.1829146319938814E-2</v>
      </c>
      <c r="K251" s="238">
        <v>3.4494397270140774E-2</v>
      </c>
      <c r="L251" s="237">
        <v>2.4690391287586738E-2</v>
      </c>
      <c r="M251" s="239">
        <v>3.1988126365882996E-2</v>
      </c>
    </row>
    <row r="252" spans="3:13" ht="24" customHeight="1" thickBot="1" x14ac:dyDescent="0.25">
      <c r="C252" s="240" t="s">
        <v>45</v>
      </c>
      <c r="D252" s="241">
        <v>0.34248153402719911</v>
      </c>
      <c r="E252" s="242">
        <v>0.34036087720992991</v>
      </c>
      <c r="F252" s="241">
        <v>4.9119325229471593E-2</v>
      </c>
      <c r="G252" s="242">
        <v>4.3185016931202184E-2</v>
      </c>
      <c r="H252" s="241">
        <v>4.9389889599070307E-2</v>
      </c>
      <c r="I252" s="242">
        <v>3.7681237102350384E-2</v>
      </c>
      <c r="J252" s="241">
        <v>9.1089604047773137E-2</v>
      </c>
      <c r="K252" s="242">
        <v>7.361549765765181E-2</v>
      </c>
      <c r="L252" s="241">
        <v>0.41480339244410175</v>
      </c>
      <c r="M252" s="243">
        <v>0.41533256933122636</v>
      </c>
    </row>
    <row r="253" spans="3:13" ht="24" customHeight="1" thickBot="1" x14ac:dyDescent="0.25">
      <c r="C253" s="244" t="s">
        <v>46</v>
      </c>
      <c r="D253" s="237">
        <v>1.2907886132992773E-2</v>
      </c>
      <c r="E253" s="238">
        <v>1.5295662212051852E-2</v>
      </c>
      <c r="F253" s="237">
        <v>5.507318283304391E-3</v>
      </c>
      <c r="G253" s="238">
        <v>4.0086769508042904E-3</v>
      </c>
      <c r="H253" s="237">
        <v>2.3242300987797791E-3</v>
      </c>
      <c r="I253" s="238">
        <v>4.5292525393294562E-3</v>
      </c>
      <c r="J253" s="237">
        <v>4.8537977290110017E-3</v>
      </c>
      <c r="K253" s="238">
        <v>4.1627569536830944E-3</v>
      </c>
      <c r="L253" s="237">
        <v>1.5116012914417887E-2</v>
      </c>
      <c r="M253" s="239">
        <v>1.8348576534394093E-2</v>
      </c>
    </row>
    <row r="254" spans="3:13" ht="24" customHeight="1" thickBot="1" x14ac:dyDescent="0.25">
      <c r="C254" s="240" t="s">
        <v>47</v>
      </c>
      <c r="D254" s="241">
        <v>3.1401006097489005E-2</v>
      </c>
      <c r="E254" s="242">
        <v>2.9394519067228377E-2</v>
      </c>
      <c r="F254" s="241">
        <v>3.5871992061523195E-2</v>
      </c>
      <c r="G254" s="242">
        <v>3.3393254460407931E-2</v>
      </c>
      <c r="H254" s="241">
        <v>3.6316095293434048E-2</v>
      </c>
      <c r="I254" s="242">
        <v>3.7279232439096296E-2</v>
      </c>
      <c r="J254" s="241">
        <v>1.6752956404071307E-2</v>
      </c>
      <c r="K254" s="242">
        <v>1.45481918278203E-2</v>
      </c>
      <c r="L254" s="241">
        <v>3.4078040670778721E-2</v>
      </c>
      <c r="M254" s="243">
        <v>3.22546101698079E-2</v>
      </c>
    </row>
    <row r="255" spans="3:13" ht="24" customHeight="1" thickBot="1" x14ac:dyDescent="0.25">
      <c r="C255" s="244" t="s">
        <v>48</v>
      </c>
      <c r="D255" s="237">
        <v>0.14074742042930288</v>
      </c>
      <c r="E255" s="238">
        <v>8.3722386661645762E-2</v>
      </c>
      <c r="F255" s="237">
        <v>6.3061275117836768E-2</v>
      </c>
      <c r="G255" s="238">
        <v>4.265548138961274E-2</v>
      </c>
      <c r="H255" s="237">
        <v>1.5107495642068565E-2</v>
      </c>
      <c r="I255" s="238">
        <v>1.0880926218744136E-2</v>
      </c>
      <c r="J255" s="237">
        <v>0.11018120844854974</v>
      </c>
      <c r="K255" s="238">
        <v>5.650632300627835E-2</v>
      </c>
      <c r="L255" s="237">
        <v>0.15302440728604472</v>
      </c>
      <c r="M255" s="239">
        <v>9.2324480503946663E-2</v>
      </c>
    </row>
    <row r="256" spans="3:13" ht="24" customHeight="1" thickBot="1" x14ac:dyDescent="0.25">
      <c r="C256" s="245" t="s">
        <v>49</v>
      </c>
      <c r="D256" s="241">
        <v>5.5056808390598108E-2</v>
      </c>
      <c r="E256" s="242">
        <v>3.0076314417947107E-2</v>
      </c>
      <c r="F256" s="241">
        <v>2.2277350533366411E-2</v>
      </c>
      <c r="G256" s="242">
        <v>1.6369151303168388E-2</v>
      </c>
      <c r="H256" s="241">
        <v>3.4863451481696689E-3</v>
      </c>
      <c r="I256" s="242">
        <v>3.2964382386835686E-3</v>
      </c>
      <c r="J256" s="241">
        <v>2.765193857739601E-2</v>
      </c>
      <c r="K256" s="242">
        <v>1.3611020577172225E-2</v>
      </c>
      <c r="L256" s="241">
        <v>6.3192704317656126E-2</v>
      </c>
      <c r="M256" s="243">
        <v>3.4533108095163946E-2</v>
      </c>
    </row>
    <row r="257" spans="3:14" ht="24" customHeight="1" thickBot="1" x14ac:dyDescent="0.25">
      <c r="C257" s="236" t="s">
        <v>50</v>
      </c>
      <c r="D257" s="237">
        <v>2.336780629672558E-2</v>
      </c>
      <c r="E257" s="238">
        <v>1.664459894101911E-2</v>
      </c>
      <c r="F257" s="237">
        <v>1.5380798809228479E-2</v>
      </c>
      <c r="G257" s="238">
        <v>1.1194567151145236E-2</v>
      </c>
      <c r="H257" s="237">
        <v>3.4863451481696689E-3</v>
      </c>
      <c r="I257" s="238">
        <v>1.8492214509688311E-3</v>
      </c>
      <c r="J257" s="237">
        <v>1.0560687180090605E-2</v>
      </c>
      <c r="K257" s="238">
        <v>6.0046232235211423E-3</v>
      </c>
      <c r="L257" s="237">
        <v>2.6681163261372397E-2</v>
      </c>
      <c r="M257" s="239">
        <v>1.9321426624114402E-2</v>
      </c>
    </row>
    <row r="258" spans="3:14" ht="24" customHeight="1" thickBot="1" x14ac:dyDescent="0.25">
      <c r="C258" s="245" t="s">
        <v>51</v>
      </c>
      <c r="D258" s="241">
        <v>2.621943878550672E-2</v>
      </c>
      <c r="E258" s="242">
        <v>1.8512401984687756E-2</v>
      </c>
      <c r="F258" s="241">
        <v>8.3850161250310102E-3</v>
      </c>
      <c r="G258" s="242">
        <v>6.1500443602142294E-3</v>
      </c>
      <c r="H258" s="241">
        <v>5.2295177222545031E-3</v>
      </c>
      <c r="I258" s="242">
        <v>4.2076488087261811E-3</v>
      </c>
      <c r="J258" s="241">
        <v>1.7429546390539508E-2</v>
      </c>
      <c r="K258" s="242">
        <v>1.2194824912517152E-2</v>
      </c>
      <c r="L258" s="241">
        <v>2.9319463184271397E-2</v>
      </c>
      <c r="M258" s="243">
        <v>2.0634933889911979E-2</v>
      </c>
    </row>
    <row r="259" spans="3:14" ht="24" customHeight="1" thickBot="1" x14ac:dyDescent="0.25">
      <c r="C259" s="236" t="s">
        <v>52</v>
      </c>
      <c r="D259" s="237">
        <v>3.6103366956472475E-2</v>
      </c>
      <c r="E259" s="238">
        <v>1.8489071317991781E-2</v>
      </c>
      <c r="F259" s="237">
        <v>1.7018109650210864E-2</v>
      </c>
      <c r="G259" s="238">
        <v>8.941718575084889E-3</v>
      </c>
      <c r="H259" s="237">
        <v>2.905287623474724E-3</v>
      </c>
      <c r="I259" s="238">
        <v>1.5276177203655563E-3</v>
      </c>
      <c r="J259" s="237">
        <v>5.4539036300523619E-2</v>
      </c>
      <c r="K259" s="238">
        <v>2.4695854293067834E-2</v>
      </c>
      <c r="L259" s="237">
        <v>3.3831076522744793E-2</v>
      </c>
      <c r="M259" s="239">
        <v>1.7835011894756336E-2</v>
      </c>
    </row>
    <row r="260" spans="3:14" ht="24" customHeight="1" thickBot="1" x14ac:dyDescent="0.25">
      <c r="C260" s="240" t="s">
        <v>53</v>
      </c>
      <c r="D260" s="241">
        <v>9.631341518399875E-3</v>
      </c>
      <c r="E260" s="242">
        <v>1.0066122194463227E-2</v>
      </c>
      <c r="F260" s="241">
        <v>1.1213098486727859E-2</v>
      </c>
      <c r="G260" s="242">
        <v>6.303330964358542E-3</v>
      </c>
      <c r="H260" s="241">
        <v>1.2492736780941312E-2</v>
      </c>
      <c r="I260" s="242">
        <v>1.9242623214429287E-2</v>
      </c>
      <c r="J260" s="241">
        <v>1.0531270224157204E-2</v>
      </c>
      <c r="K260" s="242">
        <v>7.8035744732181276E-3</v>
      </c>
      <c r="L260" s="241">
        <v>9.3213907093292209E-3</v>
      </c>
      <c r="M260" s="243">
        <v>1.066008897857372E-2</v>
      </c>
    </row>
    <row r="261" spans="3:14" ht="24" customHeight="1" thickBot="1" x14ac:dyDescent="0.25">
      <c r="C261" s="244" t="s">
        <v>54</v>
      </c>
      <c r="D261" s="237">
        <v>6.645153523111679E-3</v>
      </c>
      <c r="E261" s="238">
        <v>6.5187039641116506E-3</v>
      </c>
      <c r="F261" s="237">
        <v>5.3088563631853141E-3</v>
      </c>
      <c r="G261" s="238">
        <v>3.3955305342270405E-3</v>
      </c>
      <c r="H261" s="237">
        <v>7.5537478210342826E-3</v>
      </c>
      <c r="I261" s="238">
        <v>8.013292954198269E-3</v>
      </c>
      <c r="J261" s="237">
        <v>8.6044596105195031E-3</v>
      </c>
      <c r="K261" s="238">
        <v>7.2213220377907346E-3</v>
      </c>
      <c r="L261" s="237">
        <v>6.3156563222821899E-3</v>
      </c>
      <c r="M261" s="239">
        <v>6.5213621767870747E-3</v>
      </c>
    </row>
    <row r="262" spans="3:14" ht="24" customHeight="1" thickBot="1" x14ac:dyDescent="0.25">
      <c r="C262" s="240" t="s">
        <v>55</v>
      </c>
      <c r="D262" s="241">
        <v>1.5119789810135098E-2</v>
      </c>
      <c r="E262" s="242">
        <v>1.7384624550764158E-2</v>
      </c>
      <c r="F262" s="241">
        <v>7.5415529645249321E-3</v>
      </c>
      <c r="G262" s="242">
        <v>6.860736797610587E-3</v>
      </c>
      <c r="H262" s="241">
        <v>5.5200464846019755E-3</v>
      </c>
      <c r="I262" s="242">
        <v>4.6900544046310933E-3</v>
      </c>
      <c r="J262" s="241">
        <v>7.663117020650703E-3</v>
      </c>
      <c r="K262" s="242">
        <v>8.754664108776818E-3</v>
      </c>
      <c r="L262" s="241">
        <v>1.7206172898997688E-2</v>
      </c>
      <c r="M262" s="243">
        <v>1.9884849523841334E-2</v>
      </c>
    </row>
    <row r="263" spans="3:14" ht="24" customHeight="1" thickBot="1" x14ac:dyDescent="0.25">
      <c r="C263" s="244" t="s">
        <v>56</v>
      </c>
      <c r="D263" s="237">
        <v>2.2905124204174999E-2</v>
      </c>
      <c r="E263" s="238">
        <v>2.2268446507312429E-2</v>
      </c>
      <c r="F263" s="237">
        <v>1.0369635326221781E-2</v>
      </c>
      <c r="G263" s="238">
        <v>7.5574940891756431E-3</v>
      </c>
      <c r="H263" s="237">
        <v>6.1011040092969204E-3</v>
      </c>
      <c r="I263" s="238">
        <v>5.6012649746737062E-3</v>
      </c>
      <c r="J263" s="237">
        <v>1.8282638112608107E-2</v>
      </c>
      <c r="K263" s="238">
        <v>1.3711928867774184E-2</v>
      </c>
      <c r="L263" s="237">
        <v>2.4786767540478025E-2</v>
      </c>
      <c r="M263" s="239">
        <v>2.501091723970918E-2</v>
      </c>
    </row>
    <row r="264" spans="3:14" ht="24" customHeight="1" thickBot="1" x14ac:dyDescent="0.25">
      <c r="C264" s="240" t="s">
        <v>57</v>
      </c>
      <c r="D264" s="241">
        <v>2.7536666375523173E-2</v>
      </c>
      <c r="E264" s="242">
        <v>2.6070188286192855E-2</v>
      </c>
      <c r="F264" s="241">
        <v>2.495658645497395E-2</v>
      </c>
      <c r="G264" s="242">
        <v>2.0154865920671859E-2</v>
      </c>
      <c r="H264" s="241">
        <v>8.4253341080767E-3</v>
      </c>
      <c r="I264" s="242">
        <v>9.8625144051671006E-3</v>
      </c>
      <c r="J264" s="241">
        <v>3.1652644584338412E-2</v>
      </c>
      <c r="K264" s="242">
        <v>2.6106250630676817E-2</v>
      </c>
      <c r="L264" s="241">
        <v>2.7048597725520433E-2</v>
      </c>
      <c r="M264" s="243">
        <v>2.652385754586346E-2</v>
      </c>
    </row>
    <row r="265" spans="3:14" ht="24" customHeight="1" thickBot="1" x14ac:dyDescent="0.25">
      <c r="C265" s="244" t="s">
        <v>58</v>
      </c>
      <c r="D265" s="237">
        <v>3.5362131359223071E-3</v>
      </c>
      <c r="E265" s="238">
        <v>2.8654300642056091E-3</v>
      </c>
      <c r="F265" s="237">
        <v>7.1942446043165471E-3</v>
      </c>
      <c r="G265" s="238">
        <v>7.3438218530956926E-3</v>
      </c>
      <c r="H265" s="237">
        <v>1.7722254503195815E-2</v>
      </c>
      <c r="I265" s="238">
        <v>1.0023316270468737E-2</v>
      </c>
      <c r="J265" s="237">
        <v>3.3976584103077015E-3</v>
      </c>
      <c r="K265" s="238">
        <v>2.233900778153703E-3</v>
      </c>
      <c r="L265" s="237">
        <v>3.1954751349267539E-3</v>
      </c>
      <c r="M265" s="239">
        <v>2.6967669742814886E-3</v>
      </c>
    </row>
    <row r="266" spans="3:14" ht="24" customHeight="1" thickBot="1" x14ac:dyDescent="0.25">
      <c r="C266" s="240" t="s">
        <v>59</v>
      </c>
      <c r="D266" s="241">
        <v>3.625916806927012E-3</v>
      </c>
      <c r="E266" s="242">
        <v>3.2354428690781322E-3</v>
      </c>
      <c r="F266" s="241">
        <v>1.4586951128752171E-2</v>
      </c>
      <c r="G266" s="242">
        <v>1.3596057282739464E-2</v>
      </c>
      <c r="H266" s="241">
        <v>9.2969203951191164E-3</v>
      </c>
      <c r="I266" s="242">
        <v>9.4069091201457941E-3</v>
      </c>
      <c r="J266" s="241">
        <v>3.2652821086074013E-3</v>
      </c>
      <c r="K266" s="242">
        <v>4.0003757963925869E-3</v>
      </c>
      <c r="L266" s="241">
        <v>2.975616808018504E-3</v>
      </c>
      <c r="M266" s="243">
        <v>2.4690891067806744E-3</v>
      </c>
    </row>
    <row r="267" spans="3:14" ht="24" customHeight="1" thickBot="1" x14ac:dyDescent="0.25">
      <c r="C267" s="244" t="s">
        <v>60</v>
      </c>
      <c r="D267" s="237">
        <v>1.1073682123238681E-2</v>
      </c>
      <c r="E267" s="238">
        <v>9.197488694749463E-3</v>
      </c>
      <c r="F267" s="237">
        <v>3.0860828578516498E-2</v>
      </c>
      <c r="G267" s="238">
        <v>2.1297547878838551E-2</v>
      </c>
      <c r="H267" s="237">
        <v>1.5107495642068565E-2</v>
      </c>
      <c r="I267" s="238">
        <v>1.1497333369067081E-2</v>
      </c>
      <c r="J267" s="237">
        <v>1.0487144790257105E-2</v>
      </c>
      <c r="K267" s="238">
        <v>8.7082694924081015E-3</v>
      </c>
      <c r="L267" s="237">
        <v>9.950848111025444E-3</v>
      </c>
      <c r="M267" s="239">
        <v>8.6402154269807352E-3</v>
      </c>
    </row>
    <row r="268" spans="3:14" ht="30.75" customHeight="1" thickBot="1" x14ac:dyDescent="0.25">
      <c r="C268" s="246" t="s">
        <v>61</v>
      </c>
      <c r="D268" s="247">
        <v>0.83197794233942446</v>
      </c>
      <c r="E268" s="248">
        <v>0.7691569357540925</v>
      </c>
      <c r="F268" s="247">
        <v>0.36655916645993547</v>
      </c>
      <c r="G268" s="248">
        <v>0.29398512655434939</v>
      </c>
      <c r="H268" s="247">
        <v>0.50900639163277162</v>
      </c>
      <c r="I268" s="248">
        <v>0.48018117010157313</v>
      </c>
      <c r="J268" s="247">
        <v>0.62708124963228806</v>
      </c>
      <c r="K268" s="248">
        <v>0.51503707509780572</v>
      </c>
      <c r="L268" s="247">
        <v>0.9055332016191211</v>
      </c>
      <c r="M268" s="249">
        <v>0.8507410705821038</v>
      </c>
    </row>
    <row r="269" spans="3:14" ht="24" customHeight="1" thickBot="1" x14ac:dyDescent="0.25">
      <c r="C269" s="250" t="s">
        <v>8</v>
      </c>
      <c r="D269" s="251">
        <v>1</v>
      </c>
      <c r="E269" s="252">
        <v>1</v>
      </c>
      <c r="F269" s="251">
        <v>1</v>
      </c>
      <c r="G269" s="252">
        <v>1</v>
      </c>
      <c r="H269" s="251">
        <v>1</v>
      </c>
      <c r="I269" s="252">
        <v>1</v>
      </c>
      <c r="J269" s="251">
        <v>1</v>
      </c>
      <c r="K269" s="252">
        <v>1</v>
      </c>
      <c r="L269" s="251">
        <v>1</v>
      </c>
      <c r="M269" s="253">
        <v>1</v>
      </c>
    </row>
    <row r="270" spans="3:14" ht="18" customHeight="1" x14ac:dyDescent="0.2">
      <c r="C270" s="254"/>
      <c r="D270" s="255"/>
      <c r="E270" s="256"/>
      <c r="F270" s="255"/>
      <c r="G270" s="256"/>
      <c r="H270" s="255"/>
      <c r="I270" s="256"/>
      <c r="J270" s="255"/>
      <c r="K270" s="256"/>
      <c r="L270" s="255"/>
      <c r="M270" s="256"/>
      <c r="N270" s="257"/>
    </row>
    <row r="271" spans="3:14" ht="5.25" customHeight="1" thickBot="1" x14ac:dyDescent="0.25"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</row>
    <row r="272" spans="3:14" ht="20.100000000000001" customHeight="1" thickBot="1" x14ac:dyDescent="0.25">
      <c r="C272" s="27" t="s">
        <v>71</v>
      </c>
      <c r="D272" s="28"/>
      <c r="E272" s="28"/>
      <c r="F272" s="28"/>
      <c r="G272" s="28"/>
      <c r="H272" s="28"/>
      <c r="I272" s="28"/>
      <c r="J272" s="28"/>
      <c r="K272" s="28"/>
      <c r="L272" s="28"/>
      <c r="M272" s="29"/>
    </row>
    <row r="273" spans="3:18" ht="5.25" customHeight="1" x14ac:dyDescent="0.2"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151"/>
    </row>
    <row r="274" spans="3:18" ht="45.75" customHeight="1" x14ac:dyDescent="0.2">
      <c r="C274" s="258" t="s">
        <v>7</v>
      </c>
      <c r="D274" s="259" t="s">
        <v>72</v>
      </c>
      <c r="E274" s="260" t="s">
        <v>73</v>
      </c>
      <c r="F274" s="261">
        <v>1125.1486422527528</v>
      </c>
      <c r="G274" s="262">
        <v>5.7854971766462482E-2</v>
      </c>
      <c r="H274" s="263" t="s">
        <v>95</v>
      </c>
      <c r="I274" s="263"/>
      <c r="J274" s="263"/>
      <c r="K274" s="263"/>
      <c r="L274" s="264"/>
      <c r="M274" s="265" t="s">
        <v>99</v>
      </c>
      <c r="O274" s="145"/>
      <c r="R274" s="145"/>
    </row>
    <row r="275" spans="3:18" ht="45.75" customHeight="1" x14ac:dyDescent="0.2">
      <c r="C275" s="258"/>
      <c r="D275" s="266"/>
      <c r="E275" s="267" t="s">
        <v>74</v>
      </c>
      <c r="F275" s="268">
        <v>740.38139475498474</v>
      </c>
      <c r="G275" s="269">
        <v>6.036874797643943E-2</v>
      </c>
      <c r="H275" s="270" t="s">
        <v>96</v>
      </c>
      <c r="I275" s="271"/>
      <c r="J275" s="271"/>
      <c r="K275" s="271"/>
      <c r="L275" s="272"/>
      <c r="M275" s="265"/>
      <c r="O275" s="145"/>
      <c r="R275" s="145"/>
    </row>
    <row r="276" spans="3:18" ht="45.75" customHeight="1" thickBot="1" x14ac:dyDescent="0.25">
      <c r="C276" s="258"/>
      <c r="D276" s="273"/>
      <c r="E276" s="274" t="s">
        <v>75</v>
      </c>
      <c r="F276" s="275">
        <v>387.67482844824917</v>
      </c>
      <c r="G276" s="276">
        <v>5.5110229475464179E-2</v>
      </c>
      <c r="H276" s="277" t="str">
        <f>CONCATENATE("El gasto medio por turista en destino ascendió a ",FIXED(F276,1),"€. Experimenta un ",IF(G276&gt;0,"incremento del ","descenso del "),FIXED(G276*100,1),"% respecto al miso periodo del año anterior.")</f>
        <v>El gasto medio por turista en destino ascendió a 387,7€. Experimenta un incremento del 5,5% respecto al miso periodo del año anterior.</v>
      </c>
      <c r="I276" s="278"/>
      <c r="J276" s="278"/>
      <c r="K276" s="278"/>
      <c r="L276" s="279"/>
      <c r="M276" s="265"/>
      <c r="O276" s="145"/>
      <c r="R276" s="145"/>
    </row>
    <row r="277" spans="3:18" ht="45.75" customHeight="1" thickTop="1" x14ac:dyDescent="0.2">
      <c r="C277" s="258"/>
      <c r="D277" s="280" t="s">
        <v>76</v>
      </c>
      <c r="E277" s="281" t="s">
        <v>73</v>
      </c>
      <c r="F277" s="282">
        <v>116.05498752962366</v>
      </c>
      <c r="G277" s="283">
        <v>2.8921260303419905E-2</v>
      </c>
      <c r="H277" s="284" t="s">
        <v>97</v>
      </c>
      <c r="I277" s="285"/>
      <c r="J277" s="285"/>
      <c r="K277" s="285"/>
      <c r="L277" s="286"/>
      <c r="M277" s="265"/>
      <c r="O277" s="145"/>
      <c r="R277" s="145"/>
    </row>
    <row r="278" spans="3:18" ht="45.75" customHeight="1" x14ac:dyDescent="0.2">
      <c r="C278" s="258"/>
      <c r="D278" s="287"/>
      <c r="E278" s="288" t="s">
        <v>74</v>
      </c>
      <c r="F278" s="289">
        <v>76.380484610325709</v>
      </c>
      <c r="G278" s="269">
        <v>3.2007171130422396E-2</v>
      </c>
      <c r="H278" s="290" t="str">
        <f>CONCATENATE("La media del gasto diario por turista en origen fue de ",FIXED(F278,1),"€, ",IF(G278&gt;0,"aumentando un ","disminuyendo un "),FIXED(G278*100,1),"% respecto al mismo período del año anterior.")</f>
        <v>La media del gasto diario por turista en origen fue de 76,4€, aumentando un 3,2% respecto al mismo período del año anterior.</v>
      </c>
      <c r="I278" s="271"/>
      <c r="J278" s="271"/>
      <c r="K278" s="271"/>
      <c r="L278" s="272"/>
      <c r="M278" s="265"/>
      <c r="O278" s="145"/>
      <c r="R278" s="145"/>
    </row>
    <row r="279" spans="3:18" ht="45.75" customHeight="1" x14ac:dyDescent="0.2">
      <c r="C279" s="258"/>
      <c r="D279" s="291"/>
      <c r="E279" s="292" t="s">
        <v>75</v>
      </c>
      <c r="F279" s="293">
        <v>39.805978530376997</v>
      </c>
      <c r="G279" s="294">
        <v>1.9418089374815706E-2</v>
      </c>
      <c r="H279" s="295" t="s">
        <v>98</v>
      </c>
      <c r="I279" s="296"/>
      <c r="J279" s="296"/>
      <c r="K279" s="296"/>
      <c r="L279" s="297"/>
      <c r="M279" s="265"/>
      <c r="O279" s="145"/>
      <c r="R279" s="145"/>
    </row>
    <row r="280" spans="3:18" ht="5.25" customHeight="1" thickBot="1" x14ac:dyDescent="0.25">
      <c r="C280" s="298"/>
      <c r="D280" s="298"/>
      <c r="E280" s="298"/>
      <c r="F280" s="298"/>
      <c r="G280" s="298"/>
      <c r="H280" s="298"/>
      <c r="I280" s="298"/>
      <c r="J280" s="298"/>
      <c r="K280" s="298"/>
      <c r="L280" s="298"/>
      <c r="M280" s="299"/>
      <c r="N280" s="257"/>
      <c r="O280" s="145"/>
      <c r="R280" s="145"/>
    </row>
    <row r="281" spans="3:18" ht="19.5" customHeight="1" thickBot="1" x14ac:dyDescent="0.25">
      <c r="C281" s="27" t="s">
        <v>77</v>
      </c>
      <c r="D281" s="28"/>
      <c r="E281" s="28"/>
      <c r="F281" s="28"/>
      <c r="G281" s="28"/>
      <c r="H281" s="28"/>
      <c r="I281" s="28"/>
      <c r="J281" s="28"/>
      <c r="K281" s="28"/>
      <c r="L281" s="28"/>
      <c r="M281" s="29"/>
      <c r="N281" s="257"/>
      <c r="O281" s="145"/>
      <c r="P281" s="145"/>
      <c r="Q281" s="145"/>
    </row>
    <row r="282" spans="3:18" ht="5.25" customHeight="1" x14ac:dyDescent="0.2"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151"/>
      <c r="N282" s="257"/>
      <c r="O282" s="145"/>
      <c r="P282" s="145"/>
      <c r="Q282" s="145"/>
    </row>
    <row r="283" spans="3:18" s="145" customFormat="1" ht="47.25" customHeight="1" thickBot="1" x14ac:dyDescent="0.25">
      <c r="C283" s="258" t="s">
        <v>7</v>
      </c>
      <c r="D283" s="300"/>
      <c r="E283" s="301" t="s">
        <v>8</v>
      </c>
      <c r="F283" s="302">
        <v>134348</v>
      </c>
      <c r="G283" s="303">
        <v>7.4991750907400512E-3</v>
      </c>
      <c r="H283" s="304" t="s">
        <v>100</v>
      </c>
      <c r="I283" s="304"/>
      <c r="J283" s="304"/>
      <c r="K283" s="304"/>
      <c r="L283" s="305"/>
      <c r="M283" s="265" t="s">
        <v>78</v>
      </c>
      <c r="Q283" s="306"/>
    </row>
    <row r="284" spans="3:18" s="145" customFormat="1" ht="47.25" customHeight="1" thickTop="1" thickBot="1" x14ac:dyDescent="0.25">
      <c r="C284" s="258"/>
      <c r="D284" s="300"/>
      <c r="E284" s="307" t="s">
        <v>79</v>
      </c>
      <c r="F284" s="308">
        <v>82975</v>
      </c>
      <c r="G284" s="309">
        <v>2.8281021500828896E-3</v>
      </c>
      <c r="H284" s="310" t="s">
        <v>101</v>
      </c>
      <c r="I284" s="311"/>
      <c r="J284" s="311"/>
      <c r="K284" s="311"/>
      <c r="L284" s="312"/>
      <c r="M284" s="265"/>
      <c r="O284" s="313"/>
      <c r="Q284" s="306"/>
    </row>
    <row r="285" spans="3:18" s="145" customFormat="1" ht="47.25" customHeight="1" thickTop="1" thickBot="1" x14ac:dyDescent="0.25">
      <c r="C285" s="258"/>
      <c r="D285" s="300"/>
      <c r="E285" s="314" t="s">
        <v>80</v>
      </c>
      <c r="F285" s="315">
        <v>49932</v>
      </c>
      <c r="G285" s="309">
        <v>1.5373352855051259E-2</v>
      </c>
      <c r="H285" s="316" t="s">
        <v>102</v>
      </c>
      <c r="I285" s="311"/>
      <c r="J285" s="311"/>
      <c r="K285" s="311"/>
      <c r="L285" s="312"/>
      <c r="M285" s="265"/>
      <c r="O285" s="313"/>
      <c r="Q285" s="306"/>
    </row>
    <row r="286" spans="3:18" s="145" customFormat="1" ht="47.25" customHeight="1" thickTop="1" thickBot="1" x14ac:dyDescent="0.25">
      <c r="C286" s="258"/>
      <c r="D286" s="300"/>
      <c r="E286" s="307" t="s">
        <v>81</v>
      </c>
      <c r="F286" s="308">
        <v>553</v>
      </c>
      <c r="G286" s="309">
        <v>2.2181146025878062E-2</v>
      </c>
      <c r="H286" s="310" t="s">
        <v>103</v>
      </c>
      <c r="I286" s="311"/>
      <c r="J286" s="311"/>
      <c r="K286" s="311"/>
      <c r="L286" s="312"/>
      <c r="M286" s="265"/>
      <c r="O286" s="313"/>
      <c r="Q286" s="306"/>
    </row>
    <row r="287" spans="3:18" s="145" customFormat="1" ht="47.25" customHeight="1" thickTop="1" x14ac:dyDescent="0.2">
      <c r="C287" s="258"/>
      <c r="D287" s="300"/>
      <c r="E287" s="317" t="s">
        <v>82</v>
      </c>
      <c r="F287" s="318">
        <v>888</v>
      </c>
      <c r="G287" s="319">
        <v>-2.2471910112359383E-3</v>
      </c>
      <c r="H287" s="320" t="s">
        <v>104</v>
      </c>
      <c r="I287" s="321"/>
      <c r="J287" s="321"/>
      <c r="K287" s="321"/>
      <c r="L287" s="322"/>
      <c r="M287" s="265"/>
      <c r="O287" s="313"/>
      <c r="Q287" s="306"/>
    </row>
    <row r="288" spans="3:18" ht="5.25" customHeight="1" x14ac:dyDescent="0.2">
      <c r="C288" s="96" t="s">
        <v>83</v>
      </c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323"/>
      <c r="P288" s="145"/>
      <c r="Q288" s="145"/>
      <c r="R288" s="145"/>
    </row>
    <row r="289" spans="3:20" s="1" customFormat="1" ht="18.75" customHeight="1" thickBot="1" x14ac:dyDescent="0.25"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323"/>
      <c r="P289" s="324"/>
      <c r="Q289" s="324"/>
      <c r="R289" s="324"/>
    </row>
    <row r="290" spans="3:20" ht="50.25" customHeight="1" thickBot="1" x14ac:dyDescent="0.25">
      <c r="C290" s="2"/>
      <c r="D290" s="2"/>
      <c r="E290" s="3" t="str">
        <f>E238</f>
        <v>INDICADORES TURÍSTICOS DE TENERIFE definitivo</v>
      </c>
      <c r="F290" s="3"/>
      <c r="G290" s="3"/>
      <c r="H290" s="3"/>
      <c r="I290" s="3"/>
      <c r="J290" s="3"/>
      <c r="K290" s="3"/>
      <c r="L290" s="2"/>
      <c r="M290" s="2"/>
      <c r="O290" s="145"/>
      <c r="P290" s="145"/>
      <c r="Q290" s="145"/>
      <c r="R290" s="145"/>
      <c r="S290" s="145"/>
      <c r="T290" s="145"/>
    </row>
    <row r="291" spans="3:20" ht="5.25" customHeight="1" thickBot="1" x14ac:dyDescent="0.25">
      <c r="C291" s="4"/>
      <c r="O291" s="145"/>
      <c r="P291" s="145"/>
      <c r="Q291" s="145"/>
      <c r="R291" s="145"/>
      <c r="S291" s="145"/>
      <c r="T291" s="145"/>
    </row>
    <row r="292" spans="3:20" ht="18" customHeight="1" thickBot="1" x14ac:dyDescent="0.25">
      <c r="C292" s="222" t="s">
        <v>84</v>
      </c>
      <c r="D292" s="223"/>
      <c r="E292" s="223"/>
      <c r="F292" s="223"/>
      <c r="G292" s="223"/>
      <c r="H292" s="223"/>
      <c r="I292" s="223"/>
      <c r="J292" s="223"/>
      <c r="K292" s="223"/>
      <c r="L292" s="223"/>
      <c r="M292" s="224"/>
      <c r="O292" s="145"/>
      <c r="P292" s="145"/>
      <c r="Q292" s="145"/>
      <c r="R292" s="145"/>
      <c r="S292" s="145"/>
      <c r="T292" s="145"/>
    </row>
    <row r="293" spans="3:20" ht="5.25" customHeight="1" x14ac:dyDescent="0.2"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151"/>
      <c r="N293" s="257"/>
      <c r="O293" s="145"/>
      <c r="P293" s="145"/>
      <c r="Q293" s="145"/>
      <c r="R293" s="145"/>
      <c r="S293" s="145"/>
      <c r="T293" s="145"/>
    </row>
    <row r="294" spans="3:20" ht="27.75" customHeight="1" x14ac:dyDescent="0.2">
      <c r="C294" s="325" t="s">
        <v>7</v>
      </c>
      <c r="D294" s="326"/>
      <c r="E294" s="327" t="s">
        <v>8</v>
      </c>
      <c r="F294" s="35">
        <v>158661</v>
      </c>
      <c r="G294" s="328">
        <v>-1.3394272922301997E-2</v>
      </c>
      <c r="H294" s="329" t="s">
        <v>105</v>
      </c>
      <c r="I294" s="329"/>
      <c r="J294" s="329"/>
      <c r="K294" s="329"/>
      <c r="L294" s="330"/>
      <c r="M294" s="265" t="s">
        <v>9</v>
      </c>
      <c r="O294" s="145"/>
      <c r="P294" s="145"/>
      <c r="Q294" s="145"/>
      <c r="R294" s="145"/>
      <c r="S294" s="145"/>
      <c r="T294" s="145"/>
    </row>
    <row r="295" spans="3:20" ht="34.5" customHeight="1" x14ac:dyDescent="0.2">
      <c r="C295" s="331"/>
      <c r="D295" s="332"/>
      <c r="E295" s="333" t="s">
        <v>85</v>
      </c>
      <c r="F295" s="46">
        <v>91595</v>
      </c>
      <c r="G295" s="140">
        <v>2.2847826329718934E-2</v>
      </c>
      <c r="H295" s="334" t="str">
        <f>CONCATENATE("La oferta hotelera estimada por el STDE del Cabildo de Tenerife se sitúa en ",FIXED(F295,0)," plazas, un ",FIXED(F295/F294*100,1),"% del total de plazas. ",IF(G295&gt;0,"Aumentan un ","Disminuyen un"),FIXED(G295*100,1),"% respecto al mismo periodo del año anterior.")</f>
        <v>La oferta hotelera estimada por el STDE del Cabildo de Tenerife se sitúa en 91.595 plazas, un 57,7% del total de plazas. Aumentan un 2,3% respecto al mismo periodo del año anterior.</v>
      </c>
      <c r="I295" s="334"/>
      <c r="J295" s="334"/>
      <c r="K295" s="334"/>
      <c r="L295" s="335"/>
      <c r="M295" s="265"/>
      <c r="O295" s="145"/>
      <c r="P295" s="145"/>
      <c r="Q295" s="145"/>
      <c r="R295" s="145"/>
      <c r="S295" s="145"/>
      <c r="T295" s="145"/>
    </row>
    <row r="296" spans="3:20" ht="41.25" customHeight="1" thickBot="1" x14ac:dyDescent="0.25">
      <c r="C296" s="336"/>
      <c r="D296" s="337"/>
      <c r="E296" s="338" t="s">
        <v>86</v>
      </c>
      <c r="F296" s="339">
        <v>67066</v>
      </c>
      <c r="G296" s="340">
        <v>-5.8934134089187018E-2</v>
      </c>
      <c r="H296" s="341" t="s">
        <v>106</v>
      </c>
      <c r="I296" s="341"/>
      <c r="J296" s="341"/>
      <c r="K296" s="341"/>
      <c r="L296" s="342"/>
      <c r="M296" s="265"/>
      <c r="Q296" s="343"/>
    </row>
    <row r="297" spans="3:20" ht="34.5" customHeight="1" thickTop="1" x14ac:dyDescent="0.2">
      <c r="C297" s="344" t="s">
        <v>12</v>
      </c>
      <c r="D297" s="345"/>
      <c r="E297" s="346" t="s">
        <v>8</v>
      </c>
      <c r="F297" s="347">
        <v>2597</v>
      </c>
      <c r="G297" s="348">
        <v>-1.3672616786935099E-2</v>
      </c>
      <c r="H297" s="349" t="str">
        <f>CONCATENATE("Las plazas estimadas por el STDE  del Cabildo de Tenerife en la zona de Santa Cruz, ascienden a ",FIXED(F297,0),", todas ellas pertenecientes a la tipología hotelera. Se registra un ",IF(G297&gt;0,"incremento ","descenso "),"con respecto al año anterior del ",FIXED(G297*100,1),"%.")</f>
        <v>Las plazas estimadas por el STDE  del Cabildo de Tenerife en la zona de Santa Cruz, ascienden a 2.597, todas ellas pertenecientes a la tipología hotelera. Se registra un descenso con respecto al año anterior del -1,4%.</v>
      </c>
      <c r="I297" s="349"/>
      <c r="J297" s="349"/>
      <c r="K297" s="349"/>
      <c r="L297" s="350"/>
      <c r="M297" s="265"/>
      <c r="Q297" s="343"/>
    </row>
    <row r="298" spans="3:20" ht="34.5" customHeight="1" thickBot="1" x14ac:dyDescent="0.25">
      <c r="C298" s="351"/>
      <c r="D298" s="352"/>
      <c r="E298" s="353" t="s">
        <v>85</v>
      </c>
      <c r="F298" s="354">
        <v>2589</v>
      </c>
      <c r="G298" s="340">
        <v>-1.6710976072920602E-2</v>
      </c>
      <c r="H298" s="355"/>
      <c r="I298" s="355"/>
      <c r="J298" s="355"/>
      <c r="K298" s="355"/>
      <c r="L298" s="356"/>
      <c r="M298" s="265"/>
    </row>
    <row r="299" spans="3:20" ht="42" customHeight="1" thickTop="1" x14ac:dyDescent="0.2">
      <c r="C299" s="357" t="s">
        <v>13</v>
      </c>
      <c r="D299" s="358"/>
      <c r="E299" s="359" t="s">
        <v>8</v>
      </c>
      <c r="F299" s="360">
        <v>945</v>
      </c>
      <c r="G299" s="348">
        <v>5.0000000000000044E-2</v>
      </c>
      <c r="H299" s="361" t="s">
        <v>107</v>
      </c>
      <c r="I299" s="361"/>
      <c r="J299" s="361"/>
      <c r="K299" s="361"/>
      <c r="L299" s="362"/>
      <c r="M299" s="265"/>
    </row>
    <row r="300" spans="3:20" ht="34.5" customHeight="1" x14ac:dyDescent="0.2">
      <c r="C300" s="363"/>
      <c r="D300" s="364"/>
      <c r="E300" s="365" t="s">
        <v>85</v>
      </c>
      <c r="F300" s="75">
        <v>598</v>
      </c>
      <c r="G300" s="140">
        <v>4.3630017452007008E-2</v>
      </c>
      <c r="H300" s="366" t="str">
        <f>CONCATENATE("Las plazas hoteleras estimadas se sitúan en ",FIXED(F300,0)," plazas, registrando un ",IF(G300&gt;0,"incremento del ","descenso del "),FIXED(G300*100,1),"%.")</f>
        <v>Las plazas hoteleras estimadas se sitúan en 598 plazas, registrando un incremento del 4,4%.</v>
      </c>
      <c r="I300" s="366"/>
      <c r="J300" s="366"/>
      <c r="K300" s="366"/>
      <c r="L300" s="367"/>
      <c r="M300" s="265"/>
    </row>
    <row r="301" spans="3:20" ht="34.5" customHeight="1" thickBot="1" x14ac:dyDescent="0.25">
      <c r="C301" s="368"/>
      <c r="D301" s="369"/>
      <c r="E301" s="370" t="s">
        <v>86</v>
      </c>
      <c r="F301" s="371">
        <v>347</v>
      </c>
      <c r="G301" s="340">
        <v>6.1162079510703293E-2</v>
      </c>
      <c r="H301" s="372" t="s">
        <v>108</v>
      </c>
      <c r="I301" s="372"/>
      <c r="J301" s="372"/>
      <c r="K301" s="372"/>
      <c r="L301" s="373"/>
      <c r="M301" s="265"/>
    </row>
    <row r="302" spans="3:20" ht="39.75" customHeight="1" thickTop="1" x14ac:dyDescent="0.2">
      <c r="C302" s="374" t="s">
        <v>14</v>
      </c>
      <c r="D302" s="375"/>
      <c r="E302" s="346" t="s">
        <v>8</v>
      </c>
      <c r="F302" s="347">
        <v>26758</v>
      </c>
      <c r="G302" s="348">
        <v>-1.5344986200552024E-2</v>
      </c>
      <c r="H302" s="349" t="s">
        <v>109</v>
      </c>
      <c r="I302" s="349"/>
      <c r="J302" s="349"/>
      <c r="K302" s="349"/>
      <c r="L302" s="350"/>
      <c r="M302" s="265"/>
    </row>
    <row r="303" spans="3:20" ht="34.5" customHeight="1" x14ac:dyDescent="0.2">
      <c r="C303" s="376"/>
      <c r="D303" s="377"/>
      <c r="E303" s="378" t="s">
        <v>85</v>
      </c>
      <c r="F303" s="83">
        <v>18432</v>
      </c>
      <c r="G303" s="140">
        <v>-8.13140348024044E-4</v>
      </c>
      <c r="H303" s="379" t="str">
        <f>CONCATENATE("La oferta hotelera asciende a ",FIXED(F303,0),", cifra que se ",IF(G303&gt;0,"incrementa un ","reduce un "),FIXED(G303*100,1),"% respecto al año anterior.")</f>
        <v>La oferta hotelera asciende a 18.432, cifra que se reduce un -0,1% respecto al año anterior.</v>
      </c>
      <c r="I303" s="379"/>
      <c r="J303" s="379"/>
      <c r="K303" s="379"/>
      <c r="L303" s="380"/>
      <c r="M303" s="265"/>
    </row>
    <row r="304" spans="3:20" ht="34.5" customHeight="1" thickBot="1" x14ac:dyDescent="0.25">
      <c r="C304" s="381"/>
      <c r="D304" s="382"/>
      <c r="E304" s="353" t="s">
        <v>86</v>
      </c>
      <c r="F304" s="354">
        <v>8326</v>
      </c>
      <c r="G304" s="340">
        <v>-4.6058661778185184E-2</v>
      </c>
      <c r="H304" s="355" t="str">
        <f>CONCATENATE("Las plazas extrahoteras estimadas ascienden a ",FIXED(F304,0),", las cuales ",IF(G304&gt;0,"se incrementan un ","descienden un "),FIXED(G304*100,1),"%.")</f>
        <v>Las plazas extrahoteras estimadas ascienden a 8.326, las cuales descienden un -4,6%.</v>
      </c>
      <c r="I304" s="355"/>
      <c r="J304" s="355"/>
      <c r="K304" s="355"/>
      <c r="L304" s="356"/>
      <c r="M304" s="265"/>
    </row>
    <row r="305" spans="3:18" ht="34.5" customHeight="1" thickTop="1" x14ac:dyDescent="0.2">
      <c r="C305" s="383" t="s">
        <v>15</v>
      </c>
      <c r="D305" s="384"/>
      <c r="E305" s="385" t="s">
        <v>8</v>
      </c>
      <c r="F305" s="386">
        <v>128361</v>
      </c>
      <c r="G305" s="348">
        <v>-1.3419723765823566E-2</v>
      </c>
      <c r="H305" s="361" t="str">
        <f>CONCATENATE("Las plazas estimadas para la zona Sur por el STDE del Cabildo ascienden a ",FIXED(F305,0)," experimentando un ",IF(G305&gt;0,"incremento interanual del ","descenso interanual del "),FIXED(G305*100,1),"%.")</f>
        <v>Las plazas estimadas para la zona Sur por el STDE del Cabildo ascienden a 128.361 experimentando un descenso interanual del -1,3%.</v>
      </c>
      <c r="I305" s="361"/>
      <c r="J305" s="361"/>
      <c r="K305" s="361"/>
      <c r="L305" s="362"/>
      <c r="M305" s="265"/>
    </row>
    <row r="306" spans="3:18" ht="34.5" customHeight="1" x14ac:dyDescent="0.2">
      <c r="C306" s="387"/>
      <c r="D306" s="388"/>
      <c r="E306" s="389" t="s">
        <v>85</v>
      </c>
      <c r="F306" s="91">
        <v>69976</v>
      </c>
      <c r="G306" s="140">
        <v>3.0635088959585222E-2</v>
      </c>
      <c r="H306" s="366" t="str">
        <f>CONCATENATE("Las plazas hoteleras, con un oferta de ",FIXED(F306,0)," plazas, se ",IF(G306&gt;0,"incrementan un ","reducen un "),FIXED(G306*100,1),"% respecto al mismo período del año anterior.")</f>
        <v>Las plazas hoteleras, con un oferta de 69.976 plazas, se incrementan un 3,1% respecto al mismo período del año anterior.</v>
      </c>
      <c r="I306" s="366"/>
      <c r="J306" s="366"/>
      <c r="K306" s="366"/>
      <c r="L306" s="367"/>
      <c r="M306" s="265"/>
    </row>
    <row r="307" spans="3:18" ht="34.5" customHeight="1" x14ac:dyDescent="0.2">
      <c r="C307" s="387"/>
      <c r="D307" s="388"/>
      <c r="E307" s="390" t="s">
        <v>86</v>
      </c>
      <c r="F307" s="391">
        <v>58385</v>
      </c>
      <c r="G307" s="392">
        <v>-6.1500377746700696E-2</v>
      </c>
      <c r="H307" s="393" t="s">
        <v>110</v>
      </c>
      <c r="I307" s="393"/>
      <c r="J307" s="393"/>
      <c r="K307" s="393"/>
      <c r="L307" s="394"/>
      <c r="M307" s="265"/>
    </row>
    <row r="308" spans="3:18" ht="5.25" customHeight="1" thickBot="1" x14ac:dyDescent="0.25">
      <c r="C308" s="298"/>
      <c r="D308" s="298"/>
      <c r="E308" s="298"/>
      <c r="F308" s="298"/>
      <c r="G308" s="298"/>
      <c r="H308" s="298"/>
      <c r="I308" s="298"/>
      <c r="J308" s="298"/>
      <c r="K308" s="298"/>
      <c r="L308" s="298"/>
      <c r="M308" s="299"/>
      <c r="N308" s="257"/>
      <c r="O308" s="145"/>
      <c r="R308" s="145"/>
    </row>
    <row r="309" spans="3:18" ht="19.5" customHeight="1" thickBot="1" x14ac:dyDescent="0.25">
      <c r="C309" s="27" t="s">
        <v>87</v>
      </c>
      <c r="D309" s="28"/>
      <c r="E309" s="28"/>
      <c r="F309" s="28"/>
      <c r="G309" s="28"/>
      <c r="H309" s="28"/>
      <c r="I309" s="28"/>
      <c r="J309" s="28"/>
      <c r="K309" s="28"/>
      <c r="L309" s="28"/>
      <c r="M309" s="29"/>
      <c r="N309" s="257"/>
      <c r="O309" s="145"/>
      <c r="P309" s="145"/>
      <c r="Q309" s="145"/>
    </row>
    <row r="310" spans="3:18" ht="5.25" customHeight="1" x14ac:dyDescent="0.2"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151"/>
      <c r="O310" s="145"/>
      <c r="P310" s="145"/>
      <c r="Q310" s="145"/>
    </row>
    <row r="311" spans="3:18" ht="48" customHeight="1" thickBot="1" x14ac:dyDescent="0.25">
      <c r="C311" s="395" t="s">
        <v>88</v>
      </c>
      <c r="D311" s="396"/>
      <c r="E311" s="397" t="s">
        <v>89</v>
      </c>
      <c r="F311" s="398">
        <v>644007</v>
      </c>
      <c r="G311" s="303">
        <v>0.18201340212429717</v>
      </c>
      <c r="H311" s="399" t="s">
        <v>111</v>
      </c>
      <c r="I311" s="399"/>
      <c r="J311" s="399"/>
      <c r="K311" s="399"/>
      <c r="L311" s="400"/>
      <c r="M311" s="265" t="s">
        <v>113</v>
      </c>
    </row>
    <row r="312" spans="3:18" ht="45.75" customHeight="1" thickTop="1" thickBot="1" x14ac:dyDescent="0.25">
      <c r="C312" s="401"/>
      <c r="D312" s="402"/>
      <c r="E312" s="403" t="s">
        <v>90</v>
      </c>
      <c r="F312" s="404">
        <v>311</v>
      </c>
      <c r="G312" s="405">
        <v>3.3222591362126241E-2</v>
      </c>
      <c r="H312" s="406" t="s">
        <v>112</v>
      </c>
      <c r="I312" s="406"/>
      <c r="J312" s="406"/>
      <c r="K312" s="406"/>
      <c r="L312" s="407"/>
      <c r="M312" s="408"/>
    </row>
    <row r="314" spans="3:18" ht="29.25" customHeight="1" x14ac:dyDescent="0.2"/>
    <row r="315" spans="3:18" ht="18" customHeight="1" x14ac:dyDescent="0.2">
      <c r="C315" s="409" t="s">
        <v>91</v>
      </c>
      <c r="D315" s="409"/>
      <c r="E315" s="409"/>
      <c r="F315" s="409"/>
      <c r="G315" s="409"/>
      <c r="H315" s="409"/>
      <c r="I315" s="409"/>
      <c r="J315" s="409"/>
      <c r="K315" s="409"/>
      <c r="L315" s="409"/>
      <c r="M315" s="409"/>
    </row>
    <row r="317" spans="3:18" ht="6.75" customHeight="1" x14ac:dyDescent="0.2"/>
    <row r="319" spans="3:18" ht="8.25" customHeight="1" x14ac:dyDescent="0.2"/>
    <row r="322" spans="5:6" x14ac:dyDescent="0.2">
      <c r="E322" s="410"/>
      <c r="F322" s="410"/>
    </row>
    <row r="323" spans="5:6" x14ac:dyDescent="0.2">
      <c r="E323" s="410"/>
      <c r="F323" s="410"/>
    </row>
    <row r="326" spans="5:6" ht="21.75" customHeight="1" x14ac:dyDescent="0.2"/>
    <row r="328" spans="5:6" ht="6" customHeight="1" x14ac:dyDescent="0.2"/>
  </sheetData>
  <mergeCells count="162">
    <mergeCell ref="C315:M315"/>
    <mergeCell ref="C305:D307"/>
    <mergeCell ref="H305:L305"/>
    <mergeCell ref="H306:L306"/>
    <mergeCell ref="H307:L307"/>
    <mergeCell ref="C309:M309"/>
    <mergeCell ref="C311:D312"/>
    <mergeCell ref="H311:L311"/>
    <mergeCell ref="M311:M312"/>
    <mergeCell ref="H312:L312"/>
    <mergeCell ref="H299:L299"/>
    <mergeCell ref="H300:L300"/>
    <mergeCell ref="H301:L301"/>
    <mergeCell ref="C302:D304"/>
    <mergeCell ref="H302:L302"/>
    <mergeCell ref="H303:L303"/>
    <mergeCell ref="H304:L304"/>
    <mergeCell ref="E290:K290"/>
    <mergeCell ref="C292:M292"/>
    <mergeCell ref="C294:D296"/>
    <mergeCell ref="H294:L294"/>
    <mergeCell ref="M294:M307"/>
    <mergeCell ref="H295:L295"/>
    <mergeCell ref="H296:L296"/>
    <mergeCell ref="C297:D298"/>
    <mergeCell ref="H297:L298"/>
    <mergeCell ref="C299:D301"/>
    <mergeCell ref="H279:L279"/>
    <mergeCell ref="C281:M281"/>
    <mergeCell ref="C283:D287"/>
    <mergeCell ref="H283:L283"/>
    <mergeCell ref="M283:M287"/>
    <mergeCell ref="H284:L284"/>
    <mergeCell ref="H285:L285"/>
    <mergeCell ref="H286:L286"/>
    <mergeCell ref="H287:L287"/>
    <mergeCell ref="C272:M272"/>
    <mergeCell ref="C274:C279"/>
    <mergeCell ref="D274:D276"/>
    <mergeCell ref="H274:L274"/>
    <mergeCell ref="M274:M279"/>
    <mergeCell ref="H275:L275"/>
    <mergeCell ref="H276:L276"/>
    <mergeCell ref="D277:D279"/>
    <mergeCell ref="H277:L277"/>
    <mergeCell ref="H278:L278"/>
    <mergeCell ref="E238:K238"/>
    <mergeCell ref="C240:M240"/>
    <mergeCell ref="D242:E242"/>
    <mergeCell ref="F242:G242"/>
    <mergeCell ref="H242:I242"/>
    <mergeCell ref="J242:K242"/>
    <mergeCell ref="L242:M242"/>
    <mergeCell ref="P184:Q184"/>
    <mergeCell ref="C210:Q210"/>
    <mergeCell ref="C211:Q211"/>
    <mergeCell ref="D212:E212"/>
    <mergeCell ref="F212:G212"/>
    <mergeCell ref="H212:I212"/>
    <mergeCell ref="J212:K212"/>
    <mergeCell ref="L212:M212"/>
    <mergeCell ref="N212:O212"/>
    <mergeCell ref="P212:Q212"/>
    <mergeCell ref="C179:M179"/>
    <mergeCell ref="E180:K180"/>
    <mergeCell ref="C182:Q182"/>
    <mergeCell ref="C183:Q183"/>
    <mergeCell ref="D184:E184"/>
    <mergeCell ref="F184:G184"/>
    <mergeCell ref="H184:I184"/>
    <mergeCell ref="J184:K184"/>
    <mergeCell ref="L184:M184"/>
    <mergeCell ref="N184:O184"/>
    <mergeCell ref="C147:M147"/>
    <mergeCell ref="G148:I148"/>
    <mergeCell ref="D150:E150"/>
    <mergeCell ref="F150:G150"/>
    <mergeCell ref="H150:I150"/>
    <mergeCell ref="J150:K150"/>
    <mergeCell ref="L150:M150"/>
    <mergeCell ref="C112:M112"/>
    <mergeCell ref="E113:K113"/>
    <mergeCell ref="C115:M115"/>
    <mergeCell ref="G116:I116"/>
    <mergeCell ref="D118:E118"/>
    <mergeCell ref="F118:G118"/>
    <mergeCell ref="H118:I118"/>
    <mergeCell ref="J118:K118"/>
    <mergeCell ref="L118:M118"/>
    <mergeCell ref="C96:M96"/>
    <mergeCell ref="C98:D102"/>
    <mergeCell ref="I98:I102"/>
    <mergeCell ref="M98:M102"/>
    <mergeCell ref="C104:M104"/>
    <mergeCell ref="C106:D110"/>
    <mergeCell ref="I106:I110"/>
    <mergeCell ref="M106:M110"/>
    <mergeCell ref="C82:D86"/>
    <mergeCell ref="I82:I86"/>
    <mergeCell ref="M82:M86"/>
    <mergeCell ref="C88:M88"/>
    <mergeCell ref="C90:D94"/>
    <mergeCell ref="I90:I94"/>
    <mergeCell ref="M90:M94"/>
    <mergeCell ref="I70:I72"/>
    <mergeCell ref="C73:D75"/>
    <mergeCell ref="I73:I75"/>
    <mergeCell ref="C76:D78"/>
    <mergeCell ref="I76:I78"/>
    <mergeCell ref="C80:M80"/>
    <mergeCell ref="C59:G60"/>
    <mergeCell ref="I59:M60"/>
    <mergeCell ref="C61:D61"/>
    <mergeCell ref="C63:M63"/>
    <mergeCell ref="C65:D67"/>
    <mergeCell ref="I65:I67"/>
    <mergeCell ref="M65:M78"/>
    <mergeCell ref="C68:D69"/>
    <mergeCell ref="I68:I69"/>
    <mergeCell ref="C70:D72"/>
    <mergeCell ref="C51:D53"/>
    <mergeCell ref="I51:I53"/>
    <mergeCell ref="C54:D56"/>
    <mergeCell ref="I54:I56"/>
    <mergeCell ref="C57:M57"/>
    <mergeCell ref="E58:K58"/>
    <mergeCell ref="C37:D39"/>
    <mergeCell ref="I37:I39"/>
    <mergeCell ref="C41:M41"/>
    <mergeCell ref="C43:D45"/>
    <mergeCell ref="I43:I45"/>
    <mergeCell ref="M43:M56"/>
    <mergeCell ref="C46:D47"/>
    <mergeCell ref="I46:I47"/>
    <mergeCell ref="C48:D50"/>
    <mergeCell ref="I48:I50"/>
    <mergeCell ref="C24:M24"/>
    <mergeCell ref="C26:D28"/>
    <mergeCell ref="I26:I28"/>
    <mergeCell ref="M26:M39"/>
    <mergeCell ref="C29:D30"/>
    <mergeCell ref="I29:I30"/>
    <mergeCell ref="C31:D33"/>
    <mergeCell ref="I31:I33"/>
    <mergeCell ref="C34:D36"/>
    <mergeCell ref="I34:I36"/>
    <mergeCell ref="C14:D16"/>
    <mergeCell ref="I14:I16"/>
    <mergeCell ref="C17:D19"/>
    <mergeCell ref="I17:I19"/>
    <mergeCell ref="C20:D22"/>
    <mergeCell ref="I20:I22"/>
    <mergeCell ref="E1:K1"/>
    <mergeCell ref="C2:G3"/>
    <mergeCell ref="I2:M3"/>
    <mergeCell ref="C5:D5"/>
    <mergeCell ref="C7:M7"/>
    <mergeCell ref="C9:D11"/>
    <mergeCell ref="I9:I11"/>
    <mergeCell ref="M9:M22"/>
    <mergeCell ref="C12:D13"/>
    <mergeCell ref="I12:I13"/>
  </mergeCells>
  <conditionalFormatting sqref="D186:D208 F186:F208 H186:H208 J186:J208 L186:L208 N186:N208 D214:D236 F214:F236 H214:H236 J214:J236 L214:L236 N214:N236 P186:P208 P214:P236 G9:G10 G12:G2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9:G10 G12:G2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10 G12:G22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10 G12:G22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311:G312 G294:G307 G283:G287 G274:G279 L106:L110 G106:G110 L98:L102 G98:G102 L90:L94 G90:G94 L83:L86 G82:G86 L9:L22">
    <cfRule type="cellIs" dxfId="101" priority="97" operator="equal">
      <formula>0</formula>
    </cfRule>
    <cfRule type="cellIs" dxfId="100" priority="98" operator="lessThan">
      <formula>0</formula>
    </cfRule>
    <cfRule type="cellIs" dxfId="99" priority="99" operator="greaterThan">
      <formula>0</formula>
    </cfRule>
  </conditionalFormatting>
  <conditionalFormatting sqref="G311:G312 G294:G307 G283:G287 G274:G279 L106:L110 G106:G110 L98:L102 G98:G102 L90:L94 G90:G94 L83:L86 G82:G86 L9:L22">
    <cfRule type="cellIs" dxfId="98" priority="100" stopIfTrue="1" operator="greaterThan">
      <formula>0</formula>
    </cfRule>
    <cfRule type="cellIs" dxfId="97" priority="101" stopIfTrue="1" operator="lessThan">
      <formula>0</formula>
    </cfRule>
    <cfRule type="cellIs" dxfId="96" priority="102" stopIfTrue="1" operator="equal">
      <formula>0</formula>
    </cfRule>
  </conditionalFormatting>
  <conditionalFormatting sqref="G26:G27 G29:G39">
    <cfRule type="cellIs" dxfId="95" priority="46" stopIfTrue="1" operator="greaterThan">
      <formula>0</formula>
    </cfRule>
    <cfRule type="cellIs" dxfId="94" priority="47" stopIfTrue="1" operator="lessThan">
      <formula>0</formula>
    </cfRule>
    <cfRule type="cellIs" dxfId="93" priority="48" stopIfTrue="1" operator="equal">
      <formula>0</formula>
    </cfRule>
  </conditionalFormatting>
  <conditionalFormatting sqref="G26:G27 G29:G39">
    <cfRule type="cellIs" dxfId="92" priority="43" operator="equal">
      <formula>0</formula>
    </cfRule>
    <cfRule type="cellIs" dxfId="91" priority="44" operator="lessThan">
      <formula>0</formula>
    </cfRule>
    <cfRule type="cellIs" dxfId="90" priority="45" operator="greaterThan">
      <formula>0</formula>
    </cfRule>
  </conditionalFormatting>
  <conditionalFormatting sqref="G43:G56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43:G56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44:G56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44:G56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26:L39">
    <cfRule type="cellIs" dxfId="77" priority="91" operator="equal">
      <formula>0</formula>
    </cfRule>
    <cfRule type="cellIs" dxfId="76" priority="92" operator="lessThan">
      <formula>0</formula>
    </cfRule>
    <cfRule type="cellIs" dxfId="75" priority="93" operator="greaterThan">
      <formula>0</formula>
    </cfRule>
  </conditionalFormatting>
  <conditionalFormatting sqref="L26:L39">
    <cfRule type="cellIs" dxfId="74" priority="94" stopIfTrue="1" operator="greaterThan">
      <formula>0</formula>
    </cfRule>
    <cfRule type="cellIs" dxfId="73" priority="95" stopIfTrue="1" operator="lessThan">
      <formula>0</formula>
    </cfRule>
    <cfRule type="cellIs" dxfId="72" priority="96" stopIfTrue="1" operator="equal">
      <formula>0</formula>
    </cfRule>
  </conditionalFormatting>
  <conditionalFormatting sqref="L43:L56">
    <cfRule type="cellIs" dxfId="71" priority="73" operator="equal">
      <formula>0</formula>
    </cfRule>
    <cfRule type="cellIs" dxfId="70" priority="74" operator="lessThan">
      <formula>0</formula>
    </cfRule>
    <cfRule type="cellIs" dxfId="69" priority="75" operator="greaterThan">
      <formula>0</formula>
    </cfRule>
  </conditionalFormatting>
  <conditionalFormatting sqref="L43:L56">
    <cfRule type="cellIs" dxfId="68" priority="76" stopIfTrue="1" operator="greaterThan">
      <formula>0</formula>
    </cfRule>
    <cfRule type="cellIs" dxfId="67" priority="77" stopIfTrue="1" operator="lessThan">
      <formula>0</formula>
    </cfRule>
    <cfRule type="cellIs" dxfId="66" priority="78" stopIfTrue="1" operator="equal">
      <formula>0</formula>
    </cfRule>
  </conditionalFormatting>
  <conditionalFormatting sqref="G65:G78">
    <cfRule type="cellIs" dxfId="65" priority="70" stopIfTrue="1" operator="greaterThan">
      <formula>0</formula>
    </cfRule>
    <cfRule type="cellIs" dxfId="64" priority="71" stopIfTrue="1" operator="lessThan">
      <formula>0</formula>
    </cfRule>
    <cfRule type="cellIs" dxfId="63" priority="72" stopIfTrue="1" operator="equal">
      <formula>0</formula>
    </cfRule>
  </conditionalFormatting>
  <conditionalFormatting sqref="G65:G78">
    <cfRule type="cellIs" dxfId="62" priority="67" operator="equal">
      <formula>0</formula>
    </cfRule>
    <cfRule type="cellIs" dxfId="61" priority="68" operator="lessThan">
      <formula>0</formula>
    </cfRule>
    <cfRule type="cellIs" dxfId="60" priority="69" operator="greaterThan">
      <formula>0</formula>
    </cfRule>
  </conditionalFormatting>
  <conditionalFormatting sqref="G66:G78">
    <cfRule type="cellIs" dxfId="59" priority="64" stopIfTrue="1" operator="greaterThan">
      <formula>0</formula>
    </cfRule>
    <cfRule type="cellIs" dxfId="58" priority="65" stopIfTrue="1" operator="lessThan">
      <formula>0</formula>
    </cfRule>
    <cfRule type="cellIs" dxfId="57" priority="66" stopIfTrue="1" operator="equal">
      <formula>0</formula>
    </cfRule>
  </conditionalFormatting>
  <conditionalFormatting sqref="G66:G78">
    <cfRule type="cellIs" dxfId="56" priority="61" operator="equal">
      <formula>0</formula>
    </cfRule>
    <cfRule type="cellIs" dxfId="55" priority="62" operator="lessThan">
      <formula>0</formula>
    </cfRule>
    <cfRule type="cellIs" dxfId="54" priority="63" operator="greaterThan">
      <formula>0</formula>
    </cfRule>
  </conditionalFormatting>
  <conditionalFormatting sqref="L65:L78">
    <cfRule type="cellIs" dxfId="53" priority="55" operator="equal">
      <formula>0</formula>
    </cfRule>
    <cfRule type="cellIs" dxfId="52" priority="56" operator="lessThan">
      <formula>0</formula>
    </cfRule>
    <cfRule type="cellIs" dxfId="51" priority="57" operator="greaterThan">
      <formula>0</formula>
    </cfRule>
  </conditionalFormatting>
  <conditionalFormatting sqref="L65:L78">
    <cfRule type="cellIs" dxfId="50" priority="58" stopIfTrue="1" operator="greaterThan">
      <formula>0</formula>
    </cfRule>
    <cfRule type="cellIs" dxfId="49" priority="59" stopIfTrue="1" operator="lessThan">
      <formula>0</formula>
    </cfRule>
    <cfRule type="cellIs" dxfId="48" priority="60" stopIfTrue="1" operator="equal">
      <formula>0</formula>
    </cfRule>
  </conditionalFormatting>
  <conditionalFormatting sqref="G11">
    <cfRule type="cellIs" dxfId="47" priority="52" stopIfTrue="1" operator="greaterThan">
      <formula>0</formula>
    </cfRule>
    <cfRule type="cellIs" dxfId="46" priority="53" stopIfTrue="1" operator="lessThan">
      <formula>0</formula>
    </cfRule>
    <cfRule type="cellIs" dxfId="45" priority="54" stopIfTrue="1" operator="equal">
      <formula>0</formula>
    </cfRule>
  </conditionalFormatting>
  <conditionalFormatting sqref="G11">
    <cfRule type="cellIs" dxfId="44" priority="49" operator="equal">
      <formula>0</formula>
    </cfRule>
    <cfRule type="cellIs" dxfId="43" priority="50" operator="lessThan">
      <formula>0</formula>
    </cfRule>
    <cfRule type="cellIs" dxfId="42" priority="51" operator="greaterThan">
      <formula>0</formula>
    </cfRule>
  </conditionalFormatting>
  <conditionalFormatting sqref="G27 G29:G39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27 G29:G39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G28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28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E120:E145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E120:E145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120:G145 I120:I145 K120:K145 M120:M145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G120:G145 I120:I145 K120:K145 M120:M145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E152:E177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E152:E177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152:G177 I152:I177 K152:K177 M152:M177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152:G177 I152:I177 K152:K177 M152:M177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L82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82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57" min="2" max="12" man="1"/>
    <brk id="111" min="2" max="12" man="1"/>
    <brk id="177" min="2" max="12" man="1"/>
    <brk id="288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2015</year>
    <PublishingExpirationDate xmlns="http://schemas.microsoft.com/sharepoint/v3" xsi:nil="true"/>
    <DocumentoAdjunto1_mercado_cp xmlns="8b099203-c902-4a5b-992f-1f849b15ff82" xsi:nil="true"/>
    <DestacadoHome xmlns="8b099203-c902-4a5b-992f-1f849b15ff82">Si</DestacadoHome>
    <PublishingStartDate xmlns="http://schemas.microsoft.com/sharepoint/v3">2016-02-05T14:42:07+00:00</PublishingStartDate>
    <_dlc_DocId xmlns="8b099203-c902-4a5b-992f-1f849b15ff82">Q5F7QW3RQ55V-2035-322</_dlc_DocId>
    <_dlc_DocIdUrl xmlns="8b099203-c902-4a5b-992f-1f849b15ff82">
      <Url>http://cd102671/es/investigacion/Situacion-turistica/indicadores-turisticos/_layouts/DocIdRedir.aspx?ID=Q5F7QW3RQ55V-2035-322</Url>
      <Description>Q5F7QW3RQ55V-2035-322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C731D6-2C94-4D03-9278-2764B9483EC6}"/>
</file>

<file path=customXml/itemProps2.xml><?xml version="1.0" encoding="utf-8"?>
<ds:datastoreItem xmlns:ds="http://schemas.openxmlformats.org/officeDocument/2006/customXml" ds:itemID="{34D9AC1B-53F3-445F-94A0-8737598C56D3}"/>
</file>

<file path=customXml/itemProps3.xml><?xml version="1.0" encoding="utf-8"?>
<ds:datastoreItem xmlns:ds="http://schemas.openxmlformats.org/officeDocument/2006/customXml" ds:itemID="{CD1B8CAC-BF69-440B-BD73-CB2B608E6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(año 2015)</dc:title>
  <dc:creator>Marjorie Perez Garcia</dc:creator>
  <cp:lastModifiedBy>Marjorie Perez Garcia</cp:lastModifiedBy>
  <dcterms:created xsi:type="dcterms:W3CDTF">2016-02-01T14:24:01Z</dcterms:created>
  <dcterms:modified xsi:type="dcterms:W3CDTF">2016-02-01T14:25:43Z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7347094e-5381-41bd-ad66-965ef366ccdb</vt:lpwstr>
  </property>
</Properties>
</file>