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Ind turísticos (vinculo)" sheetId="1" r:id="rId1"/>
  </sheets>
  <externalReferences>
    <externalReference r:id="rId2"/>
  </externalReferences>
  <definedNames>
    <definedName name="_xlnm.Print_Area" localSheetId="0">'Ind turísticos (vinculo)'!$C$1:$M$315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(vinculo)'!$C$1:$M$317</definedName>
    <definedName name="Z_B161D6A3_44F3_469D_B50D_76D907B3525C_.wvu.Cols" localSheetId="0" hidden="1">'Ind turísticos (vinculo)'!#REF!</definedName>
  </definedNames>
  <calcPr calcId="145621"/>
</workbook>
</file>

<file path=xl/calcChain.xml><?xml version="1.0" encoding="utf-8"?>
<calcChain xmlns="http://schemas.openxmlformats.org/spreadsheetml/2006/main">
  <c r="Q236" i="1" l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K226" i="1"/>
  <c r="J226" i="1"/>
  <c r="I226" i="1"/>
  <c r="H226" i="1"/>
  <c r="G226" i="1"/>
  <c r="F226" i="1"/>
  <c r="E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K198" i="1"/>
  <c r="J198" i="1"/>
  <c r="I198" i="1"/>
  <c r="H198" i="1"/>
  <c r="G198" i="1"/>
  <c r="F198" i="1"/>
  <c r="E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3" i="1"/>
  <c r="G116" i="1"/>
  <c r="D246" i="1" l="1"/>
  <c r="D247" i="1"/>
  <c r="D245" i="1"/>
  <c r="E268" i="1"/>
  <c r="I268" i="1"/>
  <c r="M268" i="1"/>
  <c r="H295" i="1"/>
  <c r="H306" i="1"/>
  <c r="F268" i="1"/>
  <c r="J268" i="1"/>
  <c r="H276" i="1"/>
  <c r="H305" i="1"/>
  <c r="G268" i="1"/>
  <c r="K268" i="1"/>
  <c r="H297" i="1"/>
  <c r="H300" i="1"/>
  <c r="H304" i="1"/>
  <c r="D268" i="1"/>
  <c r="H268" i="1"/>
  <c r="L268" i="1"/>
  <c r="H278" i="1"/>
  <c r="H303" i="1"/>
  <c r="E180" i="1"/>
  <c r="E238" i="1"/>
  <c r="E290" i="1" s="1"/>
  <c r="E113" i="1"/>
  <c r="C211" i="1"/>
  <c r="G148" i="1"/>
  <c r="E245" i="1" l="1"/>
  <c r="E246" i="1"/>
  <c r="E247" i="1"/>
</calcChain>
</file>

<file path=xl/sharedStrings.xml><?xml version="1.0" encoding="utf-8"?>
<sst xmlns="http://schemas.openxmlformats.org/spreadsheetml/2006/main" count="585" uniqueCount="115">
  <si>
    <t>Ámbito</t>
  </si>
  <si>
    <t>Variable</t>
  </si>
  <si>
    <t>Valor absoluto
mensual</t>
  </si>
  <si>
    <t>Variación respecto al período anterior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</si>
  <si>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</si>
  <si>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</si>
  <si>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</si>
  <si>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</si>
  <si>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</si>
  <si>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</si>
  <si>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</si>
  <si>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</si>
  <si>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</si>
  <si>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</si>
  <si>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</si>
  <si>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</si>
  <si>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</si>
  <si>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Valor absoluto
acumulado</t>
  </si>
  <si>
    <t xml:space="preserve">Variación respecto al período acumulado anterior 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</si>
  <si>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</si>
  <si>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</si>
  <si>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</si>
  <si>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</si>
  <si>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</si>
  <si>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</si>
  <si>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</si>
  <si>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</si>
  <si>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</si>
  <si>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</si>
  <si>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</si>
  <si>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</si>
  <si>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</si>
  <si>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</si>
  <si>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</si>
  <si>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</si>
  <si>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var
interanual</t>
  </si>
  <si>
    <t>Alojados
mes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</si>
  <si>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</si>
  <si>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</si>
  <si>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</si>
  <si>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</si>
  <si>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</si>
  <si>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</si>
  <si>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</si>
  <si>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</si>
  <si>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</si>
  <si>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</si>
  <si>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</si>
  <si>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</si>
  <si>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</si>
  <si>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</si>
  <si>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</si>
  <si>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</si>
  <si>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</si>
  <si>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</si>
  <si>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</si>
  <si>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</si>
  <si>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</si>
  <si>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</si>
  <si>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</si>
  <si>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</si>
  <si>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</si>
  <si>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</si>
  <si>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</si>
  <si>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</si>
  <si>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</si>
  <si>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</si>
  <si>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</si>
  <si>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</si>
  <si>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</si>
  <si>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</si>
  <si>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</si>
  <si>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</si>
  <si>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</si>
  <si>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</si>
  <si>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</si>
  <si>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</si>
  <si>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</si>
  <si>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 xml:space="preserve">Policía Turística Cabildo de Tenerife
</t>
  </si>
  <si>
    <t>Hotelera</t>
  </si>
  <si>
    <t>Apartamentos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</si>
  <si>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</si>
  <si>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</si>
  <si>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</si>
  <si>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</si>
  <si>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</si>
  <si>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</si>
  <si>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</si>
  <si>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</si>
  <si>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</si>
  <si>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</si>
  <si>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</si>
  <si>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</si>
  <si>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diciembre 2014</t>
  </si>
  <si>
    <t>año 2014</t>
  </si>
  <si>
    <t>Muestra hotelera= 91,5%;   Muestra extrahotelera= 66,8%;   Muestra total= 80,6%</t>
  </si>
  <si>
    <t>El gasto medio total por turista en el año 2014 ha ascendido a 1.063,9€ . Se reduce un -1,4% respecto al mismo periodo del año anterior.</t>
  </si>
  <si>
    <t>El gasto medio por turista en origen se situó en 698,4€, un -1,9% menos que en el año 2013.</t>
  </si>
  <si>
    <t>El gasto total diario por turista se situó en 112,8€, un -0,8% menos que en el año 2013.</t>
  </si>
  <si>
    <t>El gasto medio en Tenerife, por turista y día  fue de 39,1€, experimentando un descenso del -0,2% respecto a el año 2013.</t>
  </si>
  <si>
    <t>año 2014 
Encuesta al Turismo Receptivo del Cabildo de Tenerife</t>
  </si>
  <si>
    <t>El número de plazas autorizadas por Policía Turística a fecha de diciembre 2014 asciendían a 133.348 plazas, registrando un incremento del 0,7% respecto al cierre del año 2013.</t>
  </si>
  <si>
    <t>Las plazas hoteleras autorizadas ascienden a 82.741 y representan el 62% del total. Con respecto al año 2013, las plazas hoteleras se incrementan un 1,0%.</t>
  </si>
  <si>
    <t>Las plazas extrahoteleras autorizadas, el 37% del total, ascienden a  49.176 (no incluye oferta rural). Aumentan un +0,2% respecto al cierre de 2013.</t>
  </si>
  <si>
    <t>Las plazas de hoteles rurales autorizadas por Policía Turística ascienden a 541, con un incremento del 0,0% respecto a 2013.</t>
  </si>
  <si>
    <t>Las plazas de casas rurales autorizadas por Policía Turística ascienden a 890, registrando un descenso del -1,0% respecto a 2013.</t>
  </si>
  <si>
    <t>Las plazas estimadas por el STDE del Cabildo de Tenerife en el II semestre de 2014 ascienden a 160.815. Se reducen un -1,7% respecto al mismo período del año anterior.</t>
  </si>
  <si>
    <t>La oferta extrahotelera estimada por el STDE del Cabildo de Tenerife en el II semestre de 2014, asciende a 71.266 plazas, incluyendo oferta rural. Supone el 44,3% del total de las plazas turísticas, registrando un descenso del -4,0%.</t>
  </si>
  <si>
    <t>Las plazas estimadas para la zona de La Laguna, Bajamar, La Punta ascienden a 900 en el II semestre de 2014, registrando un descenso respecto al mismo periodo del año anterior del -7,2%.</t>
  </si>
  <si>
    <t>Las plazas extrahoteleras se estiman en 327, registrándose un descenso del -20,0% respecto al II semestre del año anterior.</t>
  </si>
  <si>
    <t>Las plazas totales estimadas para la zona Norte se sitúan en las 27.175 plazas,  registrándose un descenso del -2,9% con respecto al descenso del -20,0% respecto al II semestre del año anterior.</t>
  </si>
  <si>
    <t>Las plazas extrahoteleras estimadas se sitúan en las 62.211 en el II semestre del  2014, con un descenso del -4,2%  respecto al II semestre del año anterior.</t>
  </si>
  <si>
    <t>Por el Puerto de Santa Cruz de Tenerife han pasado en el año 2014, 539.333 cruceristas, un 2,1% más en comparación al mismo período del año 2013</t>
  </si>
  <si>
    <t>El número de buques de crucero en el Puerto de Santa Cruz de Tenerife hasta diciembre 2014 ascienden a un total de 301 cruceros, cifra que se incrementa un +3,4% respecto al mismo período del año anterior.</t>
  </si>
  <si>
    <t>año 2014
FUENTE: Autoridad Portuaria de S/C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</si>
</sst>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59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6795556505021"/>
      </left>
      <right style="thin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ck">
        <color theme="0" tint="-0.1499679555650502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thick">
        <color theme="0" tint="-0.1499679555650502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0.14996795556505021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0.1499069185460982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thick">
        <color theme="0" tint="-0.1499679555650502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0.1499679555650502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0.1499069185460982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679555650502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0.14996795556505021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0.14990691854609822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thick">
        <color theme="0" tint="-0.14996795556505021"/>
      </left>
      <right style="thin">
        <color theme="0" tint="-4.9989318521683403E-2"/>
      </right>
      <top style="thick">
        <color theme="0" tint="-0.14993743705557422"/>
      </top>
      <bottom/>
      <diagonal/>
    </border>
    <border>
      <left style="thin">
        <color theme="0" tint="-4.9989318521683403E-2"/>
      </left>
      <right style="thick">
        <color theme="0" tint="-0.14996795556505021"/>
      </right>
      <top style="thick">
        <color theme="0" tint="-0.14993743705557422"/>
      </top>
      <bottom/>
      <diagonal/>
    </border>
    <border>
      <left style="thin">
        <color theme="0" tint="-4.9989318521683403E-2"/>
      </left>
      <right style="thick">
        <color theme="0" tint="-0.14990691854609822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medium">
        <color theme="9"/>
      </bottom>
      <diagonal/>
    </border>
    <border>
      <left style="medium">
        <color theme="0" tint="-4.9989318521683403E-2"/>
      </left>
      <right/>
      <top/>
      <bottom style="medium">
        <color theme="9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medium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medium">
        <color theme="9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medium">
        <color theme="9"/>
      </bottom>
      <diagonal/>
    </border>
    <border>
      <left/>
      <right style="thick">
        <color theme="0" tint="-0.14990691854609822"/>
      </right>
      <top/>
      <bottom style="medium">
        <color theme="9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4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3" fontId="9" fillId="5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0" fontId="8" fillId="5" borderId="29" xfId="0" applyFont="1" applyFill="1" applyBorder="1" applyAlignment="1" applyProtection="1">
      <alignment horizontal="center" vertical="center" wrapText="1"/>
      <protection hidden="1"/>
    </xf>
    <xf numFmtId="3" fontId="9" fillId="5" borderId="2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29" xfId="0" applyFont="1" applyFill="1" applyBorder="1" applyAlignment="1" applyProtection="1">
      <alignment horizontal="center" vertical="center" wrapText="1"/>
      <protection hidden="1"/>
    </xf>
    <xf numFmtId="0" fontId="12" fillId="0" borderId="29" xfId="0" applyFont="1" applyFill="1" applyBorder="1" applyAlignment="1" applyProtection="1">
      <alignment horizontal="center" vertical="center" wrapText="1"/>
      <protection hidden="1"/>
    </xf>
    <xf numFmtId="3" fontId="10" fillId="0" borderId="2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2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7" borderId="29" xfId="0" applyFont="1" applyFill="1" applyBorder="1" applyAlignment="1" applyProtection="1">
      <alignment horizontal="center" vertical="center" wrapText="1"/>
      <protection hidden="1"/>
    </xf>
    <xf numFmtId="0" fontId="12" fillId="7" borderId="29" xfId="0" applyFont="1" applyFill="1" applyBorder="1" applyAlignment="1" applyProtection="1">
      <alignment horizontal="center" vertical="center" wrapText="1"/>
      <protection hidden="1"/>
    </xf>
    <xf numFmtId="3" fontId="10" fillId="7" borderId="29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12" fillId="6" borderId="29" xfId="0" applyFont="1" applyFill="1" applyBorder="1" applyAlignment="1" applyProtection="1">
      <alignment horizontal="center" vertical="center" wrapText="1"/>
      <protection hidden="1"/>
    </xf>
    <xf numFmtId="0" fontId="12" fillId="6" borderId="29" xfId="0" applyFont="1" applyFill="1" applyBorder="1" applyAlignment="1" applyProtection="1">
      <alignment horizontal="center" vertical="center" wrapText="1"/>
      <protection hidden="1"/>
    </xf>
    <xf numFmtId="3" fontId="10" fillId="6" borderId="29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9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2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12" fillId="6" borderId="34" xfId="0" applyFont="1" applyFill="1" applyBorder="1" applyAlignment="1" applyProtection="1">
      <alignment horizontal="center" vertical="center" wrapText="1"/>
      <protection hidden="1"/>
    </xf>
    <xf numFmtId="0" fontId="12" fillId="6" borderId="34" xfId="0" applyFont="1" applyFill="1" applyBorder="1" applyAlignment="1" applyProtection="1">
      <alignment horizontal="center" vertical="center" wrapText="1"/>
      <protection hidden="1"/>
    </xf>
    <xf numFmtId="2" fontId="10" fillId="6" borderId="34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5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6" xfId="0" applyFont="1" applyFill="1" applyBorder="1" applyAlignment="1" applyProtection="1">
      <alignment vertical="center" wrapText="1"/>
      <protection hidden="1"/>
    </xf>
    <xf numFmtId="2" fontId="10" fillId="6" borderId="37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2" fillId="0" borderId="41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165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5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5" fontId="9" fillId="5" borderId="29" xfId="0" applyNumberFormat="1" applyFont="1" applyFill="1" applyBorder="1" applyAlignment="1" applyProtection="1">
      <alignment horizontal="center" vertical="center" wrapText="1"/>
      <protection hidden="1"/>
    </xf>
    <xf numFmtId="165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5" fontId="10" fillId="0" borderId="29" xfId="0" applyNumberFormat="1" applyFont="1" applyFill="1" applyBorder="1" applyAlignment="1" applyProtection="1">
      <alignment horizontal="center" vertical="center" wrapText="1"/>
      <protection hidden="1"/>
    </xf>
    <xf numFmtId="165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165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165" fontId="10" fillId="7" borderId="29" xfId="0" applyNumberFormat="1" applyFont="1" applyFill="1" applyBorder="1" applyAlignment="1" applyProtection="1">
      <alignment horizontal="center" vertical="center" wrapText="1"/>
      <protection hidden="1"/>
    </xf>
    <xf numFmtId="165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165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165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165" fontId="10" fillId="6" borderId="29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2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3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6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14" fillId="0" borderId="45" xfId="0" applyFont="1" applyFill="1" applyBorder="1" applyAlignment="1" applyProtection="1">
      <alignment horizontal="center" vertical="center" wrapText="1"/>
      <protection hidden="1"/>
    </xf>
    <xf numFmtId="0" fontId="2" fillId="0" borderId="46" xfId="0" applyFont="1" applyFill="1" applyBorder="1" applyAlignment="1" applyProtection="1">
      <alignment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8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5" fillId="0" borderId="45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9" xfId="0" applyFont="1" applyFill="1" applyBorder="1" applyAlignment="1" applyProtection="1">
      <alignment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6" fillId="4" borderId="51" xfId="0" applyFont="1" applyFill="1" applyBorder="1" applyAlignment="1" applyProtection="1">
      <alignment horizontal="center" vertical="center" wrapText="1"/>
      <protection hidden="1"/>
    </xf>
    <xf numFmtId="0" fontId="6" fillId="4" borderId="52" xfId="0" applyFont="1" applyFill="1" applyBorder="1" applyAlignment="1" applyProtection="1">
      <alignment horizontal="center" vertical="center" wrapText="1"/>
      <protection hidden="1"/>
    </xf>
    <xf numFmtId="0" fontId="2" fillId="4" borderId="53" xfId="0" applyFont="1" applyFill="1" applyBorder="1" applyAlignment="1" applyProtection="1">
      <alignment vertical="center" wrapText="1"/>
      <protection hidden="1"/>
    </xf>
    <xf numFmtId="0" fontId="5" fillId="4" borderId="54" xfId="0" applyFont="1" applyFill="1" applyBorder="1" applyAlignment="1" applyProtection="1">
      <alignment horizontal="center" vertical="center" wrapText="1"/>
      <protection hidden="1"/>
    </xf>
    <xf numFmtId="0" fontId="5" fillId="4" borderId="55" xfId="0" applyFont="1" applyFill="1" applyBorder="1" applyAlignment="1" applyProtection="1">
      <alignment horizontal="center" vertical="center" wrapText="1"/>
      <protection hidden="1"/>
    </xf>
    <xf numFmtId="0" fontId="5" fillId="4" borderId="56" xfId="0" applyFont="1" applyFill="1" applyBorder="1" applyAlignment="1" applyProtection="1">
      <alignment horizontal="center" vertical="center" wrapText="1"/>
      <protection hidden="1"/>
    </xf>
    <xf numFmtId="0" fontId="6" fillId="0" borderId="57" xfId="0" applyFont="1" applyFill="1" applyBorder="1" applyAlignment="1" applyProtection="1">
      <alignment horizontal="left" vertical="center" wrapText="1"/>
      <protection hidden="1"/>
    </xf>
    <xf numFmtId="164" fontId="10" fillId="6" borderId="58" xfId="1" applyNumberFormat="1" applyFont="1" applyFill="1" applyBorder="1" applyAlignment="1" applyProtection="1">
      <alignment horizontal="center" vertical="center" wrapText="1"/>
      <protection hidden="1"/>
    </xf>
    <xf numFmtId="3" fontId="10" fillId="0" borderId="59" xfId="0" applyNumberFormat="1" applyFont="1" applyFill="1" applyBorder="1" applyAlignment="1" applyProtection="1">
      <alignment horizontal="right" vertical="center" wrapText="1" indent="1"/>
      <protection hidden="1"/>
    </xf>
    <xf numFmtId="3" fontId="10" fillId="0" borderId="60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1" xfId="0" applyFont="1" applyFill="1" applyBorder="1" applyAlignment="1" applyProtection="1">
      <alignment horizontal="right" vertical="center" wrapTex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3" fontId="10" fillId="0" borderId="64" xfId="0" applyNumberFormat="1" applyFont="1" applyFill="1" applyBorder="1" applyAlignment="1" applyProtection="1">
      <alignment horizontal="right" vertical="center" wrapText="1" indent="1"/>
      <protection hidden="1"/>
    </xf>
    <xf numFmtId="9" fontId="2" fillId="0" borderId="0" xfId="1" applyFont="1" applyAlignment="1" applyProtection="1">
      <alignment vertical="center" wrapText="1"/>
      <protection hidden="1"/>
    </xf>
    <xf numFmtId="0" fontId="2" fillId="0" borderId="65" xfId="0" applyFont="1" applyFill="1" applyBorder="1" applyAlignment="1" applyProtection="1">
      <alignment horizontal="right" vertical="center" wrapText="1"/>
      <protection hidden="1"/>
    </xf>
    <xf numFmtId="164" fontId="10" fillId="6" borderId="66" xfId="1" applyNumberFormat="1" applyFont="1" applyFill="1" applyBorder="1" applyAlignment="1" applyProtection="1">
      <alignment horizontal="center" vertical="center" wrapText="1"/>
      <protection hidden="1"/>
    </xf>
    <xf numFmtId="3" fontId="10" fillId="0" borderId="67" xfId="0" applyNumberFormat="1" applyFont="1" applyFill="1" applyBorder="1" applyAlignment="1" applyProtection="1">
      <alignment horizontal="right" vertical="center" wrapText="1" indent="1"/>
      <protection hidden="1"/>
    </xf>
    <xf numFmtId="3" fontId="10" fillId="0" borderId="68" xfId="0" applyNumberFormat="1" applyFont="1" applyFill="1" applyBorder="1" applyAlignment="1" applyProtection="1">
      <alignment horizontal="right" vertical="center" wrapText="1" indent="1"/>
      <protection hidden="1"/>
    </xf>
    <xf numFmtId="3" fontId="14" fillId="7" borderId="61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7" xfId="0" applyNumberFormat="1" applyFont="1" applyFill="1" applyBorder="1" applyAlignment="1" applyProtection="1">
      <alignment horizontal="right" vertical="center" wrapText="1" indent="1"/>
      <protection hidden="1"/>
    </xf>
    <xf numFmtId="3" fontId="10" fillId="7" borderId="68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5" xfId="0" applyFont="1" applyFill="1" applyBorder="1" applyAlignment="1" applyProtection="1">
      <alignment horizontal="left" vertical="center" wrapText="1"/>
      <protection hidden="1"/>
    </xf>
    <xf numFmtId="3" fontId="14" fillId="7" borderId="61" xfId="0" applyNumberFormat="1" applyFont="1" applyFill="1" applyBorder="1" applyAlignment="1" applyProtection="1">
      <alignment horizontal="right" vertical="center" wrapText="1"/>
      <protection hidden="1"/>
    </xf>
    <xf numFmtId="164" fontId="10" fillId="6" borderId="69" xfId="1" applyNumberFormat="1" applyFont="1" applyFill="1" applyBorder="1" applyAlignment="1" applyProtection="1">
      <alignment horizontal="center" vertical="center" wrapText="1"/>
      <protection hidden="1"/>
    </xf>
    <xf numFmtId="3" fontId="10" fillId="0" borderId="70" xfId="0" applyNumberFormat="1" applyFont="1" applyFill="1" applyBorder="1" applyAlignment="1" applyProtection="1">
      <alignment horizontal="right" vertical="center" wrapText="1" indent="1"/>
      <protection hidden="1"/>
    </xf>
    <xf numFmtId="3" fontId="10" fillId="0" borderId="71" xfId="0" applyNumberFormat="1" applyFont="1" applyFill="1" applyBorder="1" applyAlignment="1" applyProtection="1">
      <alignment horizontal="right" vertical="center" wrapText="1" indent="1"/>
      <protection hidden="1"/>
    </xf>
    <xf numFmtId="3" fontId="6" fillId="4" borderId="72" xfId="0" applyNumberFormat="1" applyFont="1" applyFill="1" applyBorder="1" applyAlignment="1" applyProtection="1">
      <alignment horizontal="left" vertical="center" wrapText="1"/>
      <protection hidden="1"/>
    </xf>
    <xf numFmtId="164" fontId="10" fillId="6" borderId="73" xfId="1" applyNumberFormat="1" applyFont="1" applyFill="1" applyBorder="1" applyAlignment="1" applyProtection="1">
      <alignment horizontal="center" vertical="center" wrapText="1"/>
      <protection hidden="1"/>
    </xf>
    <xf numFmtId="3" fontId="10" fillId="4" borderId="74" xfId="0" applyNumberFormat="1" applyFont="1" applyFill="1" applyBorder="1" applyAlignment="1" applyProtection="1">
      <alignment horizontal="right" vertical="center" wrapText="1" indent="1"/>
      <protection hidden="1"/>
    </xf>
    <xf numFmtId="3" fontId="10" fillId="4" borderId="75" xfId="0" applyNumberFormat="1" applyFont="1" applyFill="1" applyBorder="1" applyAlignment="1" applyProtection="1">
      <alignment horizontal="right" vertical="center" wrapText="1" indent="1"/>
      <protection hidden="1"/>
    </xf>
    <xf numFmtId="0" fontId="9" fillId="5" borderId="76" xfId="0" applyFont="1" applyFill="1" applyBorder="1" applyAlignment="1" applyProtection="1">
      <alignment horizontal="left" vertical="center" wrapText="1"/>
      <protection hidden="1"/>
    </xf>
    <xf numFmtId="164" fontId="10" fillId="6" borderId="77" xfId="1" applyNumberFormat="1" applyFont="1" applyFill="1" applyBorder="1" applyAlignment="1" applyProtection="1">
      <alignment horizontal="center" vertical="center" wrapText="1"/>
      <protection hidden="1"/>
    </xf>
    <xf numFmtId="3" fontId="9" fillId="5" borderId="78" xfId="0" applyNumberFormat="1" applyFont="1" applyFill="1" applyBorder="1" applyAlignment="1" applyProtection="1">
      <alignment horizontal="right" vertical="center" wrapText="1" indent="1"/>
      <protection hidden="1"/>
    </xf>
    <xf numFmtId="3" fontId="9" fillId="5" borderId="79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8" borderId="80" xfId="0" applyFont="1" applyFill="1" applyBorder="1" applyAlignment="1" applyProtection="1">
      <alignment horizontal="center" vertical="center" wrapText="1"/>
      <protection hidden="1"/>
    </xf>
    <xf numFmtId="0" fontId="6" fillId="8" borderId="81" xfId="0" applyFont="1" applyFill="1" applyBorder="1" applyAlignment="1" applyProtection="1">
      <alignment horizontal="center" vertical="center" wrapText="1"/>
      <protection hidden="1"/>
    </xf>
    <xf numFmtId="0" fontId="6" fillId="8" borderId="82" xfId="0" applyFont="1" applyFill="1" applyBorder="1" applyAlignment="1" applyProtection="1">
      <alignment horizontal="center" vertical="center" wrapText="1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6" fillId="5" borderId="83" xfId="0" applyFont="1" applyFill="1" applyBorder="1" applyAlignment="1" applyProtection="1">
      <alignment horizontal="center" vertical="center"/>
      <protection hidden="1"/>
    </xf>
    <xf numFmtId="0" fontId="16" fillId="5" borderId="84" xfId="0" applyFont="1" applyFill="1" applyBorder="1" applyAlignment="1" applyProtection="1">
      <alignment horizontal="center" vertical="center"/>
      <protection hidden="1"/>
    </xf>
    <xf numFmtId="0" fontId="17" fillId="8" borderId="85" xfId="0" applyFont="1" applyFill="1" applyBorder="1" applyAlignment="1" applyProtection="1">
      <alignment horizontal="center" vertical="center" wrapText="1"/>
      <protection hidden="1"/>
    </xf>
    <xf numFmtId="0" fontId="13" fillId="9" borderId="86" xfId="0" applyFont="1" applyFill="1" applyBorder="1" applyAlignment="1" applyProtection="1">
      <alignment horizontal="center" vertical="center" wrapText="1"/>
      <protection hidden="1"/>
    </xf>
    <xf numFmtId="10" fontId="6" fillId="0" borderId="86" xfId="1" applyNumberFormat="1" applyFont="1" applyBorder="1" applyAlignment="1" applyProtection="1">
      <alignment horizontal="center" vertical="center" wrapText="1"/>
      <protection hidden="1"/>
    </xf>
    <xf numFmtId="3" fontId="6" fillId="9" borderId="86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86" xfId="0" applyFont="1" applyFill="1" applyBorder="1" applyAlignment="1" applyProtection="1">
      <alignment horizontal="right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84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14" fillId="0" borderId="87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3" xfId="0" applyFont="1" applyFill="1" applyBorder="1" applyAlignment="1" applyProtection="1">
      <alignment horizontal="center" vertical="center" wrapText="1"/>
      <protection hidden="1"/>
    </xf>
    <xf numFmtId="0" fontId="5" fillId="4" borderId="88" xfId="0" applyFont="1" applyFill="1" applyBorder="1" applyAlignment="1" applyProtection="1">
      <alignment horizontal="center" vertical="center" wrapText="1"/>
      <protection hidden="1"/>
    </xf>
    <xf numFmtId="0" fontId="5" fillId="4" borderId="89" xfId="0" applyFont="1" applyFill="1" applyBorder="1" applyAlignment="1" applyProtection="1">
      <alignment horizontal="center" vertical="center" wrapText="1"/>
      <protection hidden="1"/>
    </xf>
    <xf numFmtId="0" fontId="5" fillId="4" borderId="90" xfId="0" applyFont="1" applyFill="1" applyBorder="1" applyAlignment="1" applyProtection="1">
      <alignment horizontal="center" vertical="center" wrapText="1"/>
      <protection hidden="1"/>
    </xf>
    <xf numFmtId="164" fontId="10" fillId="0" borderId="91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92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93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5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94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95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96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61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94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95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96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5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61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91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92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93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76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97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78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79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0" fontId="12" fillId="7" borderId="99" xfId="0" applyFont="1" applyFill="1" applyBorder="1" applyAlignment="1" applyProtection="1">
      <alignment horizontal="center" vertical="center" wrapText="1"/>
      <protection hidden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164" fontId="10" fillId="6" borderId="100" xfId="1" applyNumberFormat="1" applyFont="1" applyFill="1" applyBorder="1" applyAlignment="1" applyProtection="1">
      <alignment horizontal="center" vertical="center" wrapText="1"/>
      <protection hidden="1"/>
    </xf>
    <xf numFmtId="165" fontId="10" fillId="7" borderId="100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00" xfId="0" applyFont="1" applyFill="1" applyBorder="1" applyAlignment="1" applyProtection="1">
      <alignment horizontal="left" vertical="center" wrapText="1"/>
      <protection hidden="1"/>
    </xf>
    <xf numFmtId="0" fontId="2" fillId="7" borderId="101" xfId="0" applyFont="1" applyFill="1" applyBorder="1" applyAlignment="1" applyProtection="1">
      <alignment horizontal="left" vertical="center" wrapText="1"/>
      <protection hidden="1"/>
    </xf>
    <xf numFmtId="0" fontId="12" fillId="0" borderId="102" xfId="0" applyFont="1" applyFill="1" applyBorder="1" applyAlignment="1" applyProtection="1">
      <alignment horizontal="center" vertical="center" wrapText="1"/>
      <protection hidden="1"/>
    </xf>
    <xf numFmtId="0" fontId="12" fillId="7" borderId="103" xfId="0" applyFont="1" applyFill="1" applyBorder="1" applyAlignment="1" applyProtection="1">
      <alignment horizontal="center" vertical="center" wrapText="1"/>
      <protection hidden="1"/>
    </xf>
    <xf numFmtId="0" fontId="12" fillId="7" borderId="104" xfId="0" applyFont="1" applyFill="1" applyBorder="1" applyAlignment="1" applyProtection="1">
      <alignment horizontal="center" vertical="center" wrapText="1"/>
      <protection hidden="1"/>
    </xf>
    <xf numFmtId="164" fontId="10" fillId="6" borderId="104" xfId="1" applyNumberFormat="1" applyFont="1" applyFill="1" applyBorder="1" applyAlignment="1" applyProtection="1">
      <alignment horizontal="center" vertical="center" wrapText="1"/>
      <protection hidden="1"/>
    </xf>
    <xf numFmtId="165" fontId="10" fillId="7" borderId="104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04" xfId="0" applyFont="1" applyFill="1" applyBorder="1" applyAlignment="1" applyProtection="1">
      <alignment horizontal="left" vertical="center" wrapText="1"/>
      <protection hidden="1"/>
    </xf>
    <xf numFmtId="0" fontId="0" fillId="0" borderId="104" xfId="0" applyBorder="1" applyAlignment="1">
      <alignment horizontal="left" vertical="center" wrapText="1"/>
    </xf>
    <xf numFmtId="0" fontId="0" fillId="0" borderId="105" xfId="0" applyBorder="1" applyAlignment="1">
      <alignment horizontal="left" vertical="center" wrapText="1"/>
    </xf>
    <xf numFmtId="0" fontId="12" fillId="7" borderId="106" xfId="0" applyFont="1" applyFill="1" applyBorder="1" applyAlignment="1" applyProtection="1">
      <alignment horizontal="center" vertical="center" wrapText="1"/>
      <protection hidden="1"/>
    </xf>
    <xf numFmtId="0" fontId="12" fillId="7" borderId="107" xfId="0" applyFont="1" applyFill="1" applyBorder="1" applyAlignment="1" applyProtection="1">
      <alignment horizontal="center" vertical="center" wrapText="1"/>
      <protection hidden="1"/>
    </xf>
    <xf numFmtId="164" fontId="10" fillId="6" borderId="107" xfId="1" applyNumberFormat="1" applyFont="1" applyFill="1" applyBorder="1" applyAlignment="1" applyProtection="1">
      <alignment horizontal="center" vertical="center" wrapText="1"/>
      <protection hidden="1"/>
    </xf>
    <xf numFmtId="165" fontId="10" fillId="7" borderId="107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07" xfId="0" applyFont="1" applyFill="1" applyBorder="1" applyAlignment="1" applyProtection="1">
      <alignment horizontal="left" vertical="center" wrapText="1"/>
      <protection hidden="1"/>
    </xf>
    <xf numFmtId="0" fontId="0" fillId="0" borderId="107" xfId="0" applyBorder="1" applyAlignment="1">
      <alignment horizontal="left" vertical="center" wrapText="1"/>
    </xf>
    <xf numFmtId="0" fontId="0" fillId="0" borderId="108" xfId="0" applyBorder="1" applyAlignment="1">
      <alignment horizontal="left" vertical="center" wrapText="1"/>
    </xf>
    <xf numFmtId="0" fontId="12" fillId="0" borderId="109" xfId="0" applyFont="1" applyFill="1" applyBorder="1" applyAlignment="1" applyProtection="1">
      <alignment horizontal="center" vertical="center" wrapText="1"/>
      <protection hidden="1"/>
    </xf>
    <xf numFmtId="0" fontId="12" fillId="0" borderId="110" xfId="0" applyFont="1" applyFill="1" applyBorder="1" applyAlignment="1" applyProtection="1">
      <alignment horizontal="center" vertical="center" wrapText="1"/>
      <protection hidden="1"/>
    </xf>
    <xf numFmtId="164" fontId="10" fillId="6" borderId="110" xfId="1" applyNumberFormat="1" applyFont="1" applyFill="1" applyBorder="1" applyAlignment="1" applyProtection="1">
      <alignment horizontal="center" vertical="center" wrapText="1"/>
      <protection hidden="1"/>
    </xf>
    <xf numFmtId="165" fontId="10" fillId="0" borderId="11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10" xfId="0" applyFont="1" applyFill="1" applyBorder="1" applyAlignment="1" applyProtection="1">
      <alignment horizontal="left" vertical="center" wrapText="1"/>
      <protection hidden="1"/>
    </xf>
    <xf numFmtId="0" fontId="0" fillId="0" borderId="110" xfId="0" applyBorder="1" applyAlignment="1">
      <alignment horizontal="left" vertical="center" wrapText="1"/>
    </xf>
    <xf numFmtId="0" fontId="0" fillId="0" borderId="111" xfId="0" applyBorder="1" applyAlignment="1">
      <alignment horizontal="left" vertical="center" wrapText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165" fontId="10" fillId="0" borderId="10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04" xfId="0" applyFont="1" applyFill="1" applyBorder="1" applyAlignment="1" applyProtection="1">
      <alignment horizontal="left" vertical="center" wrapText="1"/>
      <protection hidden="1"/>
    </xf>
    <xf numFmtId="0" fontId="12" fillId="0" borderId="112" xfId="0" applyFont="1" applyFill="1" applyBorder="1" applyAlignment="1" applyProtection="1">
      <alignment horizontal="center" vertical="center" wrapText="1"/>
      <protection hidden="1"/>
    </xf>
    <xf numFmtId="0" fontId="12" fillId="0" borderId="113" xfId="0" applyFont="1" applyFill="1" applyBorder="1" applyAlignment="1" applyProtection="1">
      <alignment horizontal="center" vertical="center" wrapText="1"/>
      <protection hidden="1"/>
    </xf>
    <xf numFmtId="164" fontId="10" fillId="6" borderId="113" xfId="1" applyNumberFormat="1" applyFont="1" applyFill="1" applyBorder="1" applyAlignment="1" applyProtection="1">
      <alignment horizontal="center" vertical="center" wrapText="1"/>
      <protection hidden="1"/>
    </xf>
    <xf numFmtId="165" fontId="10" fillId="0" borderId="11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13" xfId="0" applyFont="1" applyFill="1" applyBorder="1" applyAlignment="1" applyProtection="1">
      <alignment horizontal="left" vertical="center" wrapText="1"/>
      <protection hidden="1"/>
    </xf>
    <xf numFmtId="0" fontId="0" fillId="0" borderId="113" xfId="0" applyBorder="1" applyAlignment="1">
      <alignment horizontal="left" vertical="center" wrapText="1"/>
    </xf>
    <xf numFmtId="0" fontId="0" fillId="0" borderId="114" xfId="0" applyBorder="1" applyAlignment="1">
      <alignment horizontal="left" vertical="center" wrapText="1"/>
    </xf>
    <xf numFmtId="0" fontId="6" fillId="4" borderId="115" xfId="0" applyFont="1" applyFill="1" applyBorder="1" applyAlignment="1" applyProtection="1">
      <alignment horizontal="center" vertical="center" wrapText="1"/>
      <protection hidden="1"/>
    </xf>
    <xf numFmtId="0" fontId="6" fillId="4" borderId="84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5" borderId="116" xfId="0" applyFont="1" applyFill="1" applyBorder="1" applyAlignment="1" applyProtection="1">
      <alignment horizontal="center" vertical="center" wrapText="1"/>
      <protection hidden="1"/>
    </xf>
    <xf numFmtId="164" fontId="10" fillId="6" borderId="117" xfId="1" applyNumberFormat="1" applyFont="1" applyFill="1" applyBorder="1" applyAlignment="1" applyProtection="1">
      <alignment horizontal="center" vertical="center" wrapText="1"/>
      <protection hidden="1"/>
    </xf>
    <xf numFmtId="3" fontId="10" fillId="5" borderId="117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117" xfId="0" applyFont="1" applyFill="1" applyBorder="1" applyAlignment="1" applyProtection="1">
      <alignment horizontal="left" vertical="center" wrapText="1"/>
      <protection hidden="1"/>
    </xf>
    <xf numFmtId="0" fontId="2" fillId="5" borderId="118" xfId="0" applyFont="1" applyFill="1" applyBorder="1" applyAlignment="1" applyProtection="1">
      <alignment horizontal="left" vertical="center" wrapText="1"/>
      <protection hidden="1"/>
    </xf>
    <xf numFmtId="164" fontId="2" fillId="0" borderId="0" xfId="1" applyNumberFormat="1" applyFont="1"/>
    <xf numFmtId="0" fontId="12" fillId="0" borderId="119" xfId="0" applyFont="1" applyFill="1" applyBorder="1" applyAlignment="1" applyProtection="1">
      <alignment horizontal="center" vertical="center" wrapText="1"/>
      <protection hidden="1"/>
    </xf>
    <xf numFmtId="164" fontId="10" fillId="6" borderId="120" xfId="1" applyNumberFormat="1" applyFont="1" applyFill="1" applyBorder="1" applyAlignment="1" applyProtection="1">
      <alignment horizontal="center" vertical="center" wrapText="1"/>
      <protection hidden="1"/>
    </xf>
    <xf numFmtId="3" fontId="10" fillId="0" borderId="12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20" xfId="0" applyFont="1" applyFill="1" applyBorder="1" applyAlignment="1" applyProtection="1">
      <alignment horizontal="left" vertical="center" wrapText="1"/>
      <protection hidden="1"/>
    </xf>
    <xf numFmtId="0" fontId="0" fillId="0" borderId="120" xfId="0" applyBorder="1" applyAlignment="1">
      <alignment horizontal="left" vertical="center" wrapText="1"/>
    </xf>
    <xf numFmtId="0" fontId="0" fillId="0" borderId="121" xfId="0" applyBorder="1" applyAlignment="1">
      <alignment horizontal="left" vertical="center" wrapText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9" xfId="0" applyFont="1" applyFill="1" applyBorder="1" applyAlignment="1" applyProtection="1">
      <alignment horizontal="center" vertical="center" wrapText="1"/>
      <protection hidden="1"/>
    </xf>
    <xf numFmtId="3" fontId="10" fillId="7" borderId="120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20" xfId="0" applyFont="1" applyFill="1" applyBorder="1" applyAlignment="1" applyProtection="1">
      <alignment horizontal="left" vertical="center" wrapText="1"/>
      <protection hidden="1"/>
    </xf>
    <xf numFmtId="0" fontId="12" fillId="7" borderId="122" xfId="0" applyFont="1" applyFill="1" applyBorder="1" applyAlignment="1" applyProtection="1">
      <alignment horizontal="center" vertical="center" wrapText="1"/>
      <protection hidden="1"/>
    </xf>
    <xf numFmtId="164" fontId="10" fillId="6" borderId="123" xfId="1" applyNumberFormat="1" applyFont="1" applyFill="1" applyBorder="1" applyAlignment="1" applyProtection="1">
      <alignment horizontal="center" vertical="center" wrapText="1"/>
      <protection hidden="1"/>
    </xf>
    <xf numFmtId="3" fontId="10" fillId="7" borderId="123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23" xfId="0" applyFont="1" applyFill="1" applyBorder="1" applyAlignment="1" applyProtection="1">
      <alignment horizontal="left" vertical="center" wrapText="1"/>
      <protection hidden="1"/>
    </xf>
    <xf numFmtId="0" fontId="0" fillId="0" borderId="123" xfId="0" applyBorder="1" applyAlignment="1">
      <alignment horizontal="left" vertical="center" wrapText="1"/>
    </xf>
    <xf numFmtId="0" fontId="0" fillId="0" borderId="124" xfId="0" applyBorder="1" applyAlignment="1">
      <alignment horizontal="left" vertical="center" wrapText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25" xfId="0" applyFont="1" applyFill="1" applyBorder="1" applyAlignment="1" applyProtection="1">
      <alignment horizontal="center" vertical="center" wrapText="1"/>
      <protection hidden="1"/>
    </xf>
    <xf numFmtId="0" fontId="8" fillId="5" borderId="126" xfId="0" applyFont="1" applyFill="1" applyBorder="1" applyAlignment="1" applyProtection="1">
      <alignment horizontal="center" vertical="center" wrapText="1"/>
      <protection hidden="1"/>
    </xf>
    <xf numFmtId="0" fontId="8" fillId="5" borderId="127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28" xfId="0" applyFont="1" applyFill="1" applyBorder="1" applyAlignment="1" applyProtection="1">
      <alignment horizontal="justify" vertical="center" wrapText="1"/>
      <protection hidden="1"/>
    </xf>
    <xf numFmtId="164" fontId="2" fillId="0" borderId="0" xfId="1" applyNumberFormat="1" applyFont="1" applyAlignment="1" applyProtection="1">
      <alignment vertical="center" wrapText="1"/>
      <protection hidden="1"/>
    </xf>
    <xf numFmtId="0" fontId="8" fillId="5" borderId="129" xfId="0" applyFont="1" applyFill="1" applyBorder="1" applyAlignment="1" applyProtection="1">
      <alignment horizontal="center" vertical="center" wrapText="1"/>
      <protection hidden="1"/>
    </xf>
    <xf numFmtId="0" fontId="8" fillId="5" borderId="130" xfId="0" applyFont="1" applyFill="1" applyBorder="1" applyAlignment="1" applyProtection="1">
      <alignment horizontal="center" vertical="center" wrapText="1"/>
      <protection hidden="1"/>
    </xf>
    <xf numFmtId="0" fontId="8" fillId="5" borderId="131" xfId="0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32" xfId="0" applyFont="1" applyFill="1" applyBorder="1" applyAlignment="1" applyProtection="1">
      <alignment horizontal="justify" vertical="center" wrapText="1"/>
      <protection hidden="1"/>
    </xf>
    <xf numFmtId="0" fontId="8" fillId="5" borderId="133" xfId="0" applyFont="1" applyFill="1" applyBorder="1" applyAlignment="1" applyProtection="1">
      <alignment horizontal="center" vertical="center" wrapText="1"/>
      <protection hidden="1"/>
    </xf>
    <xf numFmtId="0" fontId="8" fillId="5" borderId="134" xfId="0" applyFont="1" applyFill="1" applyBorder="1" applyAlignment="1" applyProtection="1">
      <alignment horizontal="center" vertical="center" wrapText="1"/>
      <protection hidden="1"/>
    </xf>
    <xf numFmtId="0" fontId="8" fillId="5" borderId="135" xfId="0" applyFont="1" applyFill="1" applyBorder="1" applyAlignment="1" applyProtection="1">
      <alignment horizontal="center" vertical="center" wrapText="1"/>
      <protection hidden="1"/>
    </xf>
    <xf numFmtId="164" fontId="10" fillId="6" borderId="136" xfId="1" applyNumberFormat="1" applyFont="1" applyFill="1" applyBorder="1" applyAlignment="1" applyProtection="1">
      <alignment horizontal="center" vertical="center" wrapText="1"/>
      <protection hidden="1"/>
    </xf>
    <xf numFmtId="3" fontId="9" fillId="5" borderId="136" xfId="0" applyNumberFormat="1" applyFont="1" applyFill="1" applyBorder="1" applyAlignment="1" applyProtection="1">
      <alignment horizontal="center" vertical="center" wrapText="1"/>
      <protection hidden="1"/>
    </xf>
    <xf numFmtId="0" fontId="20" fillId="5" borderId="136" xfId="0" applyFont="1" applyFill="1" applyBorder="1" applyAlignment="1" applyProtection="1">
      <alignment horizontal="justify" vertical="center" wrapText="1"/>
      <protection hidden="1"/>
    </xf>
    <xf numFmtId="0" fontId="20" fillId="5" borderId="137" xfId="0" applyFont="1" applyFill="1" applyBorder="1" applyAlignment="1" applyProtection="1">
      <alignment horizontal="justify" vertical="center" wrapText="1"/>
      <protection hidden="1"/>
    </xf>
    <xf numFmtId="0" fontId="2" fillId="0" borderId="0" xfId="2" applyFont="1"/>
    <xf numFmtId="0" fontId="12" fillId="0" borderId="138" xfId="0" applyFont="1" applyFill="1" applyBorder="1" applyAlignment="1" applyProtection="1">
      <alignment horizontal="center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0" fontId="12" fillId="0" borderId="140" xfId="0" applyFont="1" applyFill="1" applyBorder="1" applyAlignment="1" applyProtection="1">
      <alignment horizontal="center" vertical="center" wrapText="1"/>
      <protection hidden="1"/>
    </xf>
    <xf numFmtId="164" fontId="10" fillId="6" borderId="141" xfId="1" applyNumberFormat="1" applyFont="1" applyFill="1" applyBorder="1" applyAlignment="1" applyProtection="1">
      <alignment horizontal="center" vertical="center" wrapText="1"/>
      <protection hidden="1"/>
    </xf>
    <xf numFmtId="3" fontId="10" fillId="0" borderId="14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41" xfId="0" applyFont="1" applyFill="1" applyBorder="1" applyAlignment="1" applyProtection="1">
      <alignment horizontal="justify" vertical="center" wrapText="1"/>
      <protection hidden="1"/>
    </xf>
    <xf numFmtId="0" fontId="2" fillId="0" borderId="142" xfId="0" applyFont="1" applyFill="1" applyBorder="1" applyAlignment="1" applyProtection="1">
      <alignment horizontal="justify" vertical="center" wrapText="1"/>
      <protection hidden="1"/>
    </xf>
    <xf numFmtId="0" fontId="12" fillId="0" borderId="143" xfId="0" applyFont="1" applyFill="1" applyBorder="1" applyAlignment="1" applyProtection="1">
      <alignment horizontal="center" vertical="center" wrapText="1"/>
      <protection hidden="1"/>
    </xf>
    <xf numFmtId="0" fontId="12" fillId="0" borderId="144" xfId="0" applyFont="1" applyFill="1" applyBorder="1" applyAlignment="1" applyProtection="1">
      <alignment horizontal="center" vertical="center" wrapText="1"/>
      <protection hidden="1"/>
    </xf>
    <xf numFmtId="0" fontId="12" fillId="0" borderId="135" xfId="0" applyFont="1" applyFill="1" applyBorder="1" applyAlignment="1" applyProtection="1">
      <alignment horizontal="center" vertical="center" wrapText="1"/>
      <protection hidden="1"/>
    </xf>
    <xf numFmtId="3" fontId="10" fillId="0" borderId="13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36" xfId="0" applyFont="1" applyFill="1" applyBorder="1" applyAlignment="1" applyProtection="1">
      <alignment horizontal="justify" vertical="center" wrapText="1"/>
      <protection hidden="1"/>
    </xf>
    <xf numFmtId="0" fontId="2" fillId="0" borderId="137" xfId="0" applyFont="1" applyFill="1" applyBorder="1" applyAlignment="1" applyProtection="1">
      <alignment horizontal="justify" vertical="center" wrapText="1"/>
      <protection hidden="1"/>
    </xf>
    <xf numFmtId="0" fontId="12" fillId="7" borderId="138" xfId="0" applyFont="1" applyFill="1" applyBorder="1" applyAlignment="1" applyProtection="1">
      <alignment horizontal="center" vertical="center" wrapText="1"/>
      <protection hidden="1"/>
    </xf>
    <xf numFmtId="0" fontId="12" fillId="7" borderId="139" xfId="0" applyFont="1" applyFill="1" applyBorder="1" applyAlignment="1" applyProtection="1">
      <alignment horizontal="center" vertical="center" wrapText="1"/>
      <protection hidden="1"/>
    </xf>
    <xf numFmtId="0" fontId="12" fillId="7" borderId="140" xfId="0" applyFont="1" applyFill="1" applyBorder="1" applyAlignment="1" applyProtection="1">
      <alignment horizontal="center" vertical="center" wrapText="1"/>
      <protection hidden="1"/>
    </xf>
    <xf numFmtId="3" fontId="10" fillId="7" borderId="141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41" xfId="0" applyFont="1" applyFill="1" applyBorder="1" applyAlignment="1" applyProtection="1">
      <alignment horizontal="justify" vertical="center" wrapText="1"/>
      <protection hidden="1"/>
    </xf>
    <xf numFmtId="0" fontId="2" fillId="7" borderId="142" xfId="0" applyFont="1" applyFill="1" applyBorder="1" applyAlignment="1" applyProtection="1">
      <alignment horizontal="justify" vertical="center" wrapText="1"/>
      <protection hidden="1"/>
    </xf>
    <xf numFmtId="0" fontId="12" fillId="7" borderId="145" xfId="0" applyFont="1" applyFill="1" applyBorder="1" applyAlignment="1" applyProtection="1">
      <alignment horizontal="center" vertical="center" wrapText="1"/>
      <protection hidden="1"/>
    </xf>
    <xf numFmtId="0" fontId="12" fillId="7" borderId="146" xfId="0" applyFont="1" applyFill="1" applyBorder="1" applyAlignment="1" applyProtection="1">
      <alignment horizontal="center" vertical="center" wrapText="1"/>
      <protection hidden="1"/>
    </xf>
    <xf numFmtId="0" fontId="12" fillId="7" borderId="131" xfId="0" applyFont="1" applyFill="1" applyBorder="1" applyAlignment="1" applyProtection="1">
      <alignment horizontal="center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32" xfId="0" applyFont="1" applyFill="1" applyBorder="1" applyAlignment="1" applyProtection="1">
      <alignment horizontal="justify" vertical="center" wrapText="1"/>
      <protection hidden="1"/>
    </xf>
    <xf numFmtId="0" fontId="12" fillId="7" borderId="143" xfId="0" applyFont="1" applyFill="1" applyBorder="1" applyAlignment="1" applyProtection="1">
      <alignment horizontal="center" vertical="center" wrapText="1"/>
      <protection hidden="1"/>
    </xf>
    <xf numFmtId="0" fontId="12" fillId="7" borderId="144" xfId="0" applyFont="1" applyFill="1" applyBorder="1" applyAlignment="1" applyProtection="1">
      <alignment horizontal="center" vertical="center" wrapText="1"/>
      <protection hidden="1"/>
    </xf>
    <xf numFmtId="0" fontId="12" fillId="7" borderId="135" xfId="0" applyFont="1" applyFill="1" applyBorder="1" applyAlignment="1" applyProtection="1">
      <alignment horizontal="center" vertical="center" wrapText="1"/>
      <protection hidden="1"/>
    </xf>
    <xf numFmtId="3" fontId="10" fillId="7" borderId="136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36" xfId="0" applyFont="1" applyFill="1" applyBorder="1" applyAlignment="1" applyProtection="1">
      <alignment horizontal="justify" vertical="center" wrapText="1"/>
      <protection hidden="1"/>
    </xf>
    <xf numFmtId="0" fontId="2" fillId="7" borderId="137" xfId="0" applyFont="1" applyFill="1" applyBorder="1" applyAlignment="1" applyProtection="1">
      <alignment horizontal="justify" vertical="center" wrapText="1"/>
      <protection hidden="1"/>
    </xf>
    <xf numFmtId="0" fontId="12" fillId="0" borderId="147" xfId="0" applyFont="1" applyFill="1" applyBorder="1" applyAlignment="1" applyProtection="1">
      <alignment horizontal="center" vertical="center" wrapText="1"/>
      <protection hidden="1"/>
    </xf>
    <xf numFmtId="0" fontId="12" fillId="0" borderId="148" xfId="0" applyFont="1" applyFill="1" applyBorder="1" applyAlignment="1" applyProtection="1">
      <alignment horizontal="center" vertical="center" wrapText="1"/>
      <protection hidden="1"/>
    </xf>
    <xf numFmtId="0" fontId="12" fillId="0" borderId="129" xfId="0" applyFont="1" applyFill="1" applyBorder="1" applyAlignment="1" applyProtection="1">
      <alignment horizontal="center" vertical="center" wrapText="1"/>
      <protection hidden="1"/>
    </xf>
    <xf numFmtId="0" fontId="12" fillId="0" borderId="130" xfId="0" applyFont="1" applyFill="1" applyBorder="1" applyAlignment="1" applyProtection="1">
      <alignment horizontal="center" vertical="center" wrapText="1"/>
      <protection hidden="1"/>
    </xf>
    <xf numFmtId="0" fontId="12" fillId="0" borderId="131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32" xfId="0" applyFont="1" applyFill="1" applyBorder="1" applyAlignment="1" applyProtection="1">
      <alignment horizontal="justify" vertical="center" wrapText="1"/>
      <protection hidden="1"/>
    </xf>
    <xf numFmtId="0" fontId="12" fillId="0" borderId="133" xfId="0" applyFont="1" applyFill="1" applyBorder="1" applyAlignment="1" applyProtection="1">
      <alignment horizontal="center" vertical="center" wrapText="1"/>
      <protection hidden="1"/>
    </xf>
    <xf numFmtId="0" fontId="12" fillId="0" borderId="134" xfId="0" applyFont="1" applyFill="1" applyBorder="1" applyAlignment="1" applyProtection="1">
      <alignment horizontal="center" vertical="center" wrapText="1"/>
      <protection hidden="1"/>
    </xf>
    <xf numFmtId="0" fontId="12" fillId="6" borderId="138" xfId="0" applyFont="1" applyFill="1" applyBorder="1" applyAlignment="1" applyProtection="1">
      <alignment horizontal="center" vertical="center" wrapText="1"/>
      <protection hidden="1"/>
    </xf>
    <xf numFmtId="0" fontId="12" fillId="6" borderId="139" xfId="0" applyFont="1" applyFill="1" applyBorder="1" applyAlignment="1" applyProtection="1">
      <alignment horizontal="center" vertical="center" wrapText="1"/>
      <protection hidden="1"/>
    </xf>
    <xf numFmtId="0" fontId="12" fillId="6" borderId="140" xfId="0" applyFont="1" applyFill="1" applyBorder="1" applyAlignment="1" applyProtection="1">
      <alignment horizontal="center" vertical="center" wrapText="1"/>
      <protection hidden="1"/>
    </xf>
    <xf numFmtId="3" fontId="10" fillId="6" borderId="141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45" xfId="0" applyFont="1" applyFill="1" applyBorder="1" applyAlignment="1" applyProtection="1">
      <alignment horizontal="center" vertical="center" wrapText="1"/>
      <protection hidden="1"/>
    </xf>
    <xf numFmtId="0" fontId="12" fillId="6" borderId="146" xfId="0" applyFont="1" applyFill="1" applyBorder="1" applyAlignment="1" applyProtection="1">
      <alignment horizontal="center" vertical="center" wrapText="1"/>
      <protection hidden="1"/>
    </xf>
    <xf numFmtId="0" fontId="12" fillId="6" borderId="131" xfId="0" applyFont="1" applyFill="1" applyBorder="1" applyAlignment="1" applyProtection="1">
      <alignment horizontal="center" vertical="center" wrapText="1"/>
      <protection hidden="1"/>
    </xf>
    <xf numFmtId="0" fontId="12" fillId="6" borderId="149" xfId="0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50" xfId="0" applyFont="1" applyFill="1" applyBorder="1" applyAlignment="1" applyProtection="1">
      <alignment horizontal="justify" vertical="center" wrapText="1"/>
      <protection hidden="1"/>
    </xf>
    <xf numFmtId="0" fontId="12" fillId="0" borderId="145" xfId="0" applyFont="1" applyFill="1" applyBorder="1" applyAlignment="1" applyProtection="1">
      <alignment horizontal="center" vertical="center" wrapText="1"/>
      <protection hidden="1"/>
    </xf>
    <xf numFmtId="0" fontId="12" fillId="0" borderId="151" xfId="0" applyFont="1" applyFill="1" applyBorder="1" applyAlignment="1" applyProtection="1">
      <alignment horizontal="center" vertical="center" wrapText="1"/>
      <protection hidden="1"/>
    </xf>
    <xf numFmtId="0" fontId="12" fillId="0" borderId="152" xfId="0" applyFont="1" applyFill="1" applyBorder="1" applyAlignment="1" applyProtection="1">
      <alignment horizontal="center" vertical="center" wrapText="1"/>
      <protection hidden="1"/>
    </xf>
    <xf numFmtId="3" fontId="10" fillId="0" borderId="11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17" xfId="0" applyFont="1" applyFill="1" applyBorder="1" applyAlignment="1" applyProtection="1">
      <alignment horizontal="justify" vertical="center" wrapText="1"/>
      <protection hidden="1"/>
    </xf>
    <xf numFmtId="0" fontId="2" fillId="0" borderId="118" xfId="0" applyFont="1" applyFill="1" applyBorder="1" applyAlignment="1" applyProtection="1">
      <alignment horizontal="justify" vertical="center" wrapText="1"/>
      <protection hidden="1"/>
    </xf>
    <xf numFmtId="0" fontId="12" fillId="0" borderId="153" xfId="0" applyFont="1" applyFill="1" applyBorder="1" applyAlignment="1" applyProtection="1">
      <alignment horizontal="center" vertical="center" wrapText="1"/>
      <protection hidden="1"/>
    </xf>
    <xf numFmtId="0" fontId="12" fillId="0" borderId="154" xfId="0" applyFont="1" applyFill="1" applyBorder="1" applyAlignment="1" applyProtection="1">
      <alignment horizontal="center" vertical="center" wrapText="1"/>
      <protection hidden="1"/>
    </xf>
    <xf numFmtId="0" fontId="12" fillId="7" borderId="155" xfId="0" applyFont="1" applyFill="1" applyBorder="1" applyAlignment="1" applyProtection="1">
      <alignment horizontal="center" vertical="center" wrapText="1"/>
      <protection hidden="1"/>
    </xf>
    <xf numFmtId="164" fontId="10" fillId="6" borderId="156" xfId="1" applyNumberFormat="1" applyFont="1" applyFill="1" applyBorder="1" applyAlignment="1" applyProtection="1">
      <alignment horizontal="center" vertical="center" wrapText="1"/>
      <protection hidden="1"/>
    </xf>
    <xf numFmtId="3" fontId="10" fillId="7" borderId="156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56" xfId="0" applyFont="1" applyFill="1" applyBorder="1" applyAlignment="1" applyProtection="1">
      <alignment horizontal="justify" vertical="center" wrapText="1"/>
      <protection hidden="1"/>
    </xf>
    <xf numFmtId="0" fontId="2" fillId="7" borderId="157" xfId="0" applyFont="1" applyFill="1" applyBorder="1" applyAlignment="1" applyProtection="1">
      <alignment horizontal="justify" vertical="center" wrapText="1"/>
      <protection hidden="1"/>
    </xf>
    <xf numFmtId="0" fontId="12" fillId="0" borderId="158" xfId="0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/>
  </cellXfs>
  <cellStyles count="6">
    <cellStyle name="Normal" xfId="0" builtinId="0"/>
    <cellStyle name="Normal 2" xfId="2"/>
    <cellStyle name="Normal 7" xfId="3"/>
    <cellStyle name="Porcentaje" xfId="1" builtinId="5"/>
    <cellStyle name="Porcentual 2" xfId="4"/>
    <cellStyle name="Porcentual 4" xfId="5"/>
  </cellStyles>
  <dxfs count="90"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312</xdr:row>
      <xdr:rowOff>47625</xdr:rowOff>
    </xdr:from>
    <xdr:to>
      <xdr:col>9</xdr:col>
      <xdr:colOff>781050</xdr:colOff>
      <xdr:row>313</xdr:row>
      <xdr:rowOff>304800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81067275"/>
          <a:ext cx="50292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57</xdr:row>
      <xdr:rowOff>0</xdr:rowOff>
    </xdr:from>
    <xdr:to>
      <xdr:col>2</xdr:col>
      <xdr:colOff>1190624</xdr:colOff>
      <xdr:row>58</xdr:row>
      <xdr:rowOff>16754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4970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1200149</xdr:colOff>
      <xdr:row>113</xdr:row>
      <xdr:rowOff>16754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88995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237</xdr:row>
      <xdr:rowOff>0</xdr:rowOff>
    </xdr:from>
    <xdr:to>
      <xdr:col>2</xdr:col>
      <xdr:colOff>1200149</xdr:colOff>
      <xdr:row>238</xdr:row>
      <xdr:rowOff>16754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55920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289</xdr:row>
      <xdr:rowOff>0</xdr:rowOff>
    </xdr:from>
    <xdr:to>
      <xdr:col>2</xdr:col>
      <xdr:colOff>1200149</xdr:colOff>
      <xdr:row>290</xdr:row>
      <xdr:rowOff>16754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151875"/>
          <a:ext cx="1200149" cy="6549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BOLETIN%20ESTAD&#205;STICO%20SPET/INDICADORES%20TURISTICOS%20DE%20TENERIFE/2014/Indicadores%20Tur&#237;sticos%20Plantilla%202014%20(nuevo%20formato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Estimación Turismo nacional"/>
      <sheetName val="gasto"/>
      <sheetName val="Hoja1"/>
      <sheetName val="Hoja2"/>
      <sheetName val="plazas autorizadas"/>
      <sheetName val="cruceros"/>
      <sheetName val="IO-EM verano (jun-agost)"/>
      <sheetName val="ind verano jun-agos"/>
      <sheetName val="TTDD DATOS (ver-jun-ago)"/>
      <sheetName val="EstTurismo nac (ver jun agos)"/>
      <sheetName val="IO-EM verano (jun-sep)"/>
      <sheetName val="ind verano jun-sep (vinculo)"/>
      <sheetName val="TTDD DATOS (inv-jun-sep)"/>
      <sheetName val="EstTurismo nac (ver jun sep)"/>
      <sheetName val="IO-EM verano (jul-sep)"/>
      <sheetName val="IO-EM verano (jul-sept)"/>
      <sheetName val="ind verano jul-sep (vinculo)"/>
      <sheetName val="TTDD DATOS (ver-jul-sep)"/>
      <sheetName val="EstTurismo nac (ver jul sep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2">
    <tabColor theme="5" tint="0.39997558519241921"/>
  </sheetPr>
  <dimension ref="B1:T328"/>
  <sheetViews>
    <sheetView showGridLines="0" tabSelected="1" showRuler="0" zoomScaleNormal="100" workbookViewId="0">
      <selection activeCell="O10" sqref="O10"/>
    </sheetView>
  </sheetViews>
  <sheetFormatPr baseColWidth="10" defaultRowHeight="12.75" x14ac:dyDescent="0.2"/>
  <cols>
    <col min="1" max="1" width="2.85546875" style="4" customWidth="1"/>
    <col min="2" max="2" width="2.85546875" style="1" customWidth="1"/>
    <col min="3" max="3" width="20.7109375" style="1" customWidth="1"/>
    <col min="4" max="4" width="15" style="4" customWidth="1"/>
    <col min="5" max="5" width="16.140625" style="4" customWidth="1"/>
    <col min="6" max="6" width="16" style="4" customWidth="1"/>
    <col min="7" max="7" width="16.7109375" style="4" customWidth="1"/>
    <col min="8" max="9" width="16.140625" style="4" customWidth="1"/>
    <col min="10" max="10" width="16.7109375" style="4" customWidth="1"/>
    <col min="11" max="11" width="16.140625" style="4" customWidth="1"/>
    <col min="12" max="13" width="15.7109375" style="4" customWidth="1"/>
    <col min="14" max="14" width="12.140625" style="4" bestFit="1" customWidth="1"/>
    <col min="15" max="17" width="8.85546875" style="4" customWidth="1"/>
    <col min="18" max="18" width="23.28515625" style="4" customWidth="1"/>
    <col min="19" max="19" width="2.7109375" style="4" customWidth="1"/>
    <col min="20" max="20" width="23.28515625" style="4" customWidth="1"/>
    <col min="21" max="21" width="2.7109375" style="4" customWidth="1"/>
    <col min="22" max="22" width="23.28515625" style="4" customWidth="1"/>
    <col min="23" max="16384" width="11.42578125" style="4"/>
  </cols>
  <sheetData>
    <row r="1" spans="2:13" ht="50.25" customHeight="1" thickBot="1" x14ac:dyDescent="0.25">
      <c r="C1" s="2"/>
      <c r="D1" s="2"/>
      <c r="E1" s="3" t="s">
        <v>92</v>
      </c>
      <c r="F1" s="3"/>
      <c r="G1" s="3"/>
      <c r="H1" s="3"/>
      <c r="I1" s="3"/>
      <c r="J1" s="3"/>
      <c r="K1" s="3"/>
      <c r="L1" s="2"/>
      <c r="M1" s="2"/>
    </row>
    <row r="2" spans="2:13" ht="15" customHeight="1" x14ac:dyDescent="0.2">
      <c r="B2" s="5"/>
      <c r="C2" s="6" t="s">
        <v>93</v>
      </c>
      <c r="D2" s="6"/>
      <c r="E2" s="6"/>
      <c r="F2" s="6"/>
      <c r="G2" s="6"/>
      <c r="H2" s="7"/>
      <c r="I2" s="8" t="s">
        <v>94</v>
      </c>
      <c r="J2" s="8"/>
      <c r="K2" s="8"/>
      <c r="L2" s="8"/>
      <c r="M2" s="8"/>
    </row>
    <row r="3" spans="2:13" ht="16.5" customHeight="1" thickBot="1" x14ac:dyDescent="0.25">
      <c r="B3" s="5"/>
      <c r="C3" s="9"/>
      <c r="D3" s="9"/>
      <c r="E3" s="9"/>
      <c r="F3" s="9"/>
      <c r="G3" s="9"/>
      <c r="H3" s="10"/>
      <c r="I3" s="11"/>
      <c r="J3" s="11"/>
      <c r="K3" s="11"/>
      <c r="L3" s="11"/>
      <c r="M3" s="11"/>
    </row>
    <row r="4" spans="2:13" ht="5.25" customHeight="1" x14ac:dyDescent="0.2">
      <c r="B4" s="5"/>
      <c r="C4" s="12"/>
      <c r="D4" s="5"/>
      <c r="E4" s="13"/>
      <c r="F4" s="13"/>
      <c r="G4" s="14"/>
      <c r="H4" s="15"/>
      <c r="I4" s="16"/>
      <c r="J4" s="13"/>
      <c r="K4" s="17"/>
      <c r="L4" s="18"/>
      <c r="M4" s="19"/>
    </row>
    <row r="5" spans="2:13" ht="81.75" customHeight="1" x14ac:dyDescent="0.2">
      <c r="C5" s="20" t="s">
        <v>0</v>
      </c>
      <c r="D5" s="21"/>
      <c r="E5" s="22" t="s">
        <v>1</v>
      </c>
      <c r="F5" s="22" t="s">
        <v>2</v>
      </c>
      <c r="G5" s="23" t="s">
        <v>3</v>
      </c>
      <c r="H5" s="24"/>
      <c r="I5" s="25" t="s">
        <v>0</v>
      </c>
      <c r="J5" s="22" t="s">
        <v>1</v>
      </c>
      <c r="K5" s="22" t="s">
        <v>2</v>
      </c>
      <c r="L5" s="22" t="s">
        <v>3</v>
      </c>
      <c r="M5" s="23" t="s">
        <v>4</v>
      </c>
    </row>
    <row r="6" spans="2:13" s="5" customFormat="1" ht="5.25" customHeight="1" thickBot="1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2:13" ht="18.75" thickBot="1" x14ac:dyDescent="0.25">
      <c r="C7" s="27" t="s">
        <v>5</v>
      </c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2:13" ht="5.25" customHeight="1" thickBot="1" x14ac:dyDescent="0.25"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2:13" ht="24.75" customHeight="1" x14ac:dyDescent="0.2">
      <c r="C9" s="32" t="s">
        <v>6</v>
      </c>
      <c r="D9" s="33"/>
      <c r="E9" s="34" t="s">
        <v>7</v>
      </c>
      <c r="F9" s="35">
        <v>411671</v>
      </c>
      <c r="G9" s="36">
        <v>-3.226178022778825E-2</v>
      </c>
      <c r="H9" s="37"/>
      <c r="I9" s="38" t="s">
        <v>6</v>
      </c>
      <c r="J9" s="39" t="s">
        <v>7</v>
      </c>
      <c r="K9" s="40">
        <v>5148453</v>
      </c>
      <c r="L9" s="41">
        <v>3.527133365118007E-2</v>
      </c>
      <c r="M9" s="42" t="s">
        <v>8</v>
      </c>
    </row>
    <row r="10" spans="2:13" ht="24.75" customHeight="1" x14ac:dyDescent="0.2">
      <c r="C10" s="43"/>
      <c r="D10" s="44"/>
      <c r="E10" s="45" t="s">
        <v>9</v>
      </c>
      <c r="F10" s="46">
        <v>271257</v>
      </c>
      <c r="G10" s="47">
        <v>-6.2098830563616092E-3</v>
      </c>
      <c r="H10" s="48"/>
      <c r="I10" s="43"/>
      <c r="J10" s="45" t="s">
        <v>9</v>
      </c>
      <c r="K10" s="46">
        <v>3395964</v>
      </c>
      <c r="L10" s="49">
        <v>5.534202642733721E-2</v>
      </c>
      <c r="M10" s="42"/>
    </row>
    <row r="11" spans="2:13" ht="24.75" customHeight="1" thickBot="1" x14ac:dyDescent="0.25">
      <c r="C11" s="50"/>
      <c r="D11" s="51"/>
      <c r="E11" s="52" t="s">
        <v>10</v>
      </c>
      <c r="F11" s="53">
        <v>140414</v>
      </c>
      <c r="G11" s="54">
        <v>-7.8908182074611477E-2</v>
      </c>
      <c r="H11" s="48"/>
      <c r="I11" s="55"/>
      <c r="J11" s="56" t="s">
        <v>10</v>
      </c>
      <c r="K11" s="57">
        <v>1752489</v>
      </c>
      <c r="L11" s="58">
        <v>-1.5257807376733989E-3</v>
      </c>
      <c r="M11" s="42"/>
    </row>
    <row r="12" spans="2:13" ht="24.75" customHeight="1" x14ac:dyDescent="0.2">
      <c r="C12" s="59" t="s">
        <v>11</v>
      </c>
      <c r="D12" s="60"/>
      <c r="E12" s="61" t="s">
        <v>7</v>
      </c>
      <c r="F12" s="62">
        <v>19706</v>
      </c>
      <c r="G12" s="63">
        <v>3.5849453322119418E-2</v>
      </c>
      <c r="H12" s="64"/>
      <c r="I12" s="59" t="s">
        <v>11</v>
      </c>
      <c r="J12" s="61" t="s">
        <v>7</v>
      </c>
      <c r="K12" s="62">
        <v>203575</v>
      </c>
      <c r="L12" s="41">
        <v>0.12436967363868834</v>
      </c>
      <c r="M12" s="42"/>
    </row>
    <row r="13" spans="2:13" ht="24.75" customHeight="1" thickBot="1" x14ac:dyDescent="0.25">
      <c r="C13" s="65"/>
      <c r="D13" s="66"/>
      <c r="E13" s="67" t="s">
        <v>9</v>
      </c>
      <c r="F13" s="68">
        <v>19706</v>
      </c>
      <c r="G13" s="69">
        <v>3.5849453322119418E-2</v>
      </c>
      <c r="H13" s="64"/>
      <c r="I13" s="65"/>
      <c r="J13" s="67" t="s">
        <v>9</v>
      </c>
      <c r="K13" s="68">
        <v>203575</v>
      </c>
      <c r="L13" s="58">
        <v>0.12436967363868834</v>
      </c>
      <c r="M13" s="42"/>
    </row>
    <row r="14" spans="2:13" ht="24.75" customHeight="1" x14ac:dyDescent="0.2">
      <c r="C14" s="70" t="s">
        <v>12</v>
      </c>
      <c r="D14" s="71"/>
      <c r="E14" s="72" t="s">
        <v>7</v>
      </c>
      <c r="F14" s="73">
        <v>3402</v>
      </c>
      <c r="G14" s="63">
        <v>-5.9961315280464222E-2</v>
      </c>
      <c r="H14" s="64"/>
      <c r="I14" s="70" t="s">
        <v>12</v>
      </c>
      <c r="J14" s="72" t="s">
        <v>7</v>
      </c>
      <c r="K14" s="73">
        <v>34206</v>
      </c>
      <c r="L14" s="41">
        <v>5.8550473478987453E-2</v>
      </c>
      <c r="M14" s="42"/>
    </row>
    <row r="15" spans="2:13" ht="24.75" customHeight="1" x14ac:dyDescent="0.2">
      <c r="C15" s="74"/>
      <c r="D15" s="75"/>
      <c r="E15" s="76" t="s">
        <v>9</v>
      </c>
      <c r="F15" s="77">
        <v>2910</v>
      </c>
      <c r="G15" s="47">
        <v>1.6771488469601747E-2</v>
      </c>
      <c r="H15" s="64"/>
      <c r="I15" s="74"/>
      <c r="J15" s="76" t="s">
        <v>9</v>
      </c>
      <c r="K15" s="77">
        <v>28786</v>
      </c>
      <c r="L15" s="49">
        <v>5.7531227038941868E-2</v>
      </c>
      <c r="M15" s="42"/>
    </row>
    <row r="16" spans="2:13" ht="24.75" customHeight="1" thickBot="1" x14ac:dyDescent="0.25">
      <c r="C16" s="78"/>
      <c r="D16" s="79"/>
      <c r="E16" s="80" t="s">
        <v>10</v>
      </c>
      <c r="F16" s="81">
        <v>492</v>
      </c>
      <c r="G16" s="69">
        <v>-0.35006605019815062</v>
      </c>
      <c r="H16" s="64"/>
      <c r="I16" s="78"/>
      <c r="J16" s="80" t="s">
        <v>10</v>
      </c>
      <c r="K16" s="81">
        <v>5420</v>
      </c>
      <c r="L16" s="58">
        <v>6.399685904986252E-2</v>
      </c>
      <c r="M16" s="42"/>
    </row>
    <row r="17" spans="3:13" ht="24.75" customHeight="1" x14ac:dyDescent="0.2">
      <c r="C17" s="59" t="s">
        <v>13</v>
      </c>
      <c r="D17" s="60"/>
      <c r="E17" s="61" t="s">
        <v>7</v>
      </c>
      <c r="F17" s="62">
        <v>67947</v>
      </c>
      <c r="G17" s="63">
        <v>-4.4668466340475832E-2</v>
      </c>
      <c r="H17" s="64"/>
      <c r="I17" s="59" t="s">
        <v>13</v>
      </c>
      <c r="J17" s="61" t="s">
        <v>7</v>
      </c>
      <c r="K17" s="62">
        <v>868340</v>
      </c>
      <c r="L17" s="41">
        <v>4.3882395228872939E-2</v>
      </c>
      <c r="M17" s="42"/>
    </row>
    <row r="18" spans="3:13" ht="24.75" customHeight="1" x14ac:dyDescent="0.2">
      <c r="C18" s="82"/>
      <c r="D18" s="83"/>
      <c r="E18" s="84" t="s">
        <v>9</v>
      </c>
      <c r="F18" s="85">
        <v>50544</v>
      </c>
      <c r="G18" s="47">
        <v>-5.7841072194158127E-2</v>
      </c>
      <c r="H18" s="64"/>
      <c r="I18" s="82"/>
      <c r="J18" s="84" t="s">
        <v>9</v>
      </c>
      <c r="K18" s="85">
        <v>642802</v>
      </c>
      <c r="L18" s="49">
        <v>3.8568111792752324E-2</v>
      </c>
      <c r="M18" s="42"/>
    </row>
    <row r="19" spans="3:13" ht="24.75" customHeight="1" thickBot="1" x14ac:dyDescent="0.25">
      <c r="C19" s="65"/>
      <c r="D19" s="66"/>
      <c r="E19" s="67" t="s">
        <v>10</v>
      </c>
      <c r="F19" s="68">
        <v>17403</v>
      </c>
      <c r="G19" s="69">
        <v>-4.2341362934141813E-3</v>
      </c>
      <c r="H19" s="64"/>
      <c r="I19" s="65"/>
      <c r="J19" s="67" t="s">
        <v>10</v>
      </c>
      <c r="K19" s="68">
        <v>225538</v>
      </c>
      <c r="L19" s="58">
        <v>5.9331348106676174E-2</v>
      </c>
      <c r="M19" s="42"/>
    </row>
    <row r="20" spans="3:13" ht="24.75" customHeight="1" x14ac:dyDescent="0.2">
      <c r="C20" s="86" t="s">
        <v>14</v>
      </c>
      <c r="D20" s="87"/>
      <c r="E20" s="88" t="s">
        <v>7</v>
      </c>
      <c r="F20" s="89">
        <v>320616</v>
      </c>
      <c r="G20" s="63">
        <v>-3.3205881288672856E-2</v>
      </c>
      <c r="H20" s="64"/>
      <c r="I20" s="86" t="s">
        <v>14</v>
      </c>
      <c r="J20" s="88" t="s">
        <v>7</v>
      </c>
      <c r="K20" s="89">
        <v>4042332</v>
      </c>
      <c r="L20" s="41">
        <v>2.9149107180818756E-2</v>
      </c>
      <c r="M20" s="42"/>
    </row>
    <row r="21" spans="3:13" ht="24.75" customHeight="1" x14ac:dyDescent="0.2">
      <c r="C21" s="90"/>
      <c r="D21" s="91"/>
      <c r="E21" s="92" t="s">
        <v>9</v>
      </c>
      <c r="F21" s="93">
        <v>198097</v>
      </c>
      <c r="G21" s="47">
        <v>3.4343198982873524E-3</v>
      </c>
      <c r="H21" s="64"/>
      <c r="I21" s="90"/>
      <c r="J21" s="92" t="s">
        <v>9</v>
      </c>
      <c r="K21" s="93">
        <v>2520801</v>
      </c>
      <c r="L21" s="49">
        <v>5.443197561187807E-2</v>
      </c>
      <c r="M21" s="42"/>
    </row>
    <row r="22" spans="3:13" ht="24.75" customHeight="1" thickBot="1" x14ac:dyDescent="0.25">
      <c r="C22" s="94"/>
      <c r="D22" s="95"/>
      <c r="E22" s="96" t="s">
        <v>10</v>
      </c>
      <c r="F22" s="97">
        <v>122519</v>
      </c>
      <c r="G22" s="69">
        <v>-8.710295136689794E-2</v>
      </c>
      <c r="H22" s="64"/>
      <c r="I22" s="94"/>
      <c r="J22" s="96" t="s">
        <v>10</v>
      </c>
      <c r="K22" s="97">
        <v>1521531</v>
      </c>
      <c r="L22" s="58">
        <v>-1.0171959195064639E-2</v>
      </c>
      <c r="M22" s="42"/>
    </row>
    <row r="23" spans="3:13" ht="5.25" customHeight="1" thickBot="1" x14ac:dyDescent="0.25"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</row>
    <row r="24" spans="3:13" ht="20.100000000000001" customHeight="1" thickBot="1" x14ac:dyDescent="0.25">
      <c r="C24" s="27" t="s">
        <v>15</v>
      </c>
      <c r="D24" s="28"/>
      <c r="E24" s="28"/>
      <c r="F24" s="28"/>
      <c r="G24" s="28"/>
      <c r="H24" s="28"/>
      <c r="I24" s="28"/>
      <c r="J24" s="28"/>
      <c r="K24" s="28"/>
      <c r="L24" s="28"/>
      <c r="M24" s="29"/>
    </row>
    <row r="25" spans="3:13" ht="5.25" customHeight="1" thickBot="1" x14ac:dyDescent="0.25"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99"/>
    </row>
    <row r="26" spans="3:13" ht="24.95" customHeight="1" x14ac:dyDescent="0.2">
      <c r="C26" s="38" t="s">
        <v>6</v>
      </c>
      <c r="D26" s="100"/>
      <c r="E26" s="39" t="s">
        <v>7</v>
      </c>
      <c r="F26" s="40">
        <v>3268379</v>
      </c>
      <c r="G26" s="63">
        <v>-4.1851685403798911E-2</v>
      </c>
      <c r="H26" s="37"/>
      <c r="I26" s="38" t="s">
        <v>6</v>
      </c>
      <c r="J26" s="39" t="s">
        <v>7</v>
      </c>
      <c r="K26" s="40">
        <v>39565606</v>
      </c>
      <c r="L26" s="41">
        <v>2.3805010272049731E-2</v>
      </c>
      <c r="M26" s="42" t="s">
        <v>8</v>
      </c>
    </row>
    <row r="27" spans="3:13" ht="24.95" customHeight="1" x14ac:dyDescent="0.2">
      <c r="C27" s="43"/>
      <c r="D27" s="44"/>
      <c r="E27" s="45" t="s">
        <v>9</v>
      </c>
      <c r="F27" s="46">
        <v>1994312</v>
      </c>
      <c r="G27" s="47">
        <v>-2.4755310070980197E-2</v>
      </c>
      <c r="H27" s="48"/>
      <c r="I27" s="43"/>
      <c r="J27" s="45" t="s">
        <v>9</v>
      </c>
      <c r="K27" s="46">
        <v>24625987</v>
      </c>
      <c r="L27" s="49">
        <v>3.7214392614537628E-2</v>
      </c>
      <c r="M27" s="42"/>
    </row>
    <row r="28" spans="3:13" ht="24.95" customHeight="1" thickBot="1" x14ac:dyDescent="0.25">
      <c r="C28" s="55"/>
      <c r="D28" s="101"/>
      <c r="E28" s="56" t="s">
        <v>10</v>
      </c>
      <c r="F28" s="57">
        <v>1274067</v>
      </c>
      <c r="G28" s="69">
        <v>-6.7441513212502358E-2</v>
      </c>
      <c r="H28" s="48"/>
      <c r="I28" s="55"/>
      <c r="J28" s="56" t="s">
        <v>10</v>
      </c>
      <c r="K28" s="57">
        <v>14939619</v>
      </c>
      <c r="L28" s="58">
        <v>2.4424253579042876E-3</v>
      </c>
      <c r="M28" s="42"/>
    </row>
    <row r="29" spans="3:13" ht="24.95" customHeight="1" x14ac:dyDescent="0.2">
      <c r="C29" s="59" t="s">
        <v>11</v>
      </c>
      <c r="D29" s="60"/>
      <c r="E29" s="61" t="s">
        <v>7</v>
      </c>
      <c r="F29" s="62">
        <v>47469</v>
      </c>
      <c r="G29" s="63">
        <v>-3.1225127043409073E-2</v>
      </c>
      <c r="H29" s="64"/>
      <c r="I29" s="59" t="s">
        <v>11</v>
      </c>
      <c r="J29" s="61" t="s">
        <v>7</v>
      </c>
      <c r="K29" s="62">
        <v>489444</v>
      </c>
      <c r="L29" s="41">
        <v>0.19678408474054088</v>
      </c>
      <c r="M29" s="42"/>
    </row>
    <row r="30" spans="3:13" ht="24.95" customHeight="1" thickBot="1" x14ac:dyDescent="0.25">
      <c r="C30" s="65"/>
      <c r="D30" s="66"/>
      <c r="E30" s="67" t="s">
        <v>9</v>
      </c>
      <c r="F30" s="68">
        <v>47469</v>
      </c>
      <c r="G30" s="69">
        <v>-3.1225127043409073E-2</v>
      </c>
      <c r="H30" s="64"/>
      <c r="I30" s="65"/>
      <c r="J30" s="67" t="s">
        <v>9</v>
      </c>
      <c r="K30" s="68">
        <v>489444</v>
      </c>
      <c r="L30" s="58">
        <v>0.19678408474054088</v>
      </c>
      <c r="M30" s="42"/>
    </row>
    <row r="31" spans="3:13" ht="24.95" customHeight="1" x14ac:dyDescent="0.2">
      <c r="C31" s="70" t="s">
        <v>12</v>
      </c>
      <c r="D31" s="71"/>
      <c r="E31" s="72" t="s">
        <v>7</v>
      </c>
      <c r="F31" s="73">
        <v>11616</v>
      </c>
      <c r="G31" s="63">
        <v>-0.22275008364001336</v>
      </c>
      <c r="H31" s="64"/>
      <c r="I31" s="70" t="s">
        <v>12</v>
      </c>
      <c r="J31" s="72" t="s">
        <v>7</v>
      </c>
      <c r="K31" s="73">
        <v>130311</v>
      </c>
      <c r="L31" s="41">
        <v>-4.0080440803818673E-2</v>
      </c>
      <c r="M31" s="42"/>
    </row>
    <row r="32" spans="3:13" ht="24.95" customHeight="1" x14ac:dyDescent="0.2">
      <c r="C32" s="74"/>
      <c r="D32" s="75"/>
      <c r="E32" s="76" t="s">
        <v>9</v>
      </c>
      <c r="F32" s="77">
        <v>8555</v>
      </c>
      <c r="G32" s="47">
        <v>-0.16111002157285748</v>
      </c>
      <c r="H32" s="64"/>
      <c r="I32" s="74"/>
      <c r="J32" s="76" t="s">
        <v>9</v>
      </c>
      <c r="K32" s="77">
        <v>92598</v>
      </c>
      <c r="L32" s="49">
        <v>-7.3918130994409359E-2</v>
      </c>
      <c r="M32" s="42"/>
    </row>
    <row r="33" spans="3:13" ht="24.95" customHeight="1" thickBot="1" x14ac:dyDescent="0.25">
      <c r="C33" s="78"/>
      <c r="D33" s="79"/>
      <c r="E33" s="80" t="s">
        <v>10</v>
      </c>
      <c r="F33" s="81">
        <v>3061</v>
      </c>
      <c r="G33" s="69">
        <v>-0.35517168738150406</v>
      </c>
      <c r="H33" s="64"/>
      <c r="I33" s="78"/>
      <c r="J33" s="80" t="s">
        <v>10</v>
      </c>
      <c r="K33" s="81">
        <v>37713</v>
      </c>
      <c r="L33" s="58">
        <v>5.4525627044710978E-2</v>
      </c>
      <c r="M33" s="42"/>
    </row>
    <row r="34" spans="3:13" ht="24.95" customHeight="1" x14ac:dyDescent="0.2">
      <c r="C34" s="59" t="s">
        <v>13</v>
      </c>
      <c r="D34" s="60"/>
      <c r="E34" s="61" t="s">
        <v>7</v>
      </c>
      <c r="F34" s="62">
        <v>528610</v>
      </c>
      <c r="G34" s="63">
        <v>-7.2996220856313632E-2</v>
      </c>
      <c r="H34" s="64"/>
      <c r="I34" s="59" t="s">
        <v>13</v>
      </c>
      <c r="J34" s="61" t="s">
        <v>7</v>
      </c>
      <c r="K34" s="62">
        <v>6117252</v>
      </c>
      <c r="L34" s="41">
        <v>2.6536305114900349E-2</v>
      </c>
      <c r="M34" s="42"/>
    </row>
    <row r="35" spans="3:13" ht="24.95" customHeight="1" x14ac:dyDescent="0.2">
      <c r="C35" s="82"/>
      <c r="D35" s="83"/>
      <c r="E35" s="84" t="s">
        <v>9</v>
      </c>
      <c r="F35" s="85">
        <v>368395</v>
      </c>
      <c r="G35" s="47">
        <v>-0.10281045274104383</v>
      </c>
      <c r="H35" s="64"/>
      <c r="I35" s="82"/>
      <c r="J35" s="84" t="s">
        <v>9</v>
      </c>
      <c r="K35" s="85">
        <v>4397538</v>
      </c>
      <c r="L35" s="49">
        <v>1.031790449356107E-2</v>
      </c>
      <c r="M35" s="42"/>
    </row>
    <row r="36" spans="3:13" ht="24.95" customHeight="1" thickBot="1" x14ac:dyDescent="0.25">
      <c r="C36" s="65"/>
      <c r="D36" s="66"/>
      <c r="E36" s="67" t="s">
        <v>10</v>
      </c>
      <c r="F36" s="68">
        <v>160215</v>
      </c>
      <c r="G36" s="69">
        <v>3.696162881754006E-3</v>
      </c>
      <c r="H36" s="64"/>
      <c r="I36" s="65"/>
      <c r="J36" s="67" t="s">
        <v>10</v>
      </c>
      <c r="K36" s="68">
        <v>1719714</v>
      </c>
      <c r="L36" s="58">
        <v>7.0478452727092744E-2</v>
      </c>
      <c r="M36" s="42"/>
    </row>
    <row r="37" spans="3:13" ht="24.95" customHeight="1" x14ac:dyDescent="0.2">
      <c r="C37" s="86" t="s">
        <v>14</v>
      </c>
      <c r="D37" s="87"/>
      <c r="E37" s="88" t="s">
        <v>7</v>
      </c>
      <c r="F37" s="89">
        <v>2680684</v>
      </c>
      <c r="G37" s="63">
        <v>-3.46702619625332E-2</v>
      </c>
      <c r="H37" s="64"/>
      <c r="I37" s="86" t="s">
        <v>14</v>
      </c>
      <c r="J37" s="88" t="s">
        <v>7</v>
      </c>
      <c r="K37" s="89">
        <v>32828599</v>
      </c>
      <c r="L37" s="41">
        <v>2.136749677032812E-2</v>
      </c>
      <c r="M37" s="42"/>
    </row>
    <row r="38" spans="3:13" ht="24.95" customHeight="1" x14ac:dyDescent="0.2">
      <c r="C38" s="90"/>
      <c r="D38" s="91"/>
      <c r="E38" s="92" t="s">
        <v>9</v>
      </c>
      <c r="F38" s="93">
        <v>1569893</v>
      </c>
      <c r="G38" s="47">
        <v>-3.3235394202884017E-3</v>
      </c>
      <c r="H38" s="64"/>
      <c r="I38" s="90"/>
      <c r="J38" s="92" t="s">
        <v>9</v>
      </c>
      <c r="K38" s="93">
        <v>19646407</v>
      </c>
      <c r="L38" s="49">
        <v>4.0547075120158871E-2</v>
      </c>
      <c r="M38" s="42"/>
    </row>
    <row r="39" spans="3:13" ht="24.95" customHeight="1" thickBot="1" x14ac:dyDescent="0.25">
      <c r="C39" s="94"/>
      <c r="D39" s="95"/>
      <c r="E39" s="96" t="s">
        <v>10</v>
      </c>
      <c r="F39" s="97">
        <v>1110791</v>
      </c>
      <c r="G39" s="69">
        <v>-7.5753390235257068E-2</v>
      </c>
      <c r="H39" s="64"/>
      <c r="I39" s="94"/>
      <c r="J39" s="96" t="s">
        <v>10</v>
      </c>
      <c r="K39" s="97">
        <v>13182192</v>
      </c>
      <c r="L39" s="58">
        <v>-5.9402162663124702E-3</v>
      </c>
      <c r="M39" s="42"/>
    </row>
    <row r="40" spans="3:13" ht="5.25" customHeight="1" thickBot="1" x14ac:dyDescent="0.25">
      <c r="C40" s="98"/>
      <c r="D40" s="98"/>
      <c r="F40" s="98"/>
      <c r="G40" s="98"/>
      <c r="H40" s="98"/>
      <c r="I40" s="98"/>
      <c r="J40" s="98"/>
      <c r="K40" s="98"/>
      <c r="L40" s="98"/>
      <c r="M40" s="98"/>
    </row>
    <row r="41" spans="3:13" ht="20.100000000000001" customHeight="1" thickBot="1" x14ac:dyDescent="0.25">
      <c r="C41" s="27" t="s">
        <v>16</v>
      </c>
      <c r="D41" s="28"/>
      <c r="E41" s="28"/>
      <c r="F41" s="28"/>
      <c r="G41" s="28"/>
      <c r="H41" s="28"/>
      <c r="I41" s="28"/>
      <c r="J41" s="28"/>
      <c r="K41" s="28"/>
      <c r="L41" s="28"/>
      <c r="M41" s="29"/>
    </row>
    <row r="42" spans="3:13" ht="5.25" customHeight="1" thickBot="1" x14ac:dyDescent="0.25"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99"/>
    </row>
    <row r="43" spans="3:13" ht="24.75" customHeight="1" x14ac:dyDescent="0.2">
      <c r="C43" s="38" t="s">
        <v>6</v>
      </c>
      <c r="D43" s="100"/>
      <c r="E43" s="39" t="s">
        <v>7</v>
      </c>
      <c r="F43" s="102">
        <v>7.9392986146704532</v>
      </c>
      <c r="G43" s="103">
        <v>-7.9462771805645538E-2</v>
      </c>
      <c r="H43" s="37"/>
      <c r="I43" s="38" t="s">
        <v>6</v>
      </c>
      <c r="J43" s="39" t="s">
        <v>7</v>
      </c>
      <c r="K43" s="102">
        <v>7.6849504113177298</v>
      </c>
      <c r="L43" s="104">
        <v>-8.6069247253766079E-2</v>
      </c>
      <c r="M43" s="42" t="s">
        <v>8</v>
      </c>
    </row>
    <row r="44" spans="3:13" ht="24.75" customHeight="1" x14ac:dyDescent="0.2">
      <c r="C44" s="43"/>
      <c r="D44" s="44"/>
      <c r="E44" s="45" t="s">
        <v>9</v>
      </c>
      <c r="F44" s="105">
        <v>7.3521125722101184</v>
      </c>
      <c r="G44" s="106">
        <v>-0.13980908434488004</v>
      </c>
      <c r="H44" s="48"/>
      <c r="I44" s="43"/>
      <c r="J44" s="45" t="s">
        <v>9</v>
      </c>
      <c r="K44" s="105">
        <v>7.2515453638495577</v>
      </c>
      <c r="L44" s="107">
        <v>-0.12673692138171244</v>
      </c>
      <c r="M44" s="42"/>
    </row>
    <row r="45" spans="3:13" ht="24.75" customHeight="1" thickBot="1" x14ac:dyDescent="0.25">
      <c r="C45" s="55"/>
      <c r="D45" s="101"/>
      <c r="E45" s="56" t="s">
        <v>10</v>
      </c>
      <c r="F45" s="108">
        <v>9.0736465024855075</v>
      </c>
      <c r="G45" s="109">
        <v>0.11156887347007149</v>
      </c>
      <c r="H45" s="48"/>
      <c r="I45" s="55"/>
      <c r="J45" s="56" t="s">
        <v>10</v>
      </c>
      <c r="K45" s="108">
        <v>8.5248004409728111</v>
      </c>
      <c r="L45" s="110">
        <v>3.3745743613527779E-2</v>
      </c>
      <c r="M45" s="42"/>
    </row>
    <row r="46" spans="3:13" ht="24.75" customHeight="1" x14ac:dyDescent="0.2">
      <c r="C46" s="59" t="s">
        <v>11</v>
      </c>
      <c r="D46" s="60"/>
      <c r="E46" s="61" t="s">
        <v>7</v>
      </c>
      <c r="F46" s="111">
        <v>2.408860245610474</v>
      </c>
      <c r="G46" s="103">
        <v>-0.16678104959558171</v>
      </c>
      <c r="H46" s="64"/>
      <c r="I46" s="59" t="s">
        <v>11</v>
      </c>
      <c r="J46" s="61" t="s">
        <v>7</v>
      </c>
      <c r="K46" s="111">
        <v>2.4042441360677884</v>
      </c>
      <c r="L46" s="104">
        <v>0.14547479823495113</v>
      </c>
      <c r="M46" s="42"/>
    </row>
    <row r="47" spans="3:13" ht="24.75" customHeight="1" thickBot="1" x14ac:dyDescent="0.25">
      <c r="C47" s="65"/>
      <c r="D47" s="66"/>
      <c r="E47" s="67" t="s">
        <v>9</v>
      </c>
      <c r="F47" s="112">
        <v>2.408860245610474</v>
      </c>
      <c r="G47" s="109">
        <v>-0.16678104959558171</v>
      </c>
      <c r="H47" s="64"/>
      <c r="I47" s="65"/>
      <c r="J47" s="67" t="s">
        <v>9</v>
      </c>
      <c r="K47" s="112">
        <v>2.4042441360677884</v>
      </c>
      <c r="L47" s="110">
        <v>0.14547479823495113</v>
      </c>
      <c r="M47" s="42"/>
    </row>
    <row r="48" spans="3:13" ht="24.75" customHeight="1" x14ac:dyDescent="0.2">
      <c r="C48" s="70" t="s">
        <v>12</v>
      </c>
      <c r="D48" s="71"/>
      <c r="E48" s="72" t="s">
        <v>7</v>
      </c>
      <c r="F48" s="113">
        <v>3.4144620811287476</v>
      </c>
      <c r="G48" s="103">
        <v>-0.71513172931612701</v>
      </c>
      <c r="H48" s="64"/>
      <c r="I48" s="70" t="s">
        <v>12</v>
      </c>
      <c r="J48" s="72" t="s">
        <v>7</v>
      </c>
      <c r="K48" s="113">
        <v>3.8095948079284336</v>
      </c>
      <c r="L48" s="104">
        <v>-0.39143261052796285</v>
      </c>
      <c r="M48" s="42"/>
    </row>
    <row r="49" spans="2:13" ht="24.75" customHeight="1" x14ac:dyDescent="0.2">
      <c r="C49" s="74"/>
      <c r="D49" s="75"/>
      <c r="E49" s="76" t="s">
        <v>9</v>
      </c>
      <c r="F49" s="114">
        <v>2.9398625429553267</v>
      </c>
      <c r="G49" s="106">
        <v>-0.62337994481546311</v>
      </c>
      <c r="H49" s="64"/>
      <c r="I49" s="74"/>
      <c r="J49" s="76" t="s">
        <v>9</v>
      </c>
      <c r="K49" s="114">
        <v>3.2167720419648442</v>
      </c>
      <c r="L49" s="107">
        <v>-0.45659313070231233</v>
      </c>
      <c r="M49" s="42"/>
    </row>
    <row r="50" spans="2:13" ht="24.75" customHeight="1" thickBot="1" x14ac:dyDescent="0.25">
      <c r="C50" s="78"/>
      <c r="D50" s="79"/>
      <c r="E50" s="80" t="s">
        <v>10</v>
      </c>
      <c r="F50" s="115">
        <v>6.2215447154471546</v>
      </c>
      <c r="G50" s="109">
        <v>-4.9261096970282914E-2</v>
      </c>
      <c r="H50" s="64"/>
      <c r="I50" s="78"/>
      <c r="J50" s="80" t="s">
        <v>10</v>
      </c>
      <c r="K50" s="115">
        <v>6.9581180811808121</v>
      </c>
      <c r="L50" s="110">
        <v>-6.2494404095984279E-2</v>
      </c>
      <c r="M50" s="42"/>
    </row>
    <row r="51" spans="2:13" ht="24.75" customHeight="1" x14ac:dyDescent="0.2">
      <c r="C51" s="59" t="s">
        <v>13</v>
      </c>
      <c r="D51" s="60"/>
      <c r="E51" s="61" t="s">
        <v>7</v>
      </c>
      <c r="F51" s="111">
        <v>7.779740091541937</v>
      </c>
      <c r="G51" s="103">
        <v>-0.23773642833883457</v>
      </c>
      <c r="H51" s="64"/>
      <c r="I51" s="59" t="s">
        <v>13</v>
      </c>
      <c r="J51" s="61" t="s">
        <v>7</v>
      </c>
      <c r="K51" s="111">
        <v>7.0447658751180411</v>
      </c>
      <c r="L51" s="104">
        <v>-0.11904025516950334</v>
      </c>
      <c r="M51" s="42"/>
    </row>
    <row r="52" spans="2:13" ht="24.75" customHeight="1" x14ac:dyDescent="0.2">
      <c r="C52" s="82"/>
      <c r="D52" s="83"/>
      <c r="E52" s="84" t="s">
        <v>9</v>
      </c>
      <c r="F52" s="116">
        <v>7.2886000316555872</v>
      </c>
      <c r="G52" s="106">
        <v>-0.36532283448790626</v>
      </c>
      <c r="H52" s="64"/>
      <c r="I52" s="82"/>
      <c r="J52" s="84" t="s">
        <v>9</v>
      </c>
      <c r="K52" s="116">
        <v>6.8412014897277853</v>
      </c>
      <c r="L52" s="107">
        <v>-0.19129163147635531</v>
      </c>
      <c r="M52" s="42"/>
    </row>
    <row r="53" spans="2:13" ht="24.75" customHeight="1" thickBot="1" x14ac:dyDescent="0.25">
      <c r="C53" s="65"/>
      <c r="D53" s="66"/>
      <c r="E53" s="67" t="s">
        <v>10</v>
      </c>
      <c r="F53" s="112">
        <v>9.2061713497672812</v>
      </c>
      <c r="G53" s="109">
        <v>7.2738838466714029E-2</v>
      </c>
      <c r="H53" s="64"/>
      <c r="I53" s="65"/>
      <c r="J53" s="67" t="s">
        <v>10</v>
      </c>
      <c r="K53" s="112">
        <v>7.6249412515850992</v>
      </c>
      <c r="L53" s="110">
        <v>7.9400026819239855E-2</v>
      </c>
      <c r="M53" s="42"/>
    </row>
    <row r="54" spans="2:13" ht="24.75" customHeight="1" x14ac:dyDescent="0.2">
      <c r="C54" s="86" t="s">
        <v>14</v>
      </c>
      <c r="D54" s="87"/>
      <c r="E54" s="88" t="s">
        <v>7</v>
      </c>
      <c r="F54" s="117">
        <v>8.3610424932005891</v>
      </c>
      <c r="G54" s="103">
        <v>-1.2683488923959985E-2</v>
      </c>
      <c r="H54" s="64"/>
      <c r="I54" s="86" t="s">
        <v>14</v>
      </c>
      <c r="J54" s="88" t="s">
        <v>7</v>
      </c>
      <c r="K54" s="117">
        <v>8.1212030580367962</v>
      </c>
      <c r="L54" s="104">
        <v>-6.1873946901542354E-2</v>
      </c>
      <c r="M54" s="42"/>
    </row>
    <row r="55" spans="2:13" ht="24.75" customHeight="1" x14ac:dyDescent="0.2">
      <c r="C55" s="90"/>
      <c r="D55" s="91"/>
      <c r="E55" s="92" t="s">
        <v>9</v>
      </c>
      <c r="F55" s="118">
        <v>7.9248701393761642</v>
      </c>
      <c r="G55" s="106">
        <v>-5.3733743735389972E-2</v>
      </c>
      <c r="H55" s="64"/>
      <c r="I55" s="90"/>
      <c r="J55" s="92" t="s">
        <v>9</v>
      </c>
      <c r="K55" s="118">
        <v>7.793715965679163</v>
      </c>
      <c r="L55" s="107">
        <v>-0.10399814984985944</v>
      </c>
      <c r="M55" s="42"/>
    </row>
    <row r="56" spans="2:13" ht="24.75" customHeight="1" thickBot="1" x14ac:dyDescent="0.25">
      <c r="C56" s="119"/>
      <c r="D56" s="120"/>
      <c r="E56" s="121" t="s">
        <v>10</v>
      </c>
      <c r="F56" s="122">
        <v>9.0662754348305157</v>
      </c>
      <c r="G56" s="123">
        <v>0.11133202567017619</v>
      </c>
      <c r="H56" s="124"/>
      <c r="I56" s="119"/>
      <c r="J56" s="121" t="s">
        <v>10</v>
      </c>
      <c r="K56" s="122">
        <v>8.6637682702488483</v>
      </c>
      <c r="L56" s="125">
        <v>3.6881926735098602E-2</v>
      </c>
      <c r="M56" s="126"/>
    </row>
    <row r="57" spans="2:13" ht="13.5" thickBot="1" x14ac:dyDescent="0.25">
      <c r="C57" s="127" t="s">
        <v>95</v>
      </c>
      <c r="D57" s="128"/>
      <c r="E57" s="128"/>
      <c r="F57" s="128"/>
      <c r="G57" s="128"/>
      <c r="H57" s="128"/>
      <c r="I57" s="128"/>
      <c r="J57" s="128"/>
      <c r="K57" s="128"/>
      <c r="L57" s="128"/>
      <c r="M57" s="129"/>
    </row>
    <row r="58" spans="2:13" ht="50.25" customHeight="1" thickBot="1" x14ac:dyDescent="0.25">
      <c r="C58" s="130"/>
      <c r="D58" s="130"/>
      <c r="E58" s="131" t="s">
        <v>92</v>
      </c>
      <c r="F58" s="131"/>
      <c r="G58" s="131"/>
      <c r="H58" s="131"/>
      <c r="I58" s="131"/>
      <c r="J58" s="131"/>
      <c r="K58" s="131"/>
      <c r="L58" s="130"/>
      <c r="M58" s="130"/>
    </row>
    <row r="59" spans="2:13" ht="15" customHeight="1" x14ac:dyDescent="0.2">
      <c r="B59" s="5"/>
      <c r="C59" s="6" t="s">
        <v>93</v>
      </c>
      <c r="D59" s="6"/>
      <c r="E59" s="6"/>
      <c r="F59" s="6"/>
      <c r="G59" s="6"/>
      <c r="H59" s="7"/>
      <c r="I59" s="8" t="s">
        <v>94</v>
      </c>
      <c r="J59" s="8"/>
      <c r="K59" s="8"/>
      <c r="L59" s="8"/>
      <c r="M59" s="8"/>
    </row>
    <row r="60" spans="2:13" ht="16.5" customHeight="1" thickBot="1" x14ac:dyDescent="0.25">
      <c r="B60" s="5"/>
      <c r="C60" s="9"/>
      <c r="D60" s="9"/>
      <c r="E60" s="9"/>
      <c r="F60" s="9"/>
      <c r="G60" s="9"/>
      <c r="H60" s="10"/>
      <c r="I60" s="11"/>
      <c r="J60" s="11"/>
      <c r="K60" s="11"/>
      <c r="L60" s="11"/>
      <c r="M60" s="11"/>
    </row>
    <row r="61" spans="2:13" ht="81.75" customHeight="1" x14ac:dyDescent="0.2">
      <c r="C61" s="20" t="s">
        <v>0</v>
      </c>
      <c r="D61" s="21"/>
      <c r="E61" s="22" t="s">
        <v>1</v>
      </c>
      <c r="F61" s="22" t="s">
        <v>3</v>
      </c>
      <c r="G61" s="23" t="s">
        <v>2</v>
      </c>
      <c r="H61" s="24"/>
      <c r="I61" s="25" t="s">
        <v>1</v>
      </c>
      <c r="J61" s="22" t="s">
        <v>17</v>
      </c>
      <c r="K61" s="22" t="s">
        <v>18</v>
      </c>
      <c r="L61" s="22" t="s">
        <v>0</v>
      </c>
      <c r="M61" s="23" t="s">
        <v>4</v>
      </c>
    </row>
    <row r="62" spans="2:13" ht="5.25" customHeight="1" thickBot="1" x14ac:dyDescent="0.25"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2:13" ht="20.100000000000001" customHeight="1" thickBot="1" x14ac:dyDescent="0.25">
      <c r="C63" s="27" t="s">
        <v>19</v>
      </c>
      <c r="D63" s="28"/>
      <c r="E63" s="28"/>
      <c r="F63" s="28"/>
      <c r="G63" s="28"/>
      <c r="H63" s="28"/>
      <c r="I63" s="28"/>
      <c r="J63" s="28"/>
      <c r="K63" s="28"/>
      <c r="L63" s="28"/>
      <c r="M63" s="29"/>
    </row>
    <row r="64" spans="2:13" ht="5.25" customHeight="1" thickBot="1" x14ac:dyDescent="0.25"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99"/>
    </row>
    <row r="65" spans="3:13" ht="24.75" customHeight="1" x14ac:dyDescent="0.2">
      <c r="C65" s="38" t="s">
        <v>6</v>
      </c>
      <c r="D65" s="100"/>
      <c r="E65" s="39" t="s">
        <v>7</v>
      </c>
      <c r="F65" s="132">
        <v>65.56078764117855</v>
      </c>
      <c r="G65" s="63">
        <v>-2.4990324645739914E-2</v>
      </c>
      <c r="H65" s="37"/>
      <c r="I65" s="38" t="s">
        <v>6</v>
      </c>
      <c r="J65" s="39" t="s">
        <v>7</v>
      </c>
      <c r="K65" s="132">
        <v>67.142206882767525</v>
      </c>
      <c r="L65" s="41">
        <v>3.965379835783267E-2</v>
      </c>
      <c r="M65" s="42" t="s">
        <v>8</v>
      </c>
    </row>
    <row r="66" spans="3:13" ht="24.75" customHeight="1" x14ac:dyDescent="0.2">
      <c r="C66" s="43"/>
      <c r="D66" s="44"/>
      <c r="E66" s="45" t="s">
        <v>9</v>
      </c>
      <c r="F66" s="133">
        <v>71.840718669432732</v>
      </c>
      <c r="G66" s="47">
        <v>-2.6399794634507479E-2</v>
      </c>
      <c r="H66" s="48"/>
      <c r="I66" s="43"/>
      <c r="J66" s="45" t="s">
        <v>9</v>
      </c>
      <c r="K66" s="133">
        <v>74.995727318242004</v>
      </c>
      <c r="L66" s="49">
        <v>2.2723913217209457E-2</v>
      </c>
      <c r="M66" s="42"/>
    </row>
    <row r="67" spans="3:13" ht="24.75" customHeight="1" thickBot="1" x14ac:dyDescent="0.25">
      <c r="C67" s="55"/>
      <c r="D67" s="101"/>
      <c r="E67" s="56" t="s">
        <v>10</v>
      </c>
      <c r="F67" s="134">
        <v>57.669766064983257</v>
      </c>
      <c r="G67" s="69">
        <v>-2.8433334710642688E-2</v>
      </c>
      <c r="H67" s="48"/>
      <c r="I67" s="55"/>
      <c r="J67" s="56" t="s">
        <v>10</v>
      </c>
      <c r="K67" s="134">
        <v>57.25845943450885</v>
      </c>
      <c r="L67" s="58">
        <v>5.5115284566380929E-2</v>
      </c>
      <c r="M67" s="42"/>
    </row>
    <row r="68" spans="3:13" ht="24.75" customHeight="1" x14ac:dyDescent="0.2">
      <c r="C68" s="59" t="s">
        <v>11</v>
      </c>
      <c r="D68" s="60"/>
      <c r="E68" s="61" t="s">
        <v>7</v>
      </c>
      <c r="F68" s="135">
        <v>58.156401994535855</v>
      </c>
      <c r="G68" s="63">
        <v>-3.1225127043408962E-2</v>
      </c>
      <c r="H68" s="64"/>
      <c r="I68" s="59" t="s">
        <v>11</v>
      </c>
      <c r="J68" s="61" t="s">
        <v>7</v>
      </c>
      <c r="K68" s="135">
        <v>50.928312409928779</v>
      </c>
      <c r="L68" s="41">
        <v>0.1780760249670057</v>
      </c>
      <c r="M68" s="42"/>
    </row>
    <row r="69" spans="3:13" ht="24.75" customHeight="1" thickBot="1" x14ac:dyDescent="0.25">
      <c r="C69" s="65"/>
      <c r="D69" s="66"/>
      <c r="E69" s="67" t="s">
        <v>9</v>
      </c>
      <c r="F69" s="136">
        <v>58.156401994535855</v>
      </c>
      <c r="G69" s="69">
        <v>-3.1225127043408962E-2</v>
      </c>
      <c r="H69" s="64"/>
      <c r="I69" s="65"/>
      <c r="J69" s="67" t="s">
        <v>9</v>
      </c>
      <c r="K69" s="136">
        <v>50.928312409928779</v>
      </c>
      <c r="L69" s="58">
        <v>0.1780760249670057</v>
      </c>
      <c r="M69" s="42"/>
    </row>
    <row r="70" spans="3:13" ht="24.75" customHeight="1" x14ac:dyDescent="0.2">
      <c r="C70" s="70" t="s">
        <v>12</v>
      </c>
      <c r="D70" s="71"/>
      <c r="E70" s="72" t="s">
        <v>7</v>
      </c>
      <c r="F70" s="137">
        <v>41.634408602150536</v>
      </c>
      <c r="G70" s="63">
        <v>-0.16229731236757006</v>
      </c>
      <c r="H70" s="64"/>
      <c r="I70" s="70" t="s">
        <v>12</v>
      </c>
      <c r="J70" s="72" t="s">
        <v>7</v>
      </c>
      <c r="K70" s="137">
        <v>39.932521879826432</v>
      </c>
      <c r="L70" s="41">
        <v>2.9752642276141827E-2</v>
      </c>
      <c r="M70" s="42"/>
    </row>
    <row r="71" spans="3:13" ht="24.75" customHeight="1" x14ac:dyDescent="0.2">
      <c r="C71" s="74"/>
      <c r="D71" s="75"/>
      <c r="E71" s="76" t="s">
        <v>9</v>
      </c>
      <c r="F71" s="138">
        <v>48.161909587344482</v>
      </c>
      <c r="G71" s="47">
        <v>-0.17867839808442065</v>
      </c>
      <c r="H71" s="64"/>
      <c r="I71" s="74"/>
      <c r="J71" s="76" t="s">
        <v>9</v>
      </c>
      <c r="K71" s="138">
        <v>44.739168877099914</v>
      </c>
      <c r="L71" s="49">
        <v>-8.3797626226948529E-2</v>
      </c>
      <c r="M71" s="42"/>
    </row>
    <row r="72" spans="3:13" ht="24.75" customHeight="1" thickBot="1" x14ac:dyDescent="0.25">
      <c r="C72" s="78"/>
      <c r="D72" s="79"/>
      <c r="E72" s="80" t="s">
        <v>10</v>
      </c>
      <c r="F72" s="139">
        <v>30.196310545526291</v>
      </c>
      <c r="G72" s="69">
        <v>-0.19347162122029093</v>
      </c>
      <c r="H72" s="64"/>
      <c r="I72" s="78"/>
      <c r="J72" s="80" t="s">
        <v>10</v>
      </c>
      <c r="K72" s="139">
        <v>31.59733567927611</v>
      </c>
      <c r="L72" s="58">
        <v>0.28378146861444975</v>
      </c>
      <c r="M72" s="42"/>
    </row>
    <row r="73" spans="3:13" ht="24.75" customHeight="1" x14ac:dyDescent="0.2">
      <c r="C73" s="59" t="s">
        <v>13</v>
      </c>
      <c r="D73" s="60"/>
      <c r="E73" s="61" t="s">
        <v>7</v>
      </c>
      <c r="F73" s="135">
        <v>62.748612636139718</v>
      </c>
      <c r="G73" s="63">
        <v>-4.4989961328182448E-2</v>
      </c>
      <c r="H73" s="64"/>
      <c r="I73" s="59" t="s">
        <v>13</v>
      </c>
      <c r="J73" s="61" t="s">
        <v>7</v>
      </c>
      <c r="K73" s="135">
        <v>60.665447854111413</v>
      </c>
      <c r="L73" s="41">
        <v>4.2836344630327483E-2</v>
      </c>
      <c r="M73" s="42"/>
    </row>
    <row r="74" spans="3:13" ht="24.75" customHeight="1" x14ac:dyDescent="0.2">
      <c r="C74" s="82"/>
      <c r="D74" s="83"/>
      <c r="E74" s="84" t="s">
        <v>9</v>
      </c>
      <c r="F74" s="140">
        <v>64.4208254860918</v>
      </c>
      <c r="G74" s="47">
        <v>-7.280199875618043E-2</v>
      </c>
      <c r="H74" s="64"/>
      <c r="I74" s="82"/>
      <c r="J74" s="84" t="s">
        <v>9</v>
      </c>
      <c r="K74" s="140">
        <v>64.169746958146803</v>
      </c>
      <c r="L74" s="49">
        <v>2.4866943943547826E-2</v>
      </c>
      <c r="M74" s="42"/>
    </row>
    <row r="75" spans="3:13" ht="24.75" customHeight="1" thickBot="1" x14ac:dyDescent="0.25">
      <c r="C75" s="65"/>
      <c r="D75" s="66"/>
      <c r="E75" s="67" t="s">
        <v>10</v>
      </c>
      <c r="F75" s="136">
        <v>59.214319505632595</v>
      </c>
      <c r="G75" s="69">
        <v>2.7155605735543986E-2</v>
      </c>
      <c r="H75" s="64"/>
      <c r="I75" s="65"/>
      <c r="J75" s="67" t="s">
        <v>10</v>
      </c>
      <c r="K75" s="136">
        <v>53.231899382407278</v>
      </c>
      <c r="L75" s="58">
        <v>9.0832934110820052E-2</v>
      </c>
      <c r="M75" s="42"/>
    </row>
    <row r="76" spans="3:13" ht="24.75" customHeight="1" x14ac:dyDescent="0.2">
      <c r="C76" s="86" t="s">
        <v>14</v>
      </c>
      <c r="D76" s="87"/>
      <c r="E76" s="88" t="s">
        <v>7</v>
      </c>
      <c r="F76" s="141">
        <v>66.463508819167942</v>
      </c>
      <c r="G76" s="63">
        <v>-2.0283838771969709E-2</v>
      </c>
      <c r="H76" s="64"/>
      <c r="I76" s="86" t="s">
        <v>14</v>
      </c>
      <c r="J76" s="88" t="s">
        <v>7</v>
      </c>
      <c r="K76" s="141">
        <v>69.029842876704606</v>
      </c>
      <c r="L76" s="41">
        <v>3.733306764276989E-2</v>
      </c>
      <c r="M76" s="42"/>
    </row>
    <row r="77" spans="3:13" ht="24.75" customHeight="1" x14ac:dyDescent="0.2">
      <c r="C77" s="90"/>
      <c r="D77" s="91"/>
      <c r="E77" s="92" t="s">
        <v>9</v>
      </c>
      <c r="F77" s="142">
        <v>74.587176972751493</v>
      </c>
      <c r="G77" s="47">
        <v>-1.4421209447952221E-2</v>
      </c>
      <c r="H77" s="64"/>
      <c r="I77" s="90"/>
      <c r="J77" s="92" t="s">
        <v>9</v>
      </c>
      <c r="K77" s="142">
        <v>79.169822117404323</v>
      </c>
      <c r="L77" s="49">
        <v>1.7895790088715335E-2</v>
      </c>
      <c r="M77" s="42"/>
    </row>
    <row r="78" spans="3:13" ht="24.75" customHeight="1" thickBot="1" x14ac:dyDescent="0.25">
      <c r="C78" s="94"/>
      <c r="D78" s="95"/>
      <c r="E78" s="96" t="s">
        <v>10</v>
      </c>
      <c r="F78" s="143">
        <v>57.597479130596653</v>
      </c>
      <c r="G78" s="69">
        <v>-3.5714737692845278E-2</v>
      </c>
      <c r="H78" s="64"/>
      <c r="I78" s="94"/>
      <c r="J78" s="96" t="s">
        <v>10</v>
      </c>
      <c r="K78" s="143">
        <v>57.965139282721971</v>
      </c>
      <c r="L78" s="58">
        <v>5.0167004484355182E-2</v>
      </c>
      <c r="M78" s="42"/>
    </row>
    <row r="79" spans="3:13" ht="5.25" customHeight="1" thickBot="1" x14ac:dyDescent="0.25"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</row>
    <row r="80" spans="3:13" ht="20.100000000000001" customHeight="1" thickBot="1" x14ac:dyDescent="0.25">
      <c r="C80" s="27" t="s">
        <v>20</v>
      </c>
      <c r="D80" s="28"/>
      <c r="E80" s="28"/>
      <c r="F80" s="28"/>
      <c r="G80" s="28"/>
      <c r="H80" s="28"/>
      <c r="I80" s="28"/>
      <c r="J80" s="28"/>
      <c r="K80" s="28"/>
      <c r="L80" s="28"/>
      <c r="M80" s="29"/>
    </row>
    <row r="81" spans="3:13" ht="5.25" customHeight="1" thickBot="1" x14ac:dyDescent="0.25">
      <c r="C81" s="144"/>
      <c r="D81" s="30"/>
      <c r="E81" s="30"/>
      <c r="F81" s="30"/>
      <c r="G81" s="30"/>
      <c r="H81" s="30"/>
      <c r="I81" s="30"/>
      <c r="J81" s="30"/>
      <c r="K81" s="30"/>
      <c r="L81" s="30"/>
      <c r="M81" s="99"/>
    </row>
    <row r="82" spans="3:13" ht="33.75" customHeight="1" x14ac:dyDescent="0.2">
      <c r="C82" s="59" t="s">
        <v>6</v>
      </c>
      <c r="D82" s="60"/>
      <c r="E82" s="61" t="s">
        <v>21</v>
      </c>
      <c r="F82" s="62">
        <v>43320</v>
      </c>
      <c r="G82" s="63">
        <v>2.0542781756502038E-2</v>
      </c>
      <c r="H82" s="145"/>
      <c r="I82" s="59" t="s">
        <v>6</v>
      </c>
      <c r="J82" s="61" t="s">
        <v>21</v>
      </c>
      <c r="K82" s="62">
        <v>530886</v>
      </c>
      <c r="L82" s="41">
        <v>3.0122515823828744E-2</v>
      </c>
      <c r="M82" s="42" t="s">
        <v>8</v>
      </c>
    </row>
    <row r="83" spans="3:13" ht="33.75" customHeight="1" x14ac:dyDescent="0.2">
      <c r="C83" s="82"/>
      <c r="D83" s="83"/>
      <c r="E83" s="92" t="s">
        <v>22</v>
      </c>
      <c r="F83" s="93">
        <v>158251</v>
      </c>
      <c r="G83" s="47">
        <v>-4.1129672380467608E-2</v>
      </c>
      <c r="H83" s="64"/>
      <c r="I83" s="82"/>
      <c r="J83" s="92" t="s">
        <v>22</v>
      </c>
      <c r="K83" s="93">
        <v>2022119</v>
      </c>
      <c r="L83" s="49">
        <v>2.7612278583421856E-2</v>
      </c>
      <c r="M83" s="42"/>
    </row>
    <row r="84" spans="3:13" ht="33.75" customHeight="1" x14ac:dyDescent="0.2">
      <c r="C84" s="82"/>
      <c r="D84" s="83"/>
      <c r="E84" s="84" t="s">
        <v>23</v>
      </c>
      <c r="F84" s="85">
        <v>53764</v>
      </c>
      <c r="G84" s="47">
        <v>5.6620089224298953E-2</v>
      </c>
      <c r="H84" s="64"/>
      <c r="I84" s="82"/>
      <c r="J84" s="84" t="s">
        <v>23</v>
      </c>
      <c r="K84" s="85">
        <v>679658</v>
      </c>
      <c r="L84" s="49">
        <v>0.14864915109294885</v>
      </c>
      <c r="M84" s="42"/>
    </row>
    <row r="85" spans="3:13" ht="33.75" customHeight="1" x14ac:dyDescent="0.2">
      <c r="C85" s="82"/>
      <c r="D85" s="83"/>
      <c r="E85" s="92" t="s">
        <v>24</v>
      </c>
      <c r="F85" s="93">
        <v>10793</v>
      </c>
      <c r="G85" s="47">
        <v>0.12286724927174375</v>
      </c>
      <c r="H85" s="64"/>
      <c r="I85" s="82"/>
      <c r="J85" s="92" t="s">
        <v>24</v>
      </c>
      <c r="K85" s="93">
        <v>109489</v>
      </c>
      <c r="L85" s="49">
        <v>9.4288141522162805E-2</v>
      </c>
      <c r="M85" s="42"/>
    </row>
    <row r="86" spans="3:13" ht="33.75" customHeight="1" thickBot="1" x14ac:dyDescent="0.25">
      <c r="C86" s="65"/>
      <c r="D86" s="66"/>
      <c r="E86" s="67" t="s">
        <v>25</v>
      </c>
      <c r="F86" s="68">
        <v>5129</v>
      </c>
      <c r="G86" s="69">
        <v>3.199195171026159E-2</v>
      </c>
      <c r="H86" s="146"/>
      <c r="I86" s="65"/>
      <c r="J86" s="67" t="s">
        <v>25</v>
      </c>
      <c r="K86" s="68">
        <v>53812</v>
      </c>
      <c r="L86" s="58">
        <v>0.25211159457384191</v>
      </c>
      <c r="M86" s="42"/>
    </row>
    <row r="87" spans="3:13" ht="5.25" customHeight="1" thickBot="1" x14ac:dyDescent="0.25"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</row>
    <row r="88" spans="3:13" ht="20.100000000000001" customHeight="1" thickBot="1" x14ac:dyDescent="0.25">
      <c r="C88" s="27" t="s">
        <v>26</v>
      </c>
      <c r="D88" s="28"/>
      <c r="E88" s="28"/>
      <c r="F88" s="28"/>
      <c r="G88" s="28"/>
      <c r="H88" s="28"/>
      <c r="I88" s="28"/>
      <c r="J88" s="28"/>
      <c r="K88" s="28"/>
      <c r="L88" s="28"/>
      <c r="M88" s="29"/>
    </row>
    <row r="89" spans="3:13" ht="5.25" customHeight="1" thickBot="1" x14ac:dyDescent="0.25">
      <c r="C89" s="144"/>
      <c r="D89" s="30"/>
      <c r="E89" s="30"/>
      <c r="F89" s="30"/>
      <c r="G89" s="30"/>
      <c r="H89" s="30"/>
      <c r="I89" s="30"/>
      <c r="J89" s="30"/>
      <c r="K89" s="30"/>
      <c r="L89" s="30"/>
      <c r="M89" s="99"/>
    </row>
    <row r="90" spans="3:13" s="147" customFormat="1" ht="33.75" customHeight="1" x14ac:dyDescent="0.2">
      <c r="C90" s="59" t="s">
        <v>6</v>
      </c>
      <c r="D90" s="60"/>
      <c r="E90" s="61" t="s">
        <v>21</v>
      </c>
      <c r="F90" s="62">
        <v>285009</v>
      </c>
      <c r="G90" s="63">
        <v>2.3412055772400242E-2</v>
      </c>
      <c r="H90" s="145"/>
      <c r="I90" s="59" t="s">
        <v>6</v>
      </c>
      <c r="J90" s="61" t="s">
        <v>21</v>
      </c>
      <c r="K90" s="62">
        <v>3584613</v>
      </c>
      <c r="L90" s="41">
        <v>7.3342412029291371E-3</v>
      </c>
      <c r="M90" s="42" t="s">
        <v>8</v>
      </c>
    </row>
    <row r="91" spans="3:13" s="147" customFormat="1" ht="33.75" customHeight="1" x14ac:dyDescent="0.2">
      <c r="C91" s="82"/>
      <c r="D91" s="83"/>
      <c r="E91" s="92" t="s">
        <v>22</v>
      </c>
      <c r="F91" s="93">
        <v>1263704</v>
      </c>
      <c r="G91" s="47">
        <v>-4.8158350035890751E-2</v>
      </c>
      <c r="H91" s="64"/>
      <c r="I91" s="82"/>
      <c r="J91" s="92" t="s">
        <v>22</v>
      </c>
      <c r="K91" s="93">
        <v>15810857</v>
      </c>
      <c r="L91" s="49">
        <v>2.8775590463057998E-2</v>
      </c>
      <c r="M91" s="42" t="s">
        <v>27</v>
      </c>
    </row>
    <row r="92" spans="3:13" s="147" customFormat="1" ht="33.75" customHeight="1" x14ac:dyDescent="0.2">
      <c r="C92" s="82"/>
      <c r="D92" s="83"/>
      <c r="E92" s="84" t="s">
        <v>23</v>
      </c>
      <c r="F92" s="85">
        <v>388958</v>
      </c>
      <c r="G92" s="47">
        <v>1.67640408317975E-2</v>
      </c>
      <c r="H92" s="64"/>
      <c r="I92" s="82"/>
      <c r="J92" s="84" t="s">
        <v>23</v>
      </c>
      <c r="K92" s="85">
        <v>4601082</v>
      </c>
      <c r="L92" s="49">
        <v>8.3837749012054985E-2</v>
      </c>
      <c r="M92" s="42" t="s">
        <v>27</v>
      </c>
    </row>
    <row r="93" spans="3:13" s="147" customFormat="1" ht="33.75" customHeight="1" x14ac:dyDescent="0.2">
      <c r="C93" s="82"/>
      <c r="D93" s="83"/>
      <c r="E93" s="92" t="s">
        <v>24</v>
      </c>
      <c r="F93" s="93">
        <v>35941</v>
      </c>
      <c r="G93" s="47">
        <v>-2.416442670576413E-2</v>
      </c>
      <c r="H93" s="64"/>
      <c r="I93" s="82"/>
      <c r="J93" s="92" t="s">
        <v>24</v>
      </c>
      <c r="K93" s="93">
        <v>405218</v>
      </c>
      <c r="L93" s="49">
        <v>8.0598622911299822E-2</v>
      </c>
      <c r="M93" s="42" t="s">
        <v>27</v>
      </c>
    </row>
    <row r="94" spans="3:13" s="147" customFormat="1" ht="33.75" customHeight="1" thickBot="1" x14ac:dyDescent="0.25">
      <c r="C94" s="65"/>
      <c r="D94" s="66"/>
      <c r="E94" s="67" t="s">
        <v>25</v>
      </c>
      <c r="F94" s="68">
        <v>20700</v>
      </c>
      <c r="G94" s="69">
        <v>6.5417674610118937E-2</v>
      </c>
      <c r="H94" s="146"/>
      <c r="I94" s="65"/>
      <c r="J94" s="67" t="s">
        <v>25</v>
      </c>
      <c r="K94" s="68">
        <v>224217</v>
      </c>
      <c r="L94" s="58">
        <v>0.14908239249309418</v>
      </c>
      <c r="M94" s="42" t="s">
        <v>27</v>
      </c>
    </row>
    <row r="95" spans="3:13" ht="5.25" customHeight="1" thickBot="1" x14ac:dyDescent="0.25"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</row>
    <row r="96" spans="3:13" ht="20.100000000000001" customHeight="1" thickBot="1" x14ac:dyDescent="0.25">
      <c r="C96" s="27" t="s">
        <v>28</v>
      </c>
      <c r="D96" s="28"/>
      <c r="E96" s="28"/>
      <c r="F96" s="28"/>
      <c r="G96" s="28"/>
      <c r="H96" s="28"/>
      <c r="I96" s="28"/>
      <c r="J96" s="28"/>
      <c r="K96" s="28"/>
      <c r="L96" s="28"/>
      <c r="M96" s="29"/>
    </row>
    <row r="97" spans="3:15" ht="5.25" customHeight="1" thickBot="1" x14ac:dyDescent="0.25">
      <c r="C97" s="144"/>
      <c r="D97" s="30"/>
      <c r="E97" s="30"/>
      <c r="F97" s="30"/>
      <c r="G97" s="30"/>
      <c r="H97" s="30"/>
      <c r="I97" s="30"/>
      <c r="J97" s="30"/>
      <c r="K97" s="30"/>
      <c r="L97" s="30"/>
      <c r="M97" s="99"/>
    </row>
    <row r="98" spans="3:15" ht="33.75" customHeight="1" x14ac:dyDescent="0.2">
      <c r="C98" s="59" t="s">
        <v>6</v>
      </c>
      <c r="D98" s="60"/>
      <c r="E98" s="61" t="s">
        <v>21</v>
      </c>
      <c r="F98" s="148">
        <v>6.5791551246537399</v>
      </c>
      <c r="G98" s="103">
        <v>1.844555058664632E-2</v>
      </c>
      <c r="H98" s="145"/>
      <c r="I98" s="59" t="s">
        <v>6</v>
      </c>
      <c r="J98" s="61" t="s">
        <v>21</v>
      </c>
      <c r="K98" s="148">
        <v>6.7521332263423783</v>
      </c>
      <c r="L98" s="104">
        <v>-0.15274916700443431</v>
      </c>
      <c r="M98" s="42" t="s">
        <v>8</v>
      </c>
    </row>
    <row r="99" spans="3:15" ht="33.75" customHeight="1" x14ac:dyDescent="0.2">
      <c r="C99" s="82"/>
      <c r="D99" s="83"/>
      <c r="E99" s="76" t="s">
        <v>22</v>
      </c>
      <c r="F99" s="149">
        <v>7.9854408502947845</v>
      </c>
      <c r="G99" s="106">
        <v>-5.8966835161379905E-2</v>
      </c>
      <c r="H99" s="64"/>
      <c r="I99" s="82"/>
      <c r="J99" s="76" t="s">
        <v>22</v>
      </c>
      <c r="K99" s="149">
        <v>7.8189547697242352</v>
      </c>
      <c r="L99" s="107">
        <v>8.841464605380267E-3</v>
      </c>
      <c r="M99" s="42" t="s">
        <v>27</v>
      </c>
    </row>
    <row r="100" spans="3:15" ht="33.75" customHeight="1" x14ac:dyDescent="0.2">
      <c r="C100" s="82"/>
      <c r="D100" s="83"/>
      <c r="E100" s="84" t="s">
        <v>23</v>
      </c>
      <c r="F100" s="150">
        <v>7.2345435607469684</v>
      </c>
      <c r="G100" s="106">
        <v>-0.28358626650378316</v>
      </c>
      <c r="H100" s="64"/>
      <c r="I100" s="82"/>
      <c r="J100" s="84" t="s">
        <v>23</v>
      </c>
      <c r="K100" s="150">
        <v>6.769701820621548</v>
      </c>
      <c r="L100" s="107">
        <v>-0.40481508146767897</v>
      </c>
      <c r="M100" s="42" t="s">
        <v>27</v>
      </c>
      <c r="O100" s="151"/>
    </row>
    <row r="101" spans="3:15" ht="33.75" customHeight="1" x14ac:dyDescent="0.2">
      <c r="C101" s="82"/>
      <c r="D101" s="83"/>
      <c r="E101" s="76" t="s">
        <v>24</v>
      </c>
      <c r="F101" s="149">
        <v>3.3300287223200224</v>
      </c>
      <c r="G101" s="106">
        <v>-0.50174406169995267</v>
      </c>
      <c r="H101" s="64"/>
      <c r="I101" s="82"/>
      <c r="J101" s="76" t="s">
        <v>24</v>
      </c>
      <c r="K101" s="149">
        <v>3.7009927937966371</v>
      </c>
      <c r="L101" s="107">
        <v>-4.6885872936659467E-2</v>
      </c>
      <c r="M101" s="42" t="s">
        <v>27</v>
      </c>
    </row>
    <row r="102" spans="3:15" ht="33.75" customHeight="1" thickBot="1" x14ac:dyDescent="0.25">
      <c r="C102" s="65"/>
      <c r="D102" s="66"/>
      <c r="E102" s="67" t="s">
        <v>25</v>
      </c>
      <c r="F102" s="152">
        <v>4.0358744394618835</v>
      </c>
      <c r="G102" s="109">
        <v>0.12661890626268812</v>
      </c>
      <c r="H102" s="146"/>
      <c r="I102" s="65"/>
      <c r="J102" s="67" t="s">
        <v>25</v>
      </c>
      <c r="K102" s="152">
        <v>4.1666728610718797</v>
      </c>
      <c r="L102" s="110">
        <v>-0.37359286245465739</v>
      </c>
      <c r="M102" s="42" t="s">
        <v>27</v>
      </c>
    </row>
    <row r="103" spans="3:15" ht="5.25" customHeight="1" thickBot="1" x14ac:dyDescent="0.25"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</row>
    <row r="104" spans="3:15" ht="20.100000000000001" customHeight="1" thickBot="1" x14ac:dyDescent="0.25">
      <c r="C104" s="27" t="s">
        <v>29</v>
      </c>
      <c r="D104" s="28"/>
      <c r="E104" s="28"/>
      <c r="F104" s="28"/>
      <c r="G104" s="28"/>
      <c r="H104" s="28"/>
      <c r="I104" s="28"/>
      <c r="J104" s="28"/>
      <c r="K104" s="28"/>
      <c r="L104" s="28"/>
      <c r="M104" s="29"/>
    </row>
    <row r="105" spans="3:15" ht="5.25" customHeight="1" thickBot="1" x14ac:dyDescent="0.25"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153"/>
    </row>
    <row r="106" spans="3:15" ht="33.75" customHeight="1" x14ac:dyDescent="0.2">
      <c r="C106" s="59" t="s">
        <v>6</v>
      </c>
      <c r="D106" s="60"/>
      <c r="E106" s="61" t="s">
        <v>21</v>
      </c>
      <c r="F106" s="135">
        <v>67.656477369029503</v>
      </c>
      <c r="G106" s="63">
        <v>1.6332746533854081E-2</v>
      </c>
      <c r="H106" s="145"/>
      <c r="I106" s="59" t="s">
        <v>6</v>
      </c>
      <c r="J106" s="61" t="s">
        <v>21</v>
      </c>
      <c r="K106" s="135">
        <v>72.270641947505894</v>
      </c>
      <c r="L106" s="41">
        <v>2.0069340387477208E-2</v>
      </c>
      <c r="M106" s="42" t="s">
        <v>8</v>
      </c>
    </row>
    <row r="107" spans="3:15" ht="33.75" customHeight="1" x14ac:dyDescent="0.2">
      <c r="C107" s="82"/>
      <c r="D107" s="83"/>
      <c r="E107" s="76" t="s">
        <v>22</v>
      </c>
      <c r="F107" s="138">
        <v>75.672257585465601</v>
      </c>
      <c r="G107" s="47">
        <v>-3.5860562986048228E-2</v>
      </c>
      <c r="H107" s="64"/>
      <c r="I107" s="82"/>
      <c r="J107" s="76" t="s">
        <v>22</v>
      </c>
      <c r="K107" s="138">
        <v>79.907884999934808</v>
      </c>
      <c r="L107" s="49">
        <v>1.8823849137181714E-2</v>
      </c>
      <c r="M107" s="42" t="s">
        <v>27</v>
      </c>
    </row>
    <row r="108" spans="3:15" ht="33.75" customHeight="1" x14ac:dyDescent="0.2">
      <c r="C108" s="82"/>
      <c r="D108" s="83"/>
      <c r="E108" s="84" t="s">
        <v>23</v>
      </c>
      <c r="F108" s="140">
        <v>67.207843259223935</v>
      </c>
      <c r="G108" s="47">
        <v>-2.0597367492730445E-2</v>
      </c>
      <c r="H108" s="64"/>
      <c r="I108" s="82"/>
      <c r="J108" s="84" t="s">
        <v>23</v>
      </c>
      <c r="K108" s="140">
        <v>67.213254609087613</v>
      </c>
      <c r="L108" s="49">
        <v>3.826176857683139E-2</v>
      </c>
      <c r="M108" s="42" t="s">
        <v>27</v>
      </c>
    </row>
    <row r="109" spans="3:15" ht="33.75" customHeight="1" x14ac:dyDescent="0.2">
      <c r="C109" s="82"/>
      <c r="D109" s="83"/>
      <c r="E109" s="76" t="s">
        <v>24</v>
      </c>
      <c r="F109" s="138">
        <v>52.940050081013403</v>
      </c>
      <c r="G109" s="47">
        <v>-2.416442670576413E-2</v>
      </c>
      <c r="H109" s="64"/>
      <c r="I109" s="82"/>
      <c r="J109" s="76" t="s">
        <v>24</v>
      </c>
      <c r="K109" s="138">
        <v>50.693438418715203</v>
      </c>
      <c r="L109" s="49">
        <v>7.1545305869156861E-2</v>
      </c>
      <c r="M109" s="42" t="s">
        <v>27</v>
      </c>
    </row>
    <row r="110" spans="3:15" ht="33.75" customHeight="1" thickBot="1" x14ac:dyDescent="0.25">
      <c r="C110" s="65"/>
      <c r="D110" s="66"/>
      <c r="E110" s="67" t="s">
        <v>25</v>
      </c>
      <c r="F110" s="136">
        <v>54.243861534026884</v>
      </c>
      <c r="G110" s="69">
        <v>7.429872661395942E-3</v>
      </c>
      <c r="H110" s="146"/>
      <c r="I110" s="65"/>
      <c r="J110" s="67" t="s">
        <v>25</v>
      </c>
      <c r="K110" s="136">
        <v>50.348166428268286</v>
      </c>
      <c r="L110" s="58">
        <v>5.749288845019862E-2</v>
      </c>
      <c r="M110" s="42" t="s">
        <v>27</v>
      </c>
    </row>
    <row r="111" spans="3:15" ht="5.25" customHeight="1" thickBot="1" x14ac:dyDescent="0.25">
      <c r="C111" s="154"/>
      <c r="D111" s="154"/>
      <c r="E111" s="155"/>
      <c r="F111" s="98"/>
      <c r="G111" s="156"/>
      <c r="H111" s="157"/>
      <c r="I111" s="98"/>
      <c r="J111" s="156"/>
      <c r="K111" s="155"/>
      <c r="L111" s="154"/>
      <c r="M111" s="158"/>
    </row>
    <row r="112" spans="3:15" ht="17.25" customHeight="1" thickBot="1" x14ac:dyDescent="0.25">
      <c r="C112" s="159"/>
      <c r="D112" s="160"/>
      <c r="E112" s="160"/>
      <c r="F112" s="160"/>
      <c r="G112" s="160"/>
      <c r="H112" s="160"/>
      <c r="I112" s="160"/>
      <c r="J112" s="160"/>
      <c r="K112" s="160"/>
      <c r="L112" s="160"/>
      <c r="M112" s="161"/>
    </row>
    <row r="113" spans="3:19" ht="50.25" customHeight="1" thickBot="1" x14ac:dyDescent="0.25">
      <c r="C113" s="2"/>
      <c r="D113" s="2"/>
      <c r="E113" s="3" t="str">
        <f>$E$1</f>
        <v>INDICADORES TURÍSTICOS DE TENERIFE definitivo</v>
      </c>
      <c r="F113" s="3"/>
      <c r="G113" s="3"/>
      <c r="H113" s="3"/>
      <c r="I113" s="3"/>
      <c r="J113" s="3"/>
      <c r="K113" s="3"/>
      <c r="L113" s="2"/>
      <c r="M113" s="2"/>
    </row>
    <row r="114" spans="3:19" s="1" customFormat="1" ht="9" customHeight="1" thickBot="1" x14ac:dyDescent="0.25">
      <c r="C114" s="162"/>
      <c r="D114" s="163"/>
      <c r="E114" s="164"/>
      <c r="F114" s="164"/>
      <c r="G114" s="164"/>
      <c r="H114" s="164"/>
      <c r="I114" s="164"/>
      <c r="J114" s="164"/>
      <c r="K114" s="164"/>
      <c r="L114" s="163"/>
      <c r="M114" s="165"/>
      <c r="O114" s="4"/>
      <c r="P114" s="4"/>
      <c r="Q114" s="4"/>
      <c r="R114" s="4"/>
      <c r="S114" s="4"/>
    </row>
    <row r="115" spans="3:19" ht="33" customHeight="1" thickBot="1" x14ac:dyDescent="0.25">
      <c r="C115" s="166" t="s">
        <v>30</v>
      </c>
      <c r="D115" s="167"/>
      <c r="E115" s="167"/>
      <c r="F115" s="167"/>
      <c r="G115" s="167"/>
      <c r="H115" s="167"/>
      <c r="I115" s="167"/>
      <c r="J115" s="167"/>
      <c r="K115" s="167"/>
      <c r="L115" s="167"/>
      <c r="M115" s="168"/>
    </row>
    <row r="116" spans="3:19" ht="20.100000000000001" customHeight="1" x14ac:dyDescent="0.2">
      <c r="C116" s="169"/>
      <c r="D116" s="170"/>
      <c r="E116" s="170"/>
      <c r="F116" s="170"/>
      <c r="G116" s="171" t="str">
        <f>C2</f>
        <v>diciembre 2014</v>
      </c>
      <c r="H116" s="172"/>
      <c r="I116" s="172"/>
      <c r="J116" s="170"/>
      <c r="K116" s="170"/>
      <c r="L116" s="170"/>
      <c r="M116" s="173"/>
    </row>
    <row r="117" spans="3:19" ht="5.25" customHeight="1" thickBot="1" x14ac:dyDescent="0.25">
      <c r="C117" s="174"/>
      <c r="D117" s="170"/>
      <c r="E117" s="170"/>
      <c r="F117" s="170"/>
      <c r="G117" s="175"/>
      <c r="H117" s="175"/>
      <c r="I117" s="175"/>
      <c r="J117" s="170"/>
      <c r="K117" s="170"/>
      <c r="L117" s="170"/>
      <c r="M117" s="176"/>
    </row>
    <row r="118" spans="3:19" ht="33" customHeight="1" thickTop="1" thickBot="1" x14ac:dyDescent="0.25">
      <c r="C118" s="177"/>
      <c r="D118" s="178" t="s">
        <v>6</v>
      </c>
      <c r="E118" s="179"/>
      <c r="F118" s="178" t="s">
        <v>31</v>
      </c>
      <c r="G118" s="179"/>
      <c r="H118" s="178" t="s">
        <v>32</v>
      </c>
      <c r="I118" s="179"/>
      <c r="J118" s="178" t="s">
        <v>33</v>
      </c>
      <c r="K118" s="179"/>
      <c r="L118" s="178" t="s">
        <v>34</v>
      </c>
      <c r="M118" s="180"/>
    </row>
    <row r="119" spans="3:19" ht="31.5" customHeight="1" thickBot="1" x14ac:dyDescent="0.25">
      <c r="C119" s="181"/>
      <c r="D119" s="182" t="s">
        <v>35</v>
      </c>
      <c r="E119" s="183" t="s">
        <v>36</v>
      </c>
      <c r="F119" s="182" t="s">
        <v>35</v>
      </c>
      <c r="G119" s="183" t="s">
        <v>36</v>
      </c>
      <c r="H119" s="182" t="s">
        <v>35</v>
      </c>
      <c r="I119" s="183" t="s">
        <v>36</v>
      </c>
      <c r="J119" s="182" t="s">
        <v>35</v>
      </c>
      <c r="K119" s="183" t="s">
        <v>36</v>
      </c>
      <c r="L119" s="182" t="s">
        <v>35</v>
      </c>
      <c r="M119" s="184" t="s">
        <v>36</v>
      </c>
    </row>
    <row r="120" spans="3:19" ht="24" customHeight="1" thickBot="1" x14ac:dyDescent="0.25">
      <c r="C120" s="185" t="s">
        <v>37</v>
      </c>
      <c r="D120" s="186">
        <v>4.1438506187712276E-2</v>
      </c>
      <c r="E120" s="187">
        <v>76075</v>
      </c>
      <c r="F120" s="186">
        <v>2.65867656988521E-2</v>
      </c>
      <c r="G120" s="187">
        <v>12163</v>
      </c>
      <c r="H120" s="186">
        <v>-7.2504182933630368E-3</v>
      </c>
      <c r="I120" s="187">
        <v>1780</v>
      </c>
      <c r="J120" s="186">
        <v>-2.5143279718986888E-2</v>
      </c>
      <c r="K120" s="187">
        <v>26365</v>
      </c>
      <c r="L120" s="186">
        <v>0.10521599406711579</v>
      </c>
      <c r="M120" s="188">
        <v>35767</v>
      </c>
    </row>
    <row r="121" spans="3:19" ht="27" customHeight="1" thickBot="1" x14ac:dyDescent="0.25">
      <c r="C121" s="189" t="s">
        <v>38</v>
      </c>
      <c r="D121" s="190">
        <v>3.9195021540766595E-2</v>
      </c>
      <c r="E121" s="191">
        <v>17085.9899698638</v>
      </c>
      <c r="F121" s="190" t="s">
        <v>39</v>
      </c>
      <c r="G121" s="191" t="s">
        <v>39</v>
      </c>
      <c r="H121" s="190" t="s">
        <v>39</v>
      </c>
      <c r="I121" s="191" t="s">
        <v>39</v>
      </c>
      <c r="J121" s="190" t="s">
        <v>39</v>
      </c>
      <c r="K121" s="191" t="s">
        <v>39</v>
      </c>
      <c r="L121" s="190" t="s">
        <v>39</v>
      </c>
      <c r="M121" s="192" t="s">
        <v>39</v>
      </c>
      <c r="N121" s="193"/>
    </row>
    <row r="122" spans="3:19" ht="28.5" customHeight="1" thickBot="1" x14ac:dyDescent="0.25">
      <c r="C122" s="194" t="s">
        <v>40</v>
      </c>
      <c r="D122" s="195">
        <v>0.40396340030807787</v>
      </c>
      <c r="E122" s="196">
        <v>12091.2796678781</v>
      </c>
      <c r="F122" s="195" t="s">
        <v>39</v>
      </c>
      <c r="G122" s="196" t="s">
        <v>39</v>
      </c>
      <c r="H122" s="195" t="s">
        <v>39</v>
      </c>
      <c r="I122" s="196" t="s">
        <v>39</v>
      </c>
      <c r="J122" s="195" t="s">
        <v>39</v>
      </c>
      <c r="K122" s="196" t="s">
        <v>39</v>
      </c>
      <c r="L122" s="195" t="s">
        <v>39</v>
      </c>
      <c r="M122" s="197" t="s">
        <v>39</v>
      </c>
      <c r="N122" s="193"/>
    </row>
    <row r="123" spans="3:19" ht="27.75" customHeight="1" thickBot="1" x14ac:dyDescent="0.25">
      <c r="C123" s="194" t="s">
        <v>41</v>
      </c>
      <c r="D123" s="195">
        <v>-2.2845681898411851E-2</v>
      </c>
      <c r="E123" s="196">
        <v>46897.730362258102</v>
      </c>
      <c r="F123" s="195" t="s">
        <v>39</v>
      </c>
      <c r="G123" s="196" t="s">
        <v>39</v>
      </c>
      <c r="H123" s="195" t="s">
        <v>39</v>
      </c>
      <c r="I123" s="196" t="s">
        <v>39</v>
      </c>
      <c r="J123" s="195" t="s">
        <v>39</v>
      </c>
      <c r="K123" s="196" t="s">
        <v>39</v>
      </c>
      <c r="L123" s="195" t="s">
        <v>39</v>
      </c>
      <c r="M123" s="197" t="s">
        <v>39</v>
      </c>
      <c r="N123" s="193"/>
    </row>
    <row r="124" spans="3:19" ht="24" customHeight="1" thickBot="1" x14ac:dyDescent="0.25">
      <c r="C124" s="198" t="s">
        <v>42</v>
      </c>
      <c r="D124" s="195">
        <v>-2.595382348125097E-2</v>
      </c>
      <c r="E124" s="199">
        <v>11897</v>
      </c>
      <c r="F124" s="195">
        <v>7.2289156626506035E-2</v>
      </c>
      <c r="G124" s="199">
        <v>178</v>
      </c>
      <c r="H124" s="195">
        <v>0.71830985915492951</v>
      </c>
      <c r="I124" s="199">
        <v>122</v>
      </c>
      <c r="J124" s="195">
        <v>2.0833333333333259E-2</v>
      </c>
      <c r="K124" s="199">
        <v>588</v>
      </c>
      <c r="L124" s="195">
        <v>-3.4382948864134733E-2</v>
      </c>
      <c r="M124" s="200">
        <v>11009</v>
      </c>
    </row>
    <row r="125" spans="3:19" ht="24" customHeight="1" thickBot="1" x14ac:dyDescent="0.25">
      <c r="C125" s="201" t="s">
        <v>43</v>
      </c>
      <c r="D125" s="195">
        <v>2.3600809170600145E-2</v>
      </c>
      <c r="E125" s="196">
        <v>13662</v>
      </c>
      <c r="F125" s="195">
        <v>0.22727272727272729</v>
      </c>
      <c r="G125" s="196">
        <v>162</v>
      </c>
      <c r="H125" s="195">
        <v>0.14285714285714279</v>
      </c>
      <c r="I125" s="196">
        <v>40</v>
      </c>
      <c r="J125" s="195">
        <v>6.1764705882352944E-2</v>
      </c>
      <c r="K125" s="196">
        <v>361</v>
      </c>
      <c r="L125" s="195">
        <v>2.0171339563862967E-2</v>
      </c>
      <c r="M125" s="197">
        <v>13099</v>
      </c>
    </row>
    <row r="126" spans="3:19" ht="24" customHeight="1" thickBot="1" x14ac:dyDescent="0.25">
      <c r="C126" s="198" t="s">
        <v>44</v>
      </c>
      <c r="D126" s="195">
        <v>8.8271400455970372E-3</v>
      </c>
      <c r="E126" s="199">
        <v>51772</v>
      </c>
      <c r="F126" s="195">
        <v>4.526404023470243E-2</v>
      </c>
      <c r="G126" s="199">
        <v>1247</v>
      </c>
      <c r="H126" s="195">
        <v>-0.34097706879361911</v>
      </c>
      <c r="I126" s="199">
        <v>661</v>
      </c>
      <c r="J126" s="195">
        <v>5.2406010958606863E-2</v>
      </c>
      <c r="K126" s="199">
        <v>19399</v>
      </c>
      <c r="L126" s="195">
        <v>-7.3313782991202281E-3</v>
      </c>
      <c r="M126" s="200">
        <v>30465</v>
      </c>
    </row>
    <row r="127" spans="3:19" ht="24" customHeight="1" thickBot="1" x14ac:dyDescent="0.25">
      <c r="C127" s="201" t="s">
        <v>45</v>
      </c>
      <c r="D127" s="195">
        <v>9.3293904416674511E-2</v>
      </c>
      <c r="E127" s="196">
        <v>11461</v>
      </c>
      <c r="F127" s="195">
        <v>6.9306930693069368E-2</v>
      </c>
      <c r="G127" s="196">
        <v>648</v>
      </c>
      <c r="H127" s="195">
        <v>0.68493150684931514</v>
      </c>
      <c r="I127" s="196">
        <v>246</v>
      </c>
      <c r="J127" s="195">
        <v>-0.2325467059980334</v>
      </c>
      <c r="K127" s="196">
        <v>1561</v>
      </c>
      <c r="L127" s="195">
        <v>0.17006625958165511</v>
      </c>
      <c r="M127" s="197">
        <v>9006</v>
      </c>
    </row>
    <row r="128" spans="3:19" ht="24" customHeight="1" thickBot="1" x14ac:dyDescent="0.25">
      <c r="C128" s="198" t="s">
        <v>46</v>
      </c>
      <c r="D128" s="195">
        <v>1.4426639877472391E-2</v>
      </c>
      <c r="E128" s="199">
        <v>123194</v>
      </c>
      <c r="F128" s="195">
        <v>7.1856287425149601E-2</v>
      </c>
      <c r="G128" s="199">
        <v>895</v>
      </c>
      <c r="H128" s="195">
        <v>-9.3457943925233655E-2</v>
      </c>
      <c r="I128" s="199">
        <v>97</v>
      </c>
      <c r="J128" s="195">
        <v>-1.0341463414634156E-2</v>
      </c>
      <c r="K128" s="199">
        <v>5072</v>
      </c>
      <c r="L128" s="195">
        <v>1.5211267605633738E-2</v>
      </c>
      <c r="M128" s="200">
        <v>117130</v>
      </c>
    </row>
    <row r="129" spans="3:13" ht="24" customHeight="1" thickBot="1" x14ac:dyDescent="0.25">
      <c r="C129" s="201" t="s">
        <v>47</v>
      </c>
      <c r="D129" s="195">
        <v>-9.6076683013820774E-2</v>
      </c>
      <c r="E129" s="196">
        <v>4055</v>
      </c>
      <c r="F129" s="195">
        <v>-8.5106382978723416E-2</v>
      </c>
      <c r="G129" s="196">
        <v>86</v>
      </c>
      <c r="H129" s="195">
        <v>-0.4285714285714286</v>
      </c>
      <c r="I129" s="196">
        <v>4</v>
      </c>
      <c r="J129" s="195">
        <v>-0.30921052631578949</v>
      </c>
      <c r="K129" s="196">
        <v>210</v>
      </c>
      <c r="L129" s="195">
        <v>-7.9882381769174171E-2</v>
      </c>
      <c r="M129" s="197">
        <v>3755</v>
      </c>
    </row>
    <row r="130" spans="3:13" ht="24" customHeight="1" thickBot="1" x14ac:dyDescent="0.25">
      <c r="C130" s="198" t="s">
        <v>48</v>
      </c>
      <c r="D130" s="195">
        <v>0.2675498188405796</v>
      </c>
      <c r="E130" s="199">
        <v>11195</v>
      </c>
      <c r="F130" s="195">
        <v>0.1003717472118959</v>
      </c>
      <c r="G130" s="199">
        <v>592</v>
      </c>
      <c r="H130" s="195">
        <v>-6.3063063063063085E-2</v>
      </c>
      <c r="I130" s="199">
        <v>104</v>
      </c>
      <c r="J130" s="195">
        <v>0.54039497307001794</v>
      </c>
      <c r="K130" s="199">
        <v>858</v>
      </c>
      <c r="L130" s="195">
        <v>0.2642276422764227</v>
      </c>
      <c r="M130" s="200">
        <v>9641</v>
      </c>
    </row>
    <row r="131" spans="3:13" ht="24" customHeight="1" thickBot="1" x14ac:dyDescent="0.25">
      <c r="C131" s="201" t="s">
        <v>49</v>
      </c>
      <c r="D131" s="195">
        <v>-0.19261734066494973</v>
      </c>
      <c r="E131" s="196">
        <v>69598</v>
      </c>
      <c r="F131" s="195">
        <v>-9.2250922509224953E-3</v>
      </c>
      <c r="G131" s="196">
        <v>1611</v>
      </c>
      <c r="H131" s="195">
        <v>-0.3012048192771084</v>
      </c>
      <c r="I131" s="196">
        <v>58</v>
      </c>
      <c r="J131" s="195">
        <v>-0.21391915008553164</v>
      </c>
      <c r="K131" s="196">
        <v>8731</v>
      </c>
      <c r="L131" s="195">
        <v>-0.19333387839642435</v>
      </c>
      <c r="M131" s="197">
        <v>59198</v>
      </c>
    </row>
    <row r="132" spans="3:13" ht="24" customHeight="1" thickBot="1" x14ac:dyDescent="0.25">
      <c r="C132" s="202" t="s">
        <v>50</v>
      </c>
      <c r="D132" s="195">
        <v>-0.23580401295969988</v>
      </c>
      <c r="E132" s="199">
        <v>26889</v>
      </c>
      <c r="F132" s="195">
        <v>-6.9908814589665691E-2</v>
      </c>
      <c r="G132" s="199">
        <v>612</v>
      </c>
      <c r="H132" s="195">
        <v>0.11111111111111116</v>
      </c>
      <c r="I132" s="199">
        <v>20</v>
      </c>
      <c r="J132" s="195">
        <v>-0.49400479616306958</v>
      </c>
      <c r="K132" s="199">
        <v>1899</v>
      </c>
      <c r="L132" s="195">
        <v>-0.20805019995448193</v>
      </c>
      <c r="M132" s="200">
        <v>24358</v>
      </c>
    </row>
    <row r="133" spans="3:13" ht="24" customHeight="1" thickBot="1" x14ac:dyDescent="0.25">
      <c r="C133" s="194" t="s">
        <v>51</v>
      </c>
      <c r="D133" s="195">
        <v>-0.31012591815320045</v>
      </c>
      <c r="E133" s="196">
        <v>13149</v>
      </c>
      <c r="F133" s="195">
        <v>0.11340206185567014</v>
      </c>
      <c r="G133" s="196">
        <v>432</v>
      </c>
      <c r="H133" s="195">
        <v>-0.3529411764705882</v>
      </c>
      <c r="I133" s="196">
        <v>11</v>
      </c>
      <c r="J133" s="195">
        <v>-0.39596917605216364</v>
      </c>
      <c r="K133" s="196">
        <v>1019</v>
      </c>
      <c r="L133" s="195">
        <v>-0.31123290900518619</v>
      </c>
      <c r="M133" s="197">
        <v>11687</v>
      </c>
    </row>
    <row r="134" spans="3:13" ht="24" customHeight="1" thickBot="1" x14ac:dyDescent="0.25">
      <c r="C134" s="202" t="s">
        <v>52</v>
      </c>
      <c r="D134" s="195">
        <v>-3.7289956264866086E-2</v>
      </c>
      <c r="E134" s="199">
        <v>12547</v>
      </c>
      <c r="F134" s="195">
        <v>-5.6872037914691975E-2</v>
      </c>
      <c r="G134" s="199">
        <v>199</v>
      </c>
      <c r="H134" s="195">
        <v>-0.66666666666666674</v>
      </c>
      <c r="I134" s="199">
        <v>11</v>
      </c>
      <c r="J134" s="195">
        <v>0.66155026861089783</v>
      </c>
      <c r="K134" s="199">
        <v>2165</v>
      </c>
      <c r="L134" s="195">
        <v>-0.11440013930001747</v>
      </c>
      <c r="M134" s="200">
        <v>10172</v>
      </c>
    </row>
    <row r="135" spans="3:13" ht="24" customHeight="1" thickBot="1" x14ac:dyDescent="0.25">
      <c r="C135" s="194" t="s">
        <v>53</v>
      </c>
      <c r="D135" s="195">
        <v>-0.10093536965597416</v>
      </c>
      <c r="E135" s="196">
        <v>17013</v>
      </c>
      <c r="F135" s="195">
        <v>-2.7100271002710175E-3</v>
      </c>
      <c r="G135" s="196">
        <v>368</v>
      </c>
      <c r="H135" s="195">
        <v>6.6666666666666652E-2</v>
      </c>
      <c r="I135" s="196">
        <v>16</v>
      </c>
      <c r="J135" s="195">
        <v>-0.16406966086159491</v>
      </c>
      <c r="K135" s="196">
        <v>3648</v>
      </c>
      <c r="L135" s="195">
        <v>-8.4232804232804215E-2</v>
      </c>
      <c r="M135" s="197">
        <v>12981</v>
      </c>
    </row>
    <row r="136" spans="3:13" ht="24" customHeight="1" thickBot="1" x14ac:dyDescent="0.25">
      <c r="C136" s="198" t="s">
        <v>54</v>
      </c>
      <c r="D136" s="195">
        <v>4.3870644271747361E-2</v>
      </c>
      <c r="E136" s="199">
        <v>4164</v>
      </c>
      <c r="F136" s="195">
        <v>-0.19745222929936301</v>
      </c>
      <c r="G136" s="199">
        <v>126</v>
      </c>
      <c r="H136" s="195">
        <v>1</v>
      </c>
      <c r="I136" s="199">
        <v>52</v>
      </c>
      <c r="J136" s="195">
        <v>-2.5500910746812377E-2</v>
      </c>
      <c r="K136" s="199">
        <v>535</v>
      </c>
      <c r="L136" s="195">
        <v>5.956401596561256E-2</v>
      </c>
      <c r="M136" s="200">
        <v>3451</v>
      </c>
    </row>
    <row r="137" spans="3:13" ht="24" customHeight="1" thickBot="1" x14ac:dyDescent="0.25">
      <c r="C137" s="201" t="s">
        <v>55</v>
      </c>
      <c r="D137" s="195">
        <v>8.3121019108280292E-2</v>
      </c>
      <c r="E137" s="196">
        <v>3401</v>
      </c>
      <c r="F137" s="195">
        <v>-0.16000000000000003</v>
      </c>
      <c r="G137" s="196">
        <v>63</v>
      </c>
      <c r="H137" s="195">
        <v>-3.2258064516129004E-2</v>
      </c>
      <c r="I137" s="196">
        <v>30</v>
      </c>
      <c r="J137" s="195">
        <v>0.12637362637362637</v>
      </c>
      <c r="K137" s="196">
        <v>615</v>
      </c>
      <c r="L137" s="195">
        <v>8.2395498392282995E-2</v>
      </c>
      <c r="M137" s="197">
        <v>2693</v>
      </c>
    </row>
    <row r="138" spans="3:13" ht="24" customHeight="1" thickBot="1" x14ac:dyDescent="0.25">
      <c r="C138" s="198" t="s">
        <v>56</v>
      </c>
      <c r="D138" s="195">
        <v>-0.36487939775695188</v>
      </c>
      <c r="E138" s="199">
        <v>8268</v>
      </c>
      <c r="F138" s="195">
        <v>0.35897435897435903</v>
      </c>
      <c r="G138" s="199">
        <v>265</v>
      </c>
      <c r="H138" s="195">
        <v>0.15384615384615374</v>
      </c>
      <c r="I138" s="199">
        <v>15</v>
      </c>
      <c r="J138" s="195">
        <v>-0.37402885682574916</v>
      </c>
      <c r="K138" s="199">
        <v>564</v>
      </c>
      <c r="L138" s="195">
        <v>-0.37660592828952888</v>
      </c>
      <c r="M138" s="200">
        <v>7424</v>
      </c>
    </row>
    <row r="139" spans="3:13" ht="24" customHeight="1" thickBot="1" x14ac:dyDescent="0.25">
      <c r="C139" s="201" t="s">
        <v>57</v>
      </c>
      <c r="D139" s="195">
        <v>-4.3994413407821176E-2</v>
      </c>
      <c r="E139" s="196">
        <v>8214</v>
      </c>
      <c r="F139" s="195">
        <v>0.42944785276073616</v>
      </c>
      <c r="G139" s="196">
        <v>233</v>
      </c>
      <c r="H139" s="195">
        <v>-0.19354838709677424</v>
      </c>
      <c r="I139" s="196">
        <v>25</v>
      </c>
      <c r="J139" s="195">
        <v>-0.1470588235294118</v>
      </c>
      <c r="K139" s="196">
        <v>696</v>
      </c>
      <c r="L139" s="195">
        <v>-4.2469005539435556E-2</v>
      </c>
      <c r="M139" s="197">
        <v>7260</v>
      </c>
    </row>
    <row r="140" spans="3:13" ht="24" customHeight="1" thickBot="1" x14ac:dyDescent="0.25">
      <c r="C140" s="198" t="s">
        <v>58</v>
      </c>
      <c r="D140" s="195">
        <v>0.13950746659680369</v>
      </c>
      <c r="E140" s="199">
        <v>8699</v>
      </c>
      <c r="F140" s="195">
        <v>0.33933933933933935</v>
      </c>
      <c r="G140" s="199">
        <v>446</v>
      </c>
      <c r="H140" s="195">
        <v>0.11428571428571432</v>
      </c>
      <c r="I140" s="199">
        <v>39</v>
      </c>
      <c r="J140" s="195">
        <v>4.6762589928057485E-2</v>
      </c>
      <c r="K140" s="199">
        <v>1455</v>
      </c>
      <c r="L140" s="195">
        <v>0.15027229407760379</v>
      </c>
      <c r="M140" s="200">
        <v>6759</v>
      </c>
    </row>
    <row r="141" spans="3:13" ht="24" customHeight="1" thickBot="1" x14ac:dyDescent="0.25">
      <c r="C141" s="201" t="s">
        <v>59</v>
      </c>
      <c r="D141" s="195">
        <v>7.809983896940409E-2</v>
      </c>
      <c r="E141" s="196">
        <v>1339</v>
      </c>
      <c r="F141" s="195">
        <v>0.52499999999999991</v>
      </c>
      <c r="G141" s="196">
        <v>183</v>
      </c>
      <c r="H141" s="195">
        <v>0.38095238095238093</v>
      </c>
      <c r="I141" s="196">
        <v>58</v>
      </c>
      <c r="J141" s="195">
        <v>0.12745098039215685</v>
      </c>
      <c r="K141" s="196">
        <v>230</v>
      </c>
      <c r="L141" s="195">
        <v>-9.1324200913242004E-3</v>
      </c>
      <c r="M141" s="197">
        <v>868</v>
      </c>
    </row>
    <row r="142" spans="3:13" ht="24" customHeight="1" thickBot="1" x14ac:dyDescent="0.25">
      <c r="C142" s="198" t="s">
        <v>60</v>
      </c>
      <c r="D142" s="195">
        <v>-0.21822033898305082</v>
      </c>
      <c r="E142" s="199">
        <v>1107</v>
      </c>
      <c r="F142" s="195">
        <v>-0.25520833333333337</v>
      </c>
      <c r="G142" s="199">
        <v>286</v>
      </c>
      <c r="H142" s="195">
        <v>-0.56923076923076921</v>
      </c>
      <c r="I142" s="199">
        <v>28</v>
      </c>
      <c r="J142" s="195">
        <v>-0.20071684587813621</v>
      </c>
      <c r="K142" s="199">
        <v>223</v>
      </c>
      <c r="L142" s="195">
        <v>-0.17151162790697672</v>
      </c>
      <c r="M142" s="200">
        <v>570</v>
      </c>
    </row>
    <row r="143" spans="3:13" ht="24" customHeight="1" thickBot="1" x14ac:dyDescent="0.25">
      <c r="C143" s="201" t="s">
        <v>61</v>
      </c>
      <c r="D143" s="203">
        <v>-0.28471248246844316</v>
      </c>
      <c r="E143" s="204">
        <v>3570</v>
      </c>
      <c r="F143" s="203">
        <v>-6.6189624329159202E-2</v>
      </c>
      <c r="G143" s="204">
        <v>522</v>
      </c>
      <c r="H143" s="203">
        <v>1.1499999999999999</v>
      </c>
      <c r="I143" s="204">
        <v>43</v>
      </c>
      <c r="J143" s="203">
        <v>-0.47276688453159044</v>
      </c>
      <c r="K143" s="204">
        <v>484</v>
      </c>
      <c r="L143" s="203">
        <v>-0.2784773898111047</v>
      </c>
      <c r="M143" s="205">
        <v>2521</v>
      </c>
    </row>
    <row r="144" spans="3:13" ht="30.75" customHeight="1" thickTop="1" thickBot="1" x14ac:dyDescent="0.25">
      <c r="C144" s="206" t="s">
        <v>62</v>
      </c>
      <c r="D144" s="207">
        <v>-4.7541202280706241E-2</v>
      </c>
      <c r="E144" s="208">
        <v>335596</v>
      </c>
      <c r="F144" s="207">
        <v>5.1142697881828347E-2</v>
      </c>
      <c r="G144" s="208">
        <v>7543</v>
      </c>
      <c r="H144" s="207">
        <v>-0.11171960569550932</v>
      </c>
      <c r="I144" s="208">
        <v>1622</v>
      </c>
      <c r="J144" s="207">
        <v>-5.6648290569205284E-2</v>
      </c>
      <c r="K144" s="208">
        <v>41582</v>
      </c>
      <c r="L144" s="207">
        <v>-4.8174533692434185E-2</v>
      </c>
      <c r="M144" s="209">
        <v>284849</v>
      </c>
    </row>
    <row r="145" spans="3:13" ht="24" customHeight="1" thickBot="1" x14ac:dyDescent="0.25">
      <c r="C145" s="210" t="s">
        <v>7</v>
      </c>
      <c r="D145" s="211">
        <v>-3.226178022778825E-2</v>
      </c>
      <c r="E145" s="212">
        <v>411671</v>
      </c>
      <c r="F145" s="211">
        <v>3.5849453322119418E-2</v>
      </c>
      <c r="G145" s="212">
        <v>19706</v>
      </c>
      <c r="H145" s="211">
        <v>-5.9961315280464222E-2</v>
      </c>
      <c r="I145" s="212">
        <v>3402</v>
      </c>
      <c r="J145" s="211">
        <v>-4.4668466340475832E-2</v>
      </c>
      <c r="K145" s="212">
        <v>67947</v>
      </c>
      <c r="L145" s="211">
        <v>-3.3205881288672856E-2</v>
      </c>
      <c r="M145" s="213">
        <v>320616</v>
      </c>
    </row>
    <row r="146" spans="3:13" ht="13.5" thickBot="1" x14ac:dyDescent="0.25">
      <c r="C146" s="18"/>
      <c r="D146" s="5"/>
      <c r="E146" s="5"/>
      <c r="F146" s="5"/>
      <c r="G146" s="5"/>
      <c r="H146" s="5"/>
      <c r="I146" s="5"/>
      <c r="J146" s="5"/>
      <c r="K146" s="5"/>
      <c r="L146" s="5"/>
      <c r="M146" s="214"/>
    </row>
    <row r="147" spans="3:13" ht="35.25" customHeight="1" thickBot="1" x14ac:dyDescent="0.25">
      <c r="C147" s="166" t="s">
        <v>30</v>
      </c>
      <c r="D147" s="167"/>
      <c r="E147" s="167"/>
      <c r="F147" s="167"/>
      <c r="G147" s="167"/>
      <c r="H147" s="167"/>
      <c r="I147" s="167"/>
      <c r="J147" s="167"/>
      <c r="K147" s="167"/>
      <c r="L147" s="167"/>
      <c r="M147" s="168"/>
    </row>
    <row r="148" spans="3:13" ht="20.100000000000001" customHeight="1" x14ac:dyDescent="0.2">
      <c r="C148" s="169"/>
      <c r="D148" s="170"/>
      <c r="E148" s="170"/>
      <c r="F148" s="170"/>
      <c r="G148" s="171" t="str">
        <f>I2</f>
        <v>año 2014</v>
      </c>
      <c r="H148" s="172"/>
      <c r="I148" s="172"/>
      <c r="J148" s="170"/>
      <c r="K148" s="170"/>
      <c r="L148" s="170"/>
      <c r="M148" s="173"/>
    </row>
    <row r="149" spans="3:13" ht="5.25" customHeight="1" thickBot="1" x14ac:dyDescent="0.25">
      <c r="C149" s="174"/>
      <c r="D149" s="170"/>
      <c r="E149" s="170"/>
      <c r="F149" s="170"/>
      <c r="G149" s="175"/>
      <c r="H149" s="175"/>
      <c r="I149" s="175"/>
      <c r="J149" s="170"/>
      <c r="K149" s="170"/>
      <c r="L149" s="170"/>
      <c r="M149" s="176"/>
    </row>
    <row r="150" spans="3:13" ht="32.25" customHeight="1" thickTop="1" thickBot="1" x14ac:dyDescent="0.25">
      <c r="C150" s="177"/>
      <c r="D150" s="178" t="s">
        <v>6</v>
      </c>
      <c r="E150" s="179"/>
      <c r="F150" s="178" t="s">
        <v>31</v>
      </c>
      <c r="G150" s="179"/>
      <c r="H150" s="178" t="s">
        <v>32</v>
      </c>
      <c r="I150" s="179"/>
      <c r="J150" s="178" t="s">
        <v>33</v>
      </c>
      <c r="K150" s="179"/>
      <c r="L150" s="178" t="s">
        <v>34</v>
      </c>
      <c r="M150" s="180"/>
    </row>
    <row r="151" spans="3:13" ht="31.5" customHeight="1" thickBot="1" x14ac:dyDescent="0.25">
      <c r="C151" s="181"/>
      <c r="D151" s="182" t="s">
        <v>35</v>
      </c>
      <c r="E151" s="183" t="s">
        <v>36</v>
      </c>
      <c r="F151" s="182" t="s">
        <v>35</v>
      </c>
      <c r="G151" s="183" t="s">
        <v>36</v>
      </c>
      <c r="H151" s="182" t="s">
        <v>35</v>
      </c>
      <c r="I151" s="183" t="s">
        <v>36</v>
      </c>
      <c r="J151" s="182" t="s">
        <v>35</v>
      </c>
      <c r="K151" s="183" t="s">
        <v>36</v>
      </c>
      <c r="L151" s="182" t="s">
        <v>35</v>
      </c>
      <c r="M151" s="184" t="s">
        <v>36</v>
      </c>
    </row>
    <row r="152" spans="3:13" ht="24" customHeight="1" thickBot="1" x14ac:dyDescent="0.25">
      <c r="C152" s="185" t="s">
        <v>37</v>
      </c>
      <c r="D152" s="186">
        <v>-6.0632297176574923E-3</v>
      </c>
      <c r="E152" s="187">
        <v>1154877</v>
      </c>
      <c r="F152" s="186">
        <v>0.10361699637129806</v>
      </c>
      <c r="G152" s="187">
        <v>141423</v>
      </c>
      <c r="H152" s="186">
        <v>2.8757174651516948E-2</v>
      </c>
      <c r="I152" s="187">
        <v>17565</v>
      </c>
      <c r="J152" s="186">
        <v>-2.9688937751699895E-2</v>
      </c>
      <c r="K152" s="187">
        <v>405983</v>
      </c>
      <c r="L152" s="186">
        <v>-1.4026455044141906E-2</v>
      </c>
      <c r="M152" s="188">
        <v>589906</v>
      </c>
    </row>
    <row r="153" spans="3:13" ht="24" customHeight="1" thickBot="1" x14ac:dyDescent="0.25">
      <c r="C153" s="189" t="s">
        <v>38</v>
      </c>
      <c r="D153" s="190">
        <v>0.16539033266207692</v>
      </c>
      <c r="E153" s="191">
        <v>318673.90430035989</v>
      </c>
      <c r="F153" s="190" t="s">
        <v>39</v>
      </c>
      <c r="G153" s="191" t="s">
        <v>39</v>
      </c>
      <c r="H153" s="190" t="s">
        <v>39</v>
      </c>
      <c r="I153" s="191" t="s">
        <v>39</v>
      </c>
      <c r="J153" s="190" t="s">
        <v>39</v>
      </c>
      <c r="K153" s="191" t="s">
        <v>39</v>
      </c>
      <c r="L153" s="190" t="s">
        <v>39</v>
      </c>
      <c r="M153" s="192" t="s">
        <v>39</v>
      </c>
    </row>
    <row r="154" spans="3:13" ht="24" customHeight="1" thickBot="1" x14ac:dyDescent="0.25">
      <c r="C154" s="194" t="s">
        <v>40</v>
      </c>
      <c r="D154" s="195">
        <v>2.7214380633545643E-2</v>
      </c>
      <c r="E154" s="196">
        <v>193163.76033290153</v>
      </c>
      <c r="F154" s="195" t="s">
        <v>39</v>
      </c>
      <c r="G154" s="196" t="s">
        <v>39</v>
      </c>
      <c r="H154" s="195" t="s">
        <v>39</v>
      </c>
      <c r="I154" s="196" t="s">
        <v>39</v>
      </c>
      <c r="J154" s="195" t="s">
        <v>39</v>
      </c>
      <c r="K154" s="196" t="s">
        <v>39</v>
      </c>
      <c r="L154" s="195" t="s">
        <v>39</v>
      </c>
      <c r="M154" s="197" t="s">
        <v>39</v>
      </c>
    </row>
    <row r="155" spans="3:13" ht="24" customHeight="1" thickBot="1" x14ac:dyDescent="0.25">
      <c r="C155" s="194" t="s">
        <v>41</v>
      </c>
      <c r="D155" s="195">
        <v>-8.1933168922237343E-2</v>
      </c>
      <c r="E155" s="196">
        <v>643039.33536672033</v>
      </c>
      <c r="F155" s="195" t="s">
        <v>39</v>
      </c>
      <c r="G155" s="196" t="s">
        <v>39</v>
      </c>
      <c r="H155" s="195" t="s">
        <v>39</v>
      </c>
      <c r="I155" s="196" t="s">
        <v>39</v>
      </c>
      <c r="J155" s="195" t="s">
        <v>39</v>
      </c>
      <c r="K155" s="196" t="s">
        <v>39</v>
      </c>
      <c r="L155" s="195" t="s">
        <v>39</v>
      </c>
      <c r="M155" s="197" t="s">
        <v>39</v>
      </c>
    </row>
    <row r="156" spans="3:13" ht="24" customHeight="1" thickBot="1" x14ac:dyDescent="0.25">
      <c r="C156" s="198" t="s">
        <v>42</v>
      </c>
      <c r="D156" s="195">
        <v>-9.147045435053669E-2</v>
      </c>
      <c r="E156" s="199">
        <v>137714</v>
      </c>
      <c r="F156" s="195">
        <v>0.21708185053380791</v>
      </c>
      <c r="G156" s="199">
        <v>1368</v>
      </c>
      <c r="H156" s="195">
        <v>9.106529209621983E-2</v>
      </c>
      <c r="I156" s="199">
        <v>635</v>
      </c>
      <c r="J156" s="195">
        <v>-0.15708759325780597</v>
      </c>
      <c r="K156" s="199">
        <v>6101</v>
      </c>
      <c r="L156" s="195">
        <v>-9.1316997931783939E-2</v>
      </c>
      <c r="M156" s="200">
        <v>129610</v>
      </c>
    </row>
    <row r="157" spans="3:13" ht="24" customHeight="1" thickBot="1" x14ac:dyDescent="0.25">
      <c r="C157" s="201" t="s">
        <v>43</v>
      </c>
      <c r="D157" s="195">
        <v>3.0122030959570445E-2</v>
      </c>
      <c r="E157" s="196">
        <v>140213</v>
      </c>
      <c r="F157" s="195">
        <v>0.12560777957860614</v>
      </c>
      <c r="G157" s="196">
        <v>1389</v>
      </c>
      <c r="H157" s="195">
        <v>0.17891373801916943</v>
      </c>
      <c r="I157" s="196">
        <v>369</v>
      </c>
      <c r="J157" s="195">
        <v>0.31811797752808979</v>
      </c>
      <c r="K157" s="196">
        <v>3754</v>
      </c>
      <c r="L157" s="195">
        <v>2.2646866791175002E-2</v>
      </c>
      <c r="M157" s="197">
        <v>134701</v>
      </c>
    </row>
    <row r="158" spans="3:13" ht="24" customHeight="1" thickBot="1" x14ac:dyDescent="0.25">
      <c r="C158" s="198" t="s">
        <v>44</v>
      </c>
      <c r="D158" s="195">
        <v>9.7199060376208068E-2</v>
      </c>
      <c r="E158" s="199">
        <v>611875</v>
      </c>
      <c r="F158" s="195">
        <v>0.3237398879900435</v>
      </c>
      <c r="G158" s="199">
        <v>8509</v>
      </c>
      <c r="H158" s="195">
        <v>2.6942441148455565E-2</v>
      </c>
      <c r="I158" s="199">
        <v>7547</v>
      </c>
      <c r="J158" s="195">
        <v>0.11609898138428343</v>
      </c>
      <c r="K158" s="199">
        <v>211580</v>
      </c>
      <c r="L158" s="195">
        <v>8.4434497434537015E-2</v>
      </c>
      <c r="M158" s="200">
        <v>384239</v>
      </c>
    </row>
    <row r="159" spans="3:13" ht="24" customHeight="1" thickBot="1" x14ac:dyDescent="0.25">
      <c r="C159" s="201" t="s">
        <v>45</v>
      </c>
      <c r="D159" s="195">
        <v>0.12795312416484039</v>
      </c>
      <c r="E159" s="196">
        <v>168823</v>
      </c>
      <c r="F159" s="195">
        <v>0.15579837856891077</v>
      </c>
      <c r="G159" s="196">
        <v>6558</v>
      </c>
      <c r="H159" s="195">
        <v>0.26878612716762995</v>
      </c>
      <c r="I159" s="196">
        <v>2195</v>
      </c>
      <c r="J159" s="195">
        <v>0.31900337837837833</v>
      </c>
      <c r="K159" s="196">
        <v>31234</v>
      </c>
      <c r="L159" s="195">
        <v>8.6416838128646978E-2</v>
      </c>
      <c r="M159" s="197">
        <v>128836</v>
      </c>
    </row>
    <row r="160" spans="3:13" ht="24" customHeight="1" thickBot="1" x14ac:dyDescent="0.25">
      <c r="C160" s="198" t="s">
        <v>46</v>
      </c>
      <c r="D160" s="195">
        <v>6.534476727600036E-2</v>
      </c>
      <c r="E160" s="199">
        <v>1684211</v>
      </c>
      <c r="F160" s="195">
        <v>5.9043348281016428E-2</v>
      </c>
      <c r="G160" s="199">
        <v>8502</v>
      </c>
      <c r="H160" s="195">
        <v>0.1754601226993866</v>
      </c>
      <c r="I160" s="199">
        <v>958</v>
      </c>
      <c r="J160" s="195">
        <v>7.2413905557004998E-2</v>
      </c>
      <c r="K160" s="199">
        <v>65769</v>
      </c>
      <c r="L160" s="195">
        <v>6.5031878501604412E-2</v>
      </c>
      <c r="M160" s="200">
        <v>1608982</v>
      </c>
    </row>
    <row r="161" spans="3:13" ht="24" customHeight="1" thickBot="1" x14ac:dyDescent="0.25">
      <c r="C161" s="201" t="s">
        <v>47</v>
      </c>
      <c r="D161" s="195">
        <v>4.6534749168036793E-3</v>
      </c>
      <c r="E161" s="196">
        <v>72756</v>
      </c>
      <c r="F161" s="195">
        <v>-0.14750542299349245</v>
      </c>
      <c r="G161" s="196">
        <v>786</v>
      </c>
      <c r="H161" s="195">
        <v>0.18181818181818188</v>
      </c>
      <c r="I161" s="196">
        <v>104</v>
      </c>
      <c r="J161" s="195">
        <v>0.24583911234396671</v>
      </c>
      <c r="K161" s="196">
        <v>3593</v>
      </c>
      <c r="L161" s="195">
        <v>-3.677489967165215E-3</v>
      </c>
      <c r="M161" s="197">
        <v>68273</v>
      </c>
    </row>
    <row r="162" spans="3:13" ht="24" customHeight="1" thickBot="1" x14ac:dyDescent="0.25">
      <c r="C162" s="198" t="s">
        <v>48</v>
      </c>
      <c r="D162" s="195">
        <v>0.26011806174884278</v>
      </c>
      <c r="E162" s="199">
        <v>118688</v>
      </c>
      <c r="F162" s="195">
        <v>0.35688972274338138</v>
      </c>
      <c r="G162" s="199">
        <v>6509</v>
      </c>
      <c r="H162" s="195">
        <v>6.7099567099567103E-2</v>
      </c>
      <c r="I162" s="199">
        <v>1479</v>
      </c>
      <c r="J162" s="195">
        <v>0.41069242279961915</v>
      </c>
      <c r="K162" s="199">
        <v>10370</v>
      </c>
      <c r="L162" s="195">
        <v>0.24395566245939437</v>
      </c>
      <c r="M162" s="200">
        <v>100330</v>
      </c>
    </row>
    <row r="163" spans="3:13" ht="24" customHeight="1" thickBot="1" x14ac:dyDescent="0.25">
      <c r="C163" s="201" t="s">
        <v>49</v>
      </c>
      <c r="D163" s="195">
        <v>-6.48493021027019E-3</v>
      </c>
      <c r="E163" s="196">
        <v>501742</v>
      </c>
      <c r="F163" s="195">
        <v>0.45186311787072242</v>
      </c>
      <c r="G163" s="196">
        <v>9546</v>
      </c>
      <c r="H163" s="195">
        <v>-3.4836065573770503E-2</v>
      </c>
      <c r="I163" s="196">
        <v>471</v>
      </c>
      <c r="J163" s="195">
        <v>-4.8126168604178954E-3</v>
      </c>
      <c r="K163" s="196">
        <v>61209</v>
      </c>
      <c r="L163" s="195">
        <v>-1.3593799046394905E-2</v>
      </c>
      <c r="M163" s="197">
        <v>430516</v>
      </c>
    </row>
    <row r="164" spans="3:13" ht="24" customHeight="1" thickBot="1" x14ac:dyDescent="0.25">
      <c r="C164" s="202" t="s">
        <v>50</v>
      </c>
      <c r="D164" s="195">
        <v>-2.1068579151589106E-2</v>
      </c>
      <c r="E164" s="199">
        <v>179630</v>
      </c>
      <c r="F164" s="195">
        <v>0.55871291266193057</v>
      </c>
      <c r="G164" s="199">
        <v>3730</v>
      </c>
      <c r="H164" s="195">
        <v>0.53153153153153143</v>
      </c>
      <c r="I164" s="199">
        <v>170</v>
      </c>
      <c r="J164" s="195">
        <v>-0.17825212337952612</v>
      </c>
      <c r="K164" s="199">
        <v>14706</v>
      </c>
      <c r="L164" s="195">
        <v>-1.2704174228675091E-2</v>
      </c>
      <c r="M164" s="200">
        <v>161024</v>
      </c>
    </row>
    <row r="165" spans="3:13" ht="24" customHeight="1" thickBot="1" x14ac:dyDescent="0.25">
      <c r="C165" s="194" t="s">
        <v>51</v>
      </c>
      <c r="D165" s="195">
        <v>-3.5933930048397844E-2</v>
      </c>
      <c r="E165" s="196">
        <v>117725</v>
      </c>
      <c r="F165" s="195">
        <v>0.4247685185185186</v>
      </c>
      <c r="G165" s="196">
        <v>2462</v>
      </c>
      <c r="H165" s="195">
        <v>-0.17708333333333337</v>
      </c>
      <c r="I165" s="196">
        <v>79</v>
      </c>
      <c r="J165" s="195">
        <v>-0.1387512388503469</v>
      </c>
      <c r="K165" s="196">
        <v>8690</v>
      </c>
      <c r="L165" s="195">
        <v>-3.3620994745868882E-2</v>
      </c>
      <c r="M165" s="197">
        <v>106494</v>
      </c>
    </row>
    <row r="166" spans="3:13" ht="24" customHeight="1" thickBot="1" x14ac:dyDescent="0.25">
      <c r="C166" s="202" t="s">
        <v>52</v>
      </c>
      <c r="D166" s="195">
        <v>8.2759553296746668E-2</v>
      </c>
      <c r="E166" s="199">
        <v>96083</v>
      </c>
      <c r="F166" s="195">
        <v>0.30065359477124187</v>
      </c>
      <c r="G166" s="199">
        <v>1393</v>
      </c>
      <c r="H166" s="195">
        <v>-0.35864978902953581</v>
      </c>
      <c r="I166" s="199">
        <v>152</v>
      </c>
      <c r="J166" s="195">
        <v>0.36444847229414812</v>
      </c>
      <c r="K166" s="199">
        <v>10539</v>
      </c>
      <c r="L166" s="195">
        <v>5.3847215426499506E-2</v>
      </c>
      <c r="M166" s="200">
        <v>83999</v>
      </c>
    </row>
    <row r="167" spans="3:13" ht="24" customHeight="1" thickBot="1" x14ac:dyDescent="0.25">
      <c r="C167" s="194" t="s">
        <v>53</v>
      </c>
      <c r="D167" s="195">
        <v>-2.1370031354760566E-2</v>
      </c>
      <c r="E167" s="196">
        <v>108304</v>
      </c>
      <c r="F167" s="195">
        <v>0.41793203181489513</v>
      </c>
      <c r="G167" s="196">
        <v>1961</v>
      </c>
      <c r="H167" s="195">
        <v>0.59090909090909083</v>
      </c>
      <c r="I167" s="196">
        <v>70</v>
      </c>
      <c r="J167" s="195">
        <v>5.7336693157588714E-2</v>
      </c>
      <c r="K167" s="196">
        <v>27274</v>
      </c>
      <c r="L167" s="195">
        <v>-5.3303294306565885E-2</v>
      </c>
      <c r="M167" s="197">
        <v>78999</v>
      </c>
    </row>
    <row r="168" spans="3:13" ht="24" customHeight="1" thickBot="1" x14ac:dyDescent="0.25">
      <c r="C168" s="198" t="s">
        <v>54</v>
      </c>
      <c r="D168" s="195">
        <v>0.10641357492090875</v>
      </c>
      <c r="E168" s="199">
        <v>53858</v>
      </c>
      <c r="F168" s="195">
        <v>0.25333333333333341</v>
      </c>
      <c r="G168" s="199">
        <v>1316</v>
      </c>
      <c r="H168" s="195">
        <v>0.2078651685393258</v>
      </c>
      <c r="I168" s="199">
        <v>645</v>
      </c>
      <c r="J168" s="195">
        <v>0.24122722914669215</v>
      </c>
      <c r="K168" s="199">
        <v>6473</v>
      </c>
      <c r="L168" s="195">
        <v>8.4648630578571638E-2</v>
      </c>
      <c r="M168" s="200">
        <v>45424</v>
      </c>
    </row>
    <row r="169" spans="3:13" ht="24" customHeight="1" thickBot="1" x14ac:dyDescent="0.25">
      <c r="C169" s="201" t="s">
        <v>55</v>
      </c>
      <c r="D169" s="195">
        <v>2.7600787766450363E-2</v>
      </c>
      <c r="E169" s="196">
        <v>35481</v>
      </c>
      <c r="F169" s="195">
        <v>9.5975232198142413E-2</v>
      </c>
      <c r="G169" s="196">
        <v>708</v>
      </c>
      <c r="H169" s="195">
        <v>0.45021645021645029</v>
      </c>
      <c r="I169" s="196">
        <v>335</v>
      </c>
      <c r="J169" s="195">
        <v>0.16766678432756787</v>
      </c>
      <c r="K169" s="196">
        <v>6616</v>
      </c>
      <c r="L169" s="195">
        <v>-5.8245488654636857E-3</v>
      </c>
      <c r="M169" s="197">
        <v>27822</v>
      </c>
    </row>
    <row r="170" spans="3:13" ht="24" customHeight="1" thickBot="1" x14ac:dyDescent="0.25">
      <c r="C170" s="198" t="s">
        <v>56</v>
      </c>
      <c r="D170" s="195">
        <v>-7.0441332209470686E-2</v>
      </c>
      <c r="E170" s="199">
        <v>172039</v>
      </c>
      <c r="F170" s="195">
        <v>2.8314606741572934E-2</v>
      </c>
      <c r="G170" s="199">
        <v>2288</v>
      </c>
      <c r="H170" s="195">
        <v>-3.8461538461538436E-2</v>
      </c>
      <c r="I170" s="199">
        <v>225</v>
      </c>
      <c r="J170" s="195">
        <v>0.189147604882552</v>
      </c>
      <c r="K170" s="199">
        <v>11593</v>
      </c>
      <c r="L170" s="195">
        <v>-8.6395399958349772E-2</v>
      </c>
      <c r="M170" s="200">
        <v>157933</v>
      </c>
    </row>
    <row r="171" spans="3:13" ht="24" customHeight="1" thickBot="1" x14ac:dyDescent="0.25">
      <c r="C171" s="201" t="s">
        <v>57</v>
      </c>
      <c r="D171" s="195">
        <v>-5.46603655411948E-3</v>
      </c>
      <c r="E171" s="196">
        <v>104802</v>
      </c>
      <c r="F171" s="195">
        <v>-0.13770053475935828</v>
      </c>
      <c r="G171" s="196">
        <v>1935</v>
      </c>
      <c r="H171" s="195">
        <v>0.2300469483568075</v>
      </c>
      <c r="I171" s="196">
        <v>262</v>
      </c>
      <c r="J171" s="195">
        <v>0.55552346570397115</v>
      </c>
      <c r="K171" s="196">
        <v>10772</v>
      </c>
      <c r="L171" s="195">
        <v>-4.3366390266261101E-2</v>
      </c>
      <c r="M171" s="197">
        <v>91833</v>
      </c>
    </row>
    <row r="172" spans="3:13" ht="24" customHeight="1" thickBot="1" x14ac:dyDescent="0.25">
      <c r="C172" s="198" t="s">
        <v>58</v>
      </c>
      <c r="D172" s="195">
        <v>7.0633673736580249E-2</v>
      </c>
      <c r="E172" s="199">
        <v>114485</v>
      </c>
      <c r="F172" s="195">
        <v>0.28586242654683724</v>
      </c>
      <c r="G172" s="199">
        <v>3720</v>
      </c>
      <c r="H172" s="195">
        <v>-0.12631578947368416</v>
      </c>
      <c r="I172" s="199">
        <v>332</v>
      </c>
      <c r="J172" s="195">
        <v>0.23673237300985606</v>
      </c>
      <c r="K172" s="199">
        <v>19575</v>
      </c>
      <c r="L172" s="195">
        <v>3.4463913652355016E-2</v>
      </c>
      <c r="M172" s="200">
        <v>90858</v>
      </c>
    </row>
    <row r="173" spans="3:13" ht="24" customHeight="1" thickBot="1" x14ac:dyDescent="0.25">
      <c r="C173" s="201" t="s">
        <v>59</v>
      </c>
      <c r="D173" s="195">
        <v>-3.6027546212395789E-2</v>
      </c>
      <c r="E173" s="196">
        <v>13298</v>
      </c>
      <c r="F173" s="195">
        <v>0.15830945558739251</v>
      </c>
      <c r="G173" s="196">
        <v>1617</v>
      </c>
      <c r="H173" s="195">
        <v>0.46718146718146714</v>
      </c>
      <c r="I173" s="196">
        <v>380</v>
      </c>
      <c r="J173" s="195">
        <v>0.19005030743432094</v>
      </c>
      <c r="K173" s="196">
        <v>2129</v>
      </c>
      <c r="L173" s="195">
        <v>-0.11390203845039126</v>
      </c>
      <c r="M173" s="197">
        <v>9172</v>
      </c>
    </row>
    <row r="174" spans="3:13" ht="24" customHeight="1" thickBot="1" x14ac:dyDescent="0.25">
      <c r="C174" s="198" t="s">
        <v>60</v>
      </c>
      <c r="D174" s="195">
        <v>-7.6172386691118699E-2</v>
      </c>
      <c r="E174" s="199">
        <v>14105</v>
      </c>
      <c r="F174" s="195">
        <v>-0.22908796546141397</v>
      </c>
      <c r="G174" s="199">
        <v>2857</v>
      </c>
      <c r="H174" s="195">
        <v>-0.184652278177458</v>
      </c>
      <c r="I174" s="199">
        <v>340</v>
      </c>
      <c r="J174" s="195">
        <v>-0.12569130216189039</v>
      </c>
      <c r="K174" s="199">
        <v>3478</v>
      </c>
      <c r="L174" s="195">
        <v>3.6695967629412518E-2</v>
      </c>
      <c r="M174" s="200">
        <v>7430</v>
      </c>
    </row>
    <row r="175" spans="3:13" ht="24" customHeight="1" thickBot="1" x14ac:dyDescent="0.25">
      <c r="C175" s="201" t="s">
        <v>61</v>
      </c>
      <c r="D175" s="203">
        <v>-8.1977553102680623E-2</v>
      </c>
      <c r="E175" s="204">
        <v>49486</v>
      </c>
      <c r="F175" s="203">
        <v>0.14458438287153652</v>
      </c>
      <c r="G175" s="204">
        <v>4544</v>
      </c>
      <c r="H175" s="203">
        <v>0.64705882352941169</v>
      </c>
      <c r="I175" s="204">
        <v>364</v>
      </c>
      <c r="J175" s="203">
        <v>2.9706741145105964E-2</v>
      </c>
      <c r="K175" s="204">
        <v>8111</v>
      </c>
      <c r="L175" s="203">
        <v>-0.12835528360064064</v>
      </c>
      <c r="M175" s="205">
        <v>36467</v>
      </c>
    </row>
    <row r="176" spans="3:13" ht="30.75" customHeight="1" thickTop="1" thickBot="1" x14ac:dyDescent="0.25">
      <c r="C176" s="206" t="s">
        <v>62</v>
      </c>
      <c r="D176" s="207">
        <v>4.7873265767981898E-2</v>
      </c>
      <c r="E176" s="208">
        <v>3993576</v>
      </c>
      <c r="F176" s="207">
        <v>0.17462957363169029</v>
      </c>
      <c r="G176" s="208">
        <v>62152</v>
      </c>
      <c r="H176" s="207">
        <v>9.1929133858267731E-2</v>
      </c>
      <c r="I176" s="208">
        <v>16641</v>
      </c>
      <c r="J176" s="207">
        <v>0.11833868689409632</v>
      </c>
      <c r="K176" s="208">
        <v>462357</v>
      </c>
      <c r="L176" s="207">
        <v>3.6907489650976011E-2</v>
      </c>
      <c r="M176" s="209">
        <v>3452426</v>
      </c>
    </row>
    <row r="177" spans="3:18" ht="24" customHeight="1" thickBot="1" x14ac:dyDescent="0.25">
      <c r="C177" s="210" t="s">
        <v>7</v>
      </c>
      <c r="D177" s="211">
        <v>3.527133365118007E-2</v>
      </c>
      <c r="E177" s="212">
        <v>5148453</v>
      </c>
      <c r="F177" s="211">
        <v>0.12436967363868834</v>
      </c>
      <c r="G177" s="212">
        <v>203575</v>
      </c>
      <c r="H177" s="211">
        <v>5.8550473478987453E-2</v>
      </c>
      <c r="I177" s="212">
        <v>34206</v>
      </c>
      <c r="J177" s="211">
        <v>4.3882395228872939E-2</v>
      </c>
      <c r="K177" s="212">
        <v>868340</v>
      </c>
      <c r="L177" s="211">
        <v>2.9149107180818756E-2</v>
      </c>
      <c r="M177" s="213">
        <v>4042332</v>
      </c>
    </row>
    <row r="178" spans="3:18" ht="18" customHeight="1" x14ac:dyDescent="0.2">
      <c r="C178" s="4"/>
    </row>
    <row r="179" spans="3:18" ht="17.25" hidden="1" customHeight="1" x14ac:dyDescent="0.2">
      <c r="C179" s="159"/>
      <c r="D179" s="160"/>
      <c r="E179" s="160"/>
      <c r="F179" s="160"/>
      <c r="G179" s="160"/>
      <c r="H179" s="160"/>
      <c r="I179" s="160"/>
      <c r="J179" s="160"/>
      <c r="K179" s="160"/>
      <c r="L179" s="160"/>
      <c r="M179" s="161"/>
    </row>
    <row r="180" spans="3:18" ht="21.75" hidden="1" customHeight="1" x14ac:dyDescent="0.2">
      <c r="C180" s="162"/>
      <c r="D180" s="163"/>
      <c r="E180" s="215" t="str">
        <f>$E$1</f>
        <v>INDICADORES TURÍSTICOS DE TENERIFE definitivo</v>
      </c>
      <c r="F180" s="216"/>
      <c r="G180" s="216"/>
      <c r="H180" s="216"/>
      <c r="I180" s="216"/>
      <c r="J180" s="216"/>
      <c r="K180" s="217"/>
      <c r="L180" s="163"/>
      <c r="M180" s="165"/>
    </row>
    <row r="181" spans="3:18" s="1" customFormat="1" ht="21.75" hidden="1" customHeight="1" x14ac:dyDescent="0.2">
      <c r="C181" s="162"/>
      <c r="D181" s="163"/>
      <c r="E181" s="164"/>
      <c r="F181" s="164"/>
      <c r="G181" s="164"/>
      <c r="H181" s="164"/>
      <c r="I181" s="164"/>
      <c r="J181" s="164"/>
      <c r="K181" s="164"/>
      <c r="L181" s="163"/>
      <c r="M181" s="165"/>
    </row>
    <row r="182" spans="3:18" ht="33" hidden="1" customHeight="1" x14ac:dyDescent="0.2">
      <c r="C182" s="218" t="s">
        <v>30</v>
      </c>
      <c r="D182" s="219"/>
      <c r="E182" s="219"/>
      <c r="F182" s="219"/>
      <c r="G182" s="219"/>
      <c r="H182" s="219"/>
      <c r="I182" s="219"/>
      <c r="J182" s="219"/>
      <c r="K182" s="219"/>
      <c r="L182" s="219"/>
      <c r="M182" s="219"/>
      <c r="N182" s="219"/>
      <c r="O182" s="219"/>
      <c r="P182" s="219"/>
      <c r="Q182" s="219"/>
      <c r="R182" s="220"/>
    </row>
    <row r="183" spans="3:18" ht="20.100000000000001" hidden="1" customHeight="1" x14ac:dyDescent="0.2">
      <c r="C183" s="221">
        <f>E3</f>
        <v>0</v>
      </c>
      <c r="D183" s="222"/>
      <c r="E183" s="222"/>
      <c r="F183" s="222"/>
      <c r="G183" s="222"/>
      <c r="H183" s="222"/>
      <c r="I183" s="222"/>
      <c r="J183" s="222"/>
      <c r="K183" s="222"/>
      <c r="L183" s="222"/>
      <c r="M183" s="222"/>
      <c r="N183" s="222"/>
      <c r="O183" s="222"/>
      <c r="P183" s="222"/>
      <c r="Q183" s="222"/>
      <c r="R183" s="1"/>
    </row>
    <row r="184" spans="3:18" ht="17.25" hidden="1" customHeight="1" x14ac:dyDescent="0.2">
      <c r="C184" s="223"/>
      <c r="D184" s="224" t="s">
        <v>25</v>
      </c>
      <c r="E184" s="225"/>
      <c r="F184" s="224" t="s">
        <v>24</v>
      </c>
      <c r="G184" s="225"/>
      <c r="H184" s="224" t="s">
        <v>23</v>
      </c>
      <c r="I184" s="225"/>
      <c r="J184" s="224" t="s">
        <v>22</v>
      </c>
      <c r="K184" s="225"/>
      <c r="L184" s="224" t="s">
        <v>21</v>
      </c>
      <c r="M184" s="225"/>
      <c r="N184" s="224" t="s">
        <v>63</v>
      </c>
      <c r="O184" s="225"/>
      <c r="P184" s="224" t="s">
        <v>64</v>
      </c>
      <c r="Q184" s="225"/>
    </row>
    <row r="185" spans="3:18" ht="28.5" hidden="1" customHeight="1" x14ac:dyDescent="0.2">
      <c r="C185" s="223"/>
      <c r="D185" s="226" t="s">
        <v>35</v>
      </c>
      <c r="E185" s="226" t="s">
        <v>36</v>
      </c>
      <c r="F185" s="226" t="s">
        <v>35</v>
      </c>
      <c r="G185" s="226" t="s">
        <v>36</v>
      </c>
      <c r="H185" s="226" t="s">
        <v>35</v>
      </c>
      <c r="I185" s="226" t="s">
        <v>36</v>
      </c>
      <c r="J185" s="226" t="s">
        <v>35</v>
      </c>
      <c r="K185" s="226" t="s">
        <v>36</v>
      </c>
      <c r="L185" s="226" t="s">
        <v>35</v>
      </c>
      <c r="M185" s="226" t="s">
        <v>36</v>
      </c>
      <c r="N185" s="226" t="s">
        <v>35</v>
      </c>
      <c r="O185" s="226" t="s">
        <v>36</v>
      </c>
      <c r="P185" s="226" t="s">
        <v>35</v>
      </c>
      <c r="Q185" s="226" t="s">
        <v>36</v>
      </c>
    </row>
    <row r="186" spans="3:18" ht="24" hidden="1" customHeight="1" x14ac:dyDescent="0.2">
      <c r="C186" s="227" t="s">
        <v>37</v>
      </c>
      <c r="D186" s="228" t="e">
        <f>VLOOKUP("españa",#REF!,6,FALSE)/VLOOKUP("españa",#REF!,6,FALSE)-1</f>
        <v>#REF!</v>
      </c>
      <c r="E186" s="229" t="e">
        <f>VLOOKUP("españa",#REF!,6,FALSE)</f>
        <v>#REF!</v>
      </c>
      <c r="F186" s="228" t="e">
        <f>VLOOKUP("españa",#REF!,5,FALSE)/VLOOKUP("españa",#REF!,5,FALSE)-1</f>
        <v>#REF!</v>
      </c>
      <c r="G186" s="229" t="e">
        <f>VLOOKUP("españa",#REF!,5,FALSE)</f>
        <v>#REF!</v>
      </c>
      <c r="H186" s="228" t="e">
        <f>VLOOKUP("españa",#REF!,4,FALSE)/VLOOKUP("españa",#REF!,4,FALSE)-1</f>
        <v>#REF!</v>
      </c>
      <c r="I186" s="229" t="e">
        <f>VLOOKUP("españa",#REF!,4,FALSE)</f>
        <v>#REF!</v>
      </c>
      <c r="J186" s="228" t="e">
        <f>VLOOKUP("españa",#REF!,3,FALSE)/VLOOKUP("españa",#REF!,3,FALSE)-1</f>
        <v>#REF!</v>
      </c>
      <c r="K186" s="229" t="e">
        <f>VLOOKUP("españa",#REF!,3,FALSE)</f>
        <v>#REF!</v>
      </c>
      <c r="L186" s="228" t="e">
        <f>VLOOKUP("españa",#REF!,2,FALSE)/VLOOKUP("españa",#REF!,2,FALSE)-1</f>
        <v>#REF!</v>
      </c>
      <c r="M186" s="229" t="e">
        <f>VLOOKUP("españa",#REF!,2,FALSE)</f>
        <v>#REF!</v>
      </c>
      <c r="N186" s="228" t="e">
        <f>VLOOKUP("españa",#REF!,7,FALSE)/VLOOKUP("españa",#REF!,7,FALSE)-1</f>
        <v>#REF!</v>
      </c>
      <c r="O186" s="229" t="e">
        <f>VLOOKUP("españa",#REF!,7,FALSE)</f>
        <v>#REF!</v>
      </c>
      <c r="P186" s="228" t="e">
        <f>VLOOKUP("españa",#REF!,8,FALSE)/VLOOKUP("españa",#REF!,8,FALSE)-1</f>
        <v>#REF!</v>
      </c>
      <c r="Q186" s="229" t="e">
        <f>VLOOKUP("españa",#REF!,8,FALSE)</f>
        <v>#REF!</v>
      </c>
    </row>
    <row r="187" spans="3:18" ht="24" hidden="1" customHeight="1" x14ac:dyDescent="0.2">
      <c r="C187" s="227" t="s">
        <v>42</v>
      </c>
      <c r="D187" s="228" t="e">
        <f>VLOOKUP("holanda",#REF!,6,FALSE)/VLOOKUP("holanda",#REF!,6,FALSE)-1</f>
        <v>#REF!</v>
      </c>
      <c r="E187" s="229" t="e">
        <f>VLOOKUP("holanda",#REF!,6,FALSE)</f>
        <v>#REF!</v>
      </c>
      <c r="F187" s="228" t="e">
        <f>VLOOKUP("holanda",#REF!,5,FALSE)/VLOOKUP("holanda",#REF!,5,FALSE)-1</f>
        <v>#REF!</v>
      </c>
      <c r="G187" s="229" t="e">
        <f>VLOOKUP("holanda",#REF!,5,FALSE)</f>
        <v>#REF!</v>
      </c>
      <c r="H187" s="228" t="e">
        <f>VLOOKUP("holanda",#REF!,4,FALSE)/VLOOKUP("holanda",#REF!,4,FALSE)-1</f>
        <v>#REF!</v>
      </c>
      <c r="I187" s="229" t="e">
        <f>VLOOKUP("holanda",#REF!,4,FALSE)</f>
        <v>#REF!</v>
      </c>
      <c r="J187" s="228" t="e">
        <f>VLOOKUP("holanda",#REF!,3,FALSE)/VLOOKUP("holanda",#REF!,3,FALSE)-1</f>
        <v>#REF!</v>
      </c>
      <c r="K187" s="229" t="e">
        <f>VLOOKUP("holanda",#REF!,3,FALSE)</f>
        <v>#REF!</v>
      </c>
      <c r="L187" s="228" t="e">
        <f>VLOOKUP("holanda",#REF!,2,FALSE)/VLOOKUP("holanda",#REF!,2,FALSE)-1</f>
        <v>#REF!</v>
      </c>
      <c r="M187" s="229" t="e">
        <f>VLOOKUP("holanda",#REF!,2,FALSE)</f>
        <v>#REF!</v>
      </c>
      <c r="N187" s="228" t="e">
        <f>VLOOKUP("holanda",#REF!,7,FALSE)/VLOOKUP("holanda",#REF!,7,FALSE)-1</f>
        <v>#REF!</v>
      </c>
      <c r="O187" s="229" t="e">
        <f>VLOOKUP("holanda",#REF!,7,FALSE)</f>
        <v>#REF!</v>
      </c>
      <c r="P187" s="228" t="e">
        <f>VLOOKUP("holanda",#REF!,8,FALSE)/VLOOKUP("holanda",#REF!,8,FALSE)-1</f>
        <v>#REF!</v>
      </c>
      <c r="Q187" s="229" t="e">
        <f>VLOOKUP("holanda",#REF!,8,FALSE)</f>
        <v>#REF!</v>
      </c>
    </row>
    <row r="188" spans="3:18" ht="24" hidden="1" customHeight="1" x14ac:dyDescent="0.2">
      <c r="C188" s="227" t="s">
        <v>43</v>
      </c>
      <c r="D188" s="228" t="e">
        <f>VLOOKUP("belgica",#REF!,6,FALSE)/VLOOKUP("belgica",#REF!,6,FALSE)-1</f>
        <v>#REF!</v>
      </c>
      <c r="E188" s="229" t="e">
        <f>VLOOKUP("belgica",#REF!,6,FALSE)</f>
        <v>#REF!</v>
      </c>
      <c r="F188" s="228" t="e">
        <f>VLOOKUP("belgica",#REF!,5,FALSE)/VLOOKUP("belgica",#REF!,5,FALSE)-1</f>
        <v>#REF!</v>
      </c>
      <c r="G188" s="229" t="e">
        <f>VLOOKUP("belgica",#REF!,5,FALSE)</f>
        <v>#REF!</v>
      </c>
      <c r="H188" s="228" t="e">
        <f>VLOOKUP("belgica",#REF!,4,FALSE)/VLOOKUP("belgica",#REF!,4,FALSE)-1</f>
        <v>#REF!</v>
      </c>
      <c r="I188" s="229" t="e">
        <f>VLOOKUP("belgica",#REF!,4,FALSE)</f>
        <v>#REF!</v>
      </c>
      <c r="J188" s="228" t="e">
        <f>VLOOKUP("belgica",#REF!,3,FALSE)/VLOOKUP("belgica",#REF!,3,FALSE)-1</f>
        <v>#REF!</v>
      </c>
      <c r="K188" s="229" t="e">
        <f>VLOOKUP("belgica",#REF!,3,FALSE)</f>
        <v>#REF!</v>
      </c>
      <c r="L188" s="228" t="e">
        <f>VLOOKUP("belgica",#REF!,2,FALSE)/VLOOKUP("belgica",#REF!,2,FALSE)-1</f>
        <v>#REF!</v>
      </c>
      <c r="M188" s="229" t="e">
        <f>VLOOKUP("belgica",#REF!,2,FALSE)</f>
        <v>#REF!</v>
      </c>
      <c r="N188" s="228" t="e">
        <f>VLOOKUP("belgica",#REF!,7,FALSE)/VLOOKUP("belgica",#REF!,7,FALSE)-1</f>
        <v>#REF!</v>
      </c>
      <c r="O188" s="229" t="e">
        <f>VLOOKUP("belgica",#REF!,7,FALSE)</f>
        <v>#REF!</v>
      </c>
      <c r="P188" s="228" t="e">
        <f>VLOOKUP("belgica",#REF!,8,FALSE)/VLOOKUP("belgica",#REF!,8,FALSE)-1</f>
        <v>#REF!</v>
      </c>
      <c r="Q188" s="229" t="e">
        <f>VLOOKUP("belgica",#REF!,8,FALSE)</f>
        <v>#REF!</v>
      </c>
    </row>
    <row r="189" spans="3:18" ht="24" hidden="1" customHeight="1" x14ac:dyDescent="0.2">
      <c r="C189" s="227" t="s">
        <v>44</v>
      </c>
      <c r="D189" s="228" t="e">
        <f>VLOOKUP("alemania",#REF!,6,FALSE)/VLOOKUP("alemania",#REF!,6,FALSE)-1</f>
        <v>#REF!</v>
      </c>
      <c r="E189" s="229" t="e">
        <f>VLOOKUP("alemania",#REF!,6,FALSE)</f>
        <v>#REF!</v>
      </c>
      <c r="F189" s="228" t="e">
        <f>VLOOKUP("alemania",#REF!,5,FALSE)/VLOOKUP("alemania",#REF!,5,FALSE)-1</f>
        <v>#REF!</v>
      </c>
      <c r="G189" s="229" t="e">
        <f>VLOOKUP("alemania",#REF!,5,FALSE)</f>
        <v>#REF!</v>
      </c>
      <c r="H189" s="228" t="e">
        <f>VLOOKUP("alemania",#REF!,4,FALSE)/VLOOKUP("alemania",#REF!,4,FALSE)-1</f>
        <v>#REF!</v>
      </c>
      <c r="I189" s="229" t="e">
        <f>VLOOKUP("alemania",#REF!,4,FALSE)</f>
        <v>#REF!</v>
      </c>
      <c r="J189" s="228" t="e">
        <f>VLOOKUP("alemania",#REF!,3,FALSE)/VLOOKUP("alemania",#REF!,3,FALSE)-1</f>
        <v>#REF!</v>
      </c>
      <c r="K189" s="229" t="e">
        <f>VLOOKUP("alemania",#REF!,3,FALSE)</f>
        <v>#REF!</v>
      </c>
      <c r="L189" s="228" t="e">
        <f>VLOOKUP("alemania",#REF!,2,FALSE)/VLOOKUP("alemania",#REF!,2,FALSE)-1</f>
        <v>#REF!</v>
      </c>
      <c r="M189" s="229" t="e">
        <f>VLOOKUP("alemania",#REF!,2,FALSE)</f>
        <v>#REF!</v>
      </c>
      <c r="N189" s="228" t="e">
        <f>VLOOKUP("alemania",#REF!,7,FALSE)/VLOOKUP("alemania",#REF!,7,FALSE)-1</f>
        <v>#REF!</v>
      </c>
      <c r="O189" s="229" t="e">
        <f>VLOOKUP("alemania",#REF!,7,FALSE)</f>
        <v>#REF!</v>
      </c>
      <c r="P189" s="228" t="e">
        <f>VLOOKUP("alemania",#REF!,8,FALSE)/VLOOKUP("alemania",#REF!,8,FALSE)-1</f>
        <v>#REF!</v>
      </c>
      <c r="Q189" s="229" t="e">
        <f>VLOOKUP("alemania",#REF!,8,FALSE)</f>
        <v>#REF!</v>
      </c>
    </row>
    <row r="190" spans="3:18" ht="24" hidden="1" customHeight="1" x14ac:dyDescent="0.2">
      <c r="C190" s="227" t="s">
        <v>45</v>
      </c>
      <c r="D190" s="228" t="e">
        <f>VLOOKUP("francia",#REF!,6,FALSE)/VLOOKUP("francia",#REF!,6,FALSE)-1</f>
        <v>#REF!</v>
      </c>
      <c r="E190" s="229" t="e">
        <f>VLOOKUP("francia",#REF!,6,FALSE)</f>
        <v>#REF!</v>
      </c>
      <c r="F190" s="228" t="e">
        <f>VLOOKUP("francia",#REF!,5,FALSE)/VLOOKUP("francia",#REF!,5,FALSE)-1</f>
        <v>#REF!</v>
      </c>
      <c r="G190" s="229" t="e">
        <f>VLOOKUP("francia",#REF!,5,FALSE)</f>
        <v>#REF!</v>
      </c>
      <c r="H190" s="228" t="e">
        <f>VLOOKUP("francia",#REF!,4,FALSE)/VLOOKUP("francia",#REF!,4,FALSE)-1</f>
        <v>#REF!</v>
      </c>
      <c r="I190" s="229" t="e">
        <f>VLOOKUP("francia",#REF!,4,FALSE)</f>
        <v>#REF!</v>
      </c>
      <c r="J190" s="228" t="e">
        <f>VLOOKUP("francia",#REF!,3,FALSE)/VLOOKUP("francia",#REF!,3,FALSE)-1</f>
        <v>#REF!</v>
      </c>
      <c r="K190" s="229" t="e">
        <f>VLOOKUP("francia",#REF!,3,FALSE)</f>
        <v>#REF!</v>
      </c>
      <c r="L190" s="228" t="e">
        <f>VLOOKUP("francia",#REF!,2,FALSE)/VLOOKUP("francia",#REF!,2,FALSE)-1</f>
        <v>#REF!</v>
      </c>
      <c r="M190" s="229" t="e">
        <f>VLOOKUP("francia",#REF!,2,FALSE)</f>
        <v>#REF!</v>
      </c>
      <c r="N190" s="228" t="e">
        <f>VLOOKUP("francia",#REF!,7,FALSE)/VLOOKUP("francia",#REF!,7,FALSE)-1</f>
        <v>#REF!</v>
      </c>
      <c r="O190" s="229" t="e">
        <f>VLOOKUP("francia",#REF!,7,FALSE)</f>
        <v>#REF!</v>
      </c>
      <c r="P190" s="228" t="e">
        <f>VLOOKUP("francia",#REF!,8,FALSE)/VLOOKUP("francia",#REF!,8,FALSE)-1</f>
        <v>#REF!</v>
      </c>
      <c r="Q190" s="229" t="e">
        <f>VLOOKUP("francia",#REF!,8,FALSE)</f>
        <v>#REF!</v>
      </c>
    </row>
    <row r="191" spans="3:18" ht="24" hidden="1" customHeight="1" x14ac:dyDescent="0.2">
      <c r="C191" s="227" t="s">
        <v>46</v>
      </c>
      <c r="D191" s="228" t="e">
        <f>VLOOKUP("reino unido",#REF!,6,FALSE)/VLOOKUP("reino unido",#REF!,6,FALSE)-1</f>
        <v>#REF!</v>
      </c>
      <c r="E191" s="229" t="e">
        <f>VLOOKUP("reino unido",#REF!,6,FALSE)</f>
        <v>#REF!</v>
      </c>
      <c r="F191" s="228" t="e">
        <f>VLOOKUP("reino unido",#REF!,5,FALSE)/VLOOKUP("reino unido",#REF!,5,FALSE)-1</f>
        <v>#REF!</v>
      </c>
      <c r="G191" s="229" t="e">
        <f>VLOOKUP("reino unido",#REF!,5,FALSE)</f>
        <v>#REF!</v>
      </c>
      <c r="H191" s="228" t="e">
        <f>VLOOKUP("reino unido",#REF!,4,FALSE)/VLOOKUP("reino unido",#REF!,4,FALSE)-1</f>
        <v>#REF!</v>
      </c>
      <c r="I191" s="229" t="e">
        <f>VLOOKUP("reino unido",#REF!,4,FALSE)</f>
        <v>#REF!</v>
      </c>
      <c r="J191" s="228" t="e">
        <f>VLOOKUP("reino unido",#REF!,3,FALSE)/VLOOKUP("reino unido",#REF!,3,FALSE)-1</f>
        <v>#REF!</v>
      </c>
      <c r="K191" s="229" t="e">
        <f>VLOOKUP("reino unido",#REF!,3,FALSE)</f>
        <v>#REF!</v>
      </c>
      <c r="L191" s="228" t="e">
        <f>VLOOKUP("reino unido",#REF!,2,FALSE)/VLOOKUP("reino unido",#REF!,2,FALSE)-1</f>
        <v>#REF!</v>
      </c>
      <c r="M191" s="229" t="e">
        <f>VLOOKUP("reino unido",#REF!,2,FALSE)</f>
        <v>#REF!</v>
      </c>
      <c r="N191" s="228" t="e">
        <f>VLOOKUP("reino unido",#REF!,7,FALSE)/VLOOKUP("reino unido",#REF!,7,FALSE)-1</f>
        <v>#REF!</v>
      </c>
      <c r="O191" s="229" t="e">
        <f>VLOOKUP("reino unido",#REF!,7,FALSE)</f>
        <v>#REF!</v>
      </c>
      <c r="P191" s="228" t="e">
        <f>VLOOKUP("reino unido",#REF!,8,FALSE)/VLOOKUP("reino unido",#REF!,8,FALSE)-1</f>
        <v>#REF!</v>
      </c>
      <c r="Q191" s="229" t="e">
        <f>VLOOKUP("reino unido",#REF!,8,FALSE)</f>
        <v>#REF!</v>
      </c>
    </row>
    <row r="192" spans="3:18" ht="24" hidden="1" customHeight="1" x14ac:dyDescent="0.2">
      <c r="C192" s="227" t="s">
        <v>47</v>
      </c>
      <c r="D192" s="228" t="e">
        <f>VLOOKUP("irlanda",#REF!,6,FALSE)/VLOOKUP("irlanda",#REF!,6,FALSE)-1</f>
        <v>#REF!</v>
      </c>
      <c r="E192" s="229" t="e">
        <f>VLOOKUP("irlanda",#REF!,6,FALSE)</f>
        <v>#REF!</v>
      </c>
      <c r="F192" s="228" t="e">
        <f>VLOOKUP("irlanda",#REF!,5,FALSE)/VLOOKUP("irlanda",#REF!,5,FALSE)-1</f>
        <v>#REF!</v>
      </c>
      <c r="G192" s="229" t="e">
        <f>VLOOKUP("irlanda",#REF!,5,FALSE)</f>
        <v>#REF!</v>
      </c>
      <c r="H192" s="228" t="e">
        <f>VLOOKUP("irlanda",#REF!,4,FALSE)/VLOOKUP("irlanda",#REF!,4,FALSE)-1</f>
        <v>#REF!</v>
      </c>
      <c r="I192" s="229" t="e">
        <f>VLOOKUP("irlanda",#REF!,4,FALSE)</f>
        <v>#REF!</v>
      </c>
      <c r="J192" s="228" t="e">
        <f>VLOOKUP("irlanda",#REF!,3,FALSE)/VLOOKUP("irlanda",#REF!,3,FALSE)-1</f>
        <v>#REF!</v>
      </c>
      <c r="K192" s="229" t="e">
        <f>VLOOKUP("irlanda",#REF!,3,FALSE)</f>
        <v>#REF!</v>
      </c>
      <c r="L192" s="228" t="e">
        <f>VLOOKUP("irlanda",#REF!,2,FALSE)/VLOOKUP("irlanda",#REF!,2,FALSE)-1</f>
        <v>#REF!</v>
      </c>
      <c r="M192" s="229" t="e">
        <f>VLOOKUP("irlanda",#REF!,2,FALSE)</f>
        <v>#REF!</v>
      </c>
      <c r="N192" s="228" t="e">
        <f>VLOOKUP("irlanda",#REF!,7,FALSE)/VLOOKUP("irlanda",#REF!,7,FALSE)-1</f>
        <v>#REF!</v>
      </c>
      <c r="O192" s="229" t="e">
        <f>VLOOKUP("irlanda",#REF!,7,FALSE)</f>
        <v>#REF!</v>
      </c>
      <c r="P192" s="228" t="e">
        <f>VLOOKUP("irlanda",#REF!,8,FALSE)/VLOOKUP("irlanda",#REF!,8,FALSE)-1</f>
        <v>#REF!</v>
      </c>
      <c r="Q192" s="229" t="e">
        <f>VLOOKUP("irlanda",#REF!,8,FALSE)</f>
        <v>#REF!</v>
      </c>
    </row>
    <row r="193" spans="3:17" ht="24" hidden="1" customHeight="1" x14ac:dyDescent="0.2">
      <c r="C193" s="227" t="s">
        <v>48</v>
      </c>
      <c r="D193" s="228" t="e">
        <f>VLOOKUP("italia",#REF!,6,FALSE)/VLOOKUP("italia",#REF!,6,FALSE)-1</f>
        <v>#REF!</v>
      </c>
      <c r="E193" s="229" t="e">
        <f>VLOOKUP("italia",#REF!,6,FALSE)</f>
        <v>#REF!</v>
      </c>
      <c r="F193" s="228" t="e">
        <f>VLOOKUP("italia",#REF!,5,FALSE)/VLOOKUP("italia",#REF!,5,FALSE)-1</f>
        <v>#REF!</v>
      </c>
      <c r="G193" s="229" t="e">
        <f>VLOOKUP("italia",#REF!,5,FALSE)</f>
        <v>#REF!</v>
      </c>
      <c r="H193" s="228" t="e">
        <f>VLOOKUP("italia",#REF!,4,FALSE)/VLOOKUP("italia",#REF!,4,FALSE)-1</f>
        <v>#REF!</v>
      </c>
      <c r="I193" s="229" t="e">
        <f>VLOOKUP("italia",#REF!,4,FALSE)</f>
        <v>#REF!</v>
      </c>
      <c r="J193" s="228" t="e">
        <f>VLOOKUP("italia",#REF!,3,FALSE)/VLOOKUP("italia",#REF!,3,FALSE)-1</f>
        <v>#REF!</v>
      </c>
      <c r="K193" s="229" t="e">
        <f>VLOOKUP("italia",#REF!,3,FALSE)</f>
        <v>#REF!</v>
      </c>
      <c r="L193" s="228" t="e">
        <f>VLOOKUP("italia",#REF!,2,FALSE)/VLOOKUP("italia",#REF!,2,FALSE)-1</f>
        <v>#REF!</v>
      </c>
      <c r="M193" s="229" t="e">
        <f>VLOOKUP("italia",#REF!,2,FALSE)</f>
        <v>#REF!</v>
      </c>
      <c r="N193" s="228" t="e">
        <f>VLOOKUP("italia",#REF!,7,FALSE)/VLOOKUP("italia",#REF!,7,FALSE)-1</f>
        <v>#REF!</v>
      </c>
      <c r="O193" s="229" t="e">
        <f>VLOOKUP("italia",#REF!,7,FALSE)</f>
        <v>#REF!</v>
      </c>
      <c r="P193" s="228" t="e">
        <f>VLOOKUP("italia",#REF!,8,FALSE)/VLOOKUP("italia",#REF!,8,FALSE)-1</f>
        <v>#REF!</v>
      </c>
      <c r="Q193" s="229" t="e">
        <f>VLOOKUP("italia",#REF!,8,FALSE)</f>
        <v>#REF!</v>
      </c>
    </row>
    <row r="194" spans="3:17" ht="24" hidden="1" customHeight="1" x14ac:dyDescent="0.2">
      <c r="C194" s="227" t="s">
        <v>49</v>
      </c>
      <c r="D194" s="228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4" s="229" t="e">
        <f>(VLOOKUP("suecia",#REF!,6,FALSE)+VLOOKUP("noruega",#REF!,6,FALSE)+VLOOKUP("dinamarca",#REF!,6,FALSE)+VLOOKUP("finlandia",#REF!,6,FALSE))</f>
        <v>#REF!</v>
      </c>
      <c r="F194" s="228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4" s="229" t="e">
        <f>(VLOOKUP("suecia",#REF!,5,FALSE)+VLOOKUP("noruega",#REF!,5,FALSE)+VLOOKUP("dinamarca",#REF!,5,FALSE)+VLOOKUP("finlandia",#REF!,5,FALSE))</f>
        <v>#REF!</v>
      </c>
      <c r="H194" s="228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4" s="229" t="e">
        <f>(VLOOKUP("suecia",#REF!,4,FALSE)+VLOOKUP("noruega",#REF!,4,FALSE)+VLOOKUP("dinamarca",#REF!,4,FALSE)+VLOOKUP("finlandia",#REF!,4,FALSE))</f>
        <v>#REF!</v>
      </c>
      <c r="J194" s="228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4" s="229" t="e">
        <f>(VLOOKUP("suecia",#REF!,3,FALSE)+VLOOKUP("noruega",#REF!,3,FALSE)+VLOOKUP("dinamarca",#REF!,3,FALSE)+VLOOKUP("finlandia",#REF!,3,FALSE))</f>
        <v>#REF!</v>
      </c>
      <c r="L194" s="228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4" s="229" t="e">
        <f>(VLOOKUP("suecia",#REF!,2,FALSE)+VLOOKUP("noruega",#REF!,2,FALSE)+VLOOKUP("dinamarca",#REF!,2,FALSE)+VLOOKUP("finlandia",#REF!,2,FALSE))</f>
        <v>#REF!</v>
      </c>
      <c r="N194" s="228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4" s="229" t="e">
        <f>(VLOOKUP("suecia",#REF!,7,FALSE)+VLOOKUP("noruega",#REF!,7,FALSE)+VLOOKUP("dinamarca",#REF!,7,FALSE)+VLOOKUP("finlandia",#REF!,7,FALSE))</f>
        <v>#REF!</v>
      </c>
      <c r="P194" s="228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4" s="229" t="e">
        <f>(VLOOKUP("suecia",#REF!,8,FALSE)+VLOOKUP("noruega",#REF!,8,FALSE)+VLOOKUP("dinamarca",#REF!,8,FALSE)+VLOOKUP("finlandia",#REF!,8,FALSE))</f>
        <v>#REF!</v>
      </c>
    </row>
    <row r="195" spans="3:17" ht="24" hidden="1" customHeight="1" x14ac:dyDescent="0.2">
      <c r="C195" s="230" t="s">
        <v>50</v>
      </c>
      <c r="D195" s="228" t="e">
        <f>VLOOKUP("suecia",#REF!,6,FALSE)/VLOOKUP("suecia",#REF!,6,FALSE)-1</f>
        <v>#REF!</v>
      </c>
      <c r="E195" s="229" t="e">
        <f>VLOOKUP("suecia",#REF!,6,FALSE)</f>
        <v>#REF!</v>
      </c>
      <c r="F195" s="228" t="e">
        <f>VLOOKUP("suecia",#REF!,5,FALSE)/VLOOKUP("suecia",#REF!,5,FALSE)-1</f>
        <v>#REF!</v>
      </c>
      <c r="G195" s="229" t="e">
        <f>VLOOKUP("suecia",#REF!,5,FALSE)</f>
        <v>#REF!</v>
      </c>
      <c r="H195" s="228" t="e">
        <f>VLOOKUP("suecia",#REF!,4,FALSE)/VLOOKUP("suecia",#REF!,4,FALSE)-1</f>
        <v>#REF!</v>
      </c>
      <c r="I195" s="229" t="e">
        <f>VLOOKUP("suecia",#REF!,4,FALSE)</f>
        <v>#REF!</v>
      </c>
      <c r="J195" s="228" t="e">
        <f>VLOOKUP("suecia",#REF!,3,FALSE)/VLOOKUP("suecia",#REF!,3,FALSE)-1</f>
        <v>#REF!</v>
      </c>
      <c r="K195" s="229" t="e">
        <f>VLOOKUP("suecia",#REF!,3,FALSE)</f>
        <v>#REF!</v>
      </c>
      <c r="L195" s="228" t="e">
        <f>VLOOKUP("suecia",#REF!,2,FALSE)/VLOOKUP("suecia",#REF!,2,FALSE)-1</f>
        <v>#REF!</v>
      </c>
      <c r="M195" s="229" t="e">
        <f>VLOOKUP("suecia",#REF!,2,FALSE)</f>
        <v>#REF!</v>
      </c>
      <c r="N195" s="228" t="e">
        <f>VLOOKUP("suecia",#REF!,7,FALSE)/VLOOKUP("suecia",#REF!,7,FALSE)-1</f>
        <v>#REF!</v>
      </c>
      <c r="O195" s="229" t="e">
        <f>VLOOKUP("suecia",#REF!,7,FALSE)</f>
        <v>#REF!</v>
      </c>
      <c r="P195" s="228" t="e">
        <f>VLOOKUP("suecia",#REF!,8,FALSE)/VLOOKUP("suecia",#REF!,8,FALSE)-1</f>
        <v>#REF!</v>
      </c>
      <c r="Q195" s="229" t="e">
        <f>VLOOKUP("suecia",#REF!,8,FALSE)</f>
        <v>#REF!</v>
      </c>
    </row>
    <row r="196" spans="3:17" ht="24" hidden="1" customHeight="1" x14ac:dyDescent="0.2">
      <c r="C196" s="230" t="s">
        <v>51</v>
      </c>
      <c r="D196" s="228" t="e">
        <f>VLOOKUP("noruega",#REF!,6,FALSE)/VLOOKUP("noruega",#REF!,6,FALSE)-1</f>
        <v>#REF!</v>
      </c>
      <c r="E196" s="229" t="e">
        <f>VLOOKUP("noruega",#REF!,6,FALSE)</f>
        <v>#REF!</v>
      </c>
      <c r="F196" s="228" t="e">
        <f>VLOOKUP("noruega",#REF!,5,FALSE)/VLOOKUP("noruega",#REF!,5,FALSE)-1</f>
        <v>#REF!</v>
      </c>
      <c r="G196" s="229" t="e">
        <f>VLOOKUP("noruega",#REF!,5,FALSE)</f>
        <v>#REF!</v>
      </c>
      <c r="H196" s="228" t="e">
        <f>VLOOKUP("noruega",#REF!,4,FALSE)/VLOOKUP("noruega",#REF!,4,FALSE)-1</f>
        <v>#REF!</v>
      </c>
      <c r="I196" s="229" t="e">
        <f>VLOOKUP("noruega",#REF!,4,FALSE)</f>
        <v>#REF!</v>
      </c>
      <c r="J196" s="228" t="e">
        <f>VLOOKUP("noruega",#REF!,3,FALSE)/VLOOKUP("noruega",#REF!,3,FALSE)-1</f>
        <v>#REF!</v>
      </c>
      <c r="K196" s="229" t="e">
        <f>VLOOKUP("noruega",#REF!,3,FALSE)</f>
        <v>#REF!</v>
      </c>
      <c r="L196" s="228" t="e">
        <f>VLOOKUP("noruega",#REF!,2,FALSE)/VLOOKUP("noruega",#REF!,2,FALSE)-1</f>
        <v>#REF!</v>
      </c>
      <c r="M196" s="229" t="e">
        <f>VLOOKUP("noruega",#REF!,2,FALSE)</f>
        <v>#REF!</v>
      </c>
      <c r="N196" s="228" t="e">
        <f>VLOOKUP("noruega",#REF!,7,FALSE)/VLOOKUP("noruega",#REF!,7,FALSE)-1</f>
        <v>#REF!</v>
      </c>
      <c r="O196" s="229" t="e">
        <f>VLOOKUP("noruega",#REF!,7,FALSE)</f>
        <v>#REF!</v>
      </c>
      <c r="P196" s="228" t="e">
        <f>VLOOKUP("noruega",#REF!,8,FALSE)/VLOOKUP("noruega",#REF!,8,FALSE)-1</f>
        <v>#REF!</v>
      </c>
      <c r="Q196" s="229" t="e">
        <f>VLOOKUP("noruega",#REF!,8,FALSE)</f>
        <v>#REF!</v>
      </c>
    </row>
    <row r="197" spans="3:17" ht="24" hidden="1" customHeight="1" x14ac:dyDescent="0.2">
      <c r="C197" s="230" t="s">
        <v>52</v>
      </c>
      <c r="D197" s="228" t="e">
        <f>VLOOKUP("dinamarca",#REF!,6,FALSE)/VLOOKUP("dinamarca",#REF!,6,FALSE)-1</f>
        <v>#REF!</v>
      </c>
      <c r="E197" s="229" t="e">
        <f>VLOOKUP("dinamarca",#REF!,6,FALSE)</f>
        <v>#REF!</v>
      </c>
      <c r="F197" s="228" t="e">
        <f>VLOOKUP("dinamarca",#REF!,5,FALSE)/VLOOKUP("dinamarca",#REF!,5,FALSE)-1</f>
        <v>#REF!</v>
      </c>
      <c r="G197" s="229" t="e">
        <f>VLOOKUP("dinamarca",#REF!,5,FALSE)</f>
        <v>#REF!</v>
      </c>
      <c r="H197" s="228" t="e">
        <f>VLOOKUP("dinamarca",#REF!,4,FALSE)/VLOOKUP("dinamarca",#REF!,4,FALSE)-1</f>
        <v>#REF!</v>
      </c>
      <c r="I197" s="229" t="e">
        <f>VLOOKUP("dinamarca",#REF!,4,FALSE)</f>
        <v>#REF!</v>
      </c>
      <c r="J197" s="228" t="e">
        <f>VLOOKUP("dinamarca",#REF!,3,FALSE)/VLOOKUP("dinamarca",#REF!,3,FALSE)-1</f>
        <v>#REF!</v>
      </c>
      <c r="K197" s="229" t="e">
        <f>VLOOKUP("dinamarca",#REF!,3,FALSE)</f>
        <v>#REF!</v>
      </c>
      <c r="L197" s="228" t="e">
        <f>VLOOKUP("dinamarca",#REF!,2,FALSE)/VLOOKUP("dinamarca",#REF!,2,FALSE)-1</f>
        <v>#REF!</v>
      </c>
      <c r="M197" s="229" t="e">
        <f>VLOOKUP("dinamarca",#REF!,2,FALSE)</f>
        <v>#REF!</v>
      </c>
      <c r="N197" s="228" t="e">
        <f>VLOOKUP("dinamarca",#REF!,7,FALSE)/VLOOKUP("dinamarca",#REF!,7,FALSE)-1</f>
        <v>#REF!</v>
      </c>
      <c r="O197" s="229" t="e">
        <f>VLOOKUP("dinamarca",#REF!,7,FALSE)</f>
        <v>#REF!</v>
      </c>
      <c r="P197" s="228" t="e">
        <f>VLOOKUP("dinamarca",#REF!,8,FALSE)/VLOOKUP("dinamarca",#REF!,8,FALSE)-1</f>
        <v>#REF!</v>
      </c>
      <c r="Q197" s="229" t="e">
        <f>VLOOKUP("dinamarca",#REF!,8,FALSE)</f>
        <v>#REF!</v>
      </c>
    </row>
    <row r="198" spans="3:17" ht="24" hidden="1" customHeight="1" x14ac:dyDescent="0.2">
      <c r="C198" s="230" t="s">
        <v>53</v>
      </c>
      <c r="D198" s="228" t="s">
        <v>39</v>
      </c>
      <c r="E198" s="229" t="e">
        <f>VLOOKUP("finlandia",#REF!,6,FALSE)</f>
        <v>#REF!</v>
      </c>
      <c r="F198" s="228" t="e">
        <f>VLOOKUP("finlandia",#REF!,5,FALSE)/VLOOKUP("finlandia",#REF!,5,FALSE)-1</f>
        <v>#REF!</v>
      </c>
      <c r="G198" s="229" t="e">
        <f>VLOOKUP("finlandia",#REF!,5,FALSE)</f>
        <v>#REF!</v>
      </c>
      <c r="H198" s="228" t="e">
        <f>VLOOKUP("finlandia",#REF!,4,FALSE)/VLOOKUP("finlandia",#REF!,4,FALSE)-1</f>
        <v>#REF!</v>
      </c>
      <c r="I198" s="229" t="e">
        <f>VLOOKUP("finlandia",#REF!,4,FALSE)</f>
        <v>#REF!</v>
      </c>
      <c r="J198" s="228" t="e">
        <f>VLOOKUP("finlandia",#REF!,3,FALSE)/VLOOKUP("finlandia",#REF!,3,FALSE)-1</f>
        <v>#REF!</v>
      </c>
      <c r="K198" s="229" t="e">
        <f>VLOOKUP("finlandia",#REF!,3,FALSE)</f>
        <v>#REF!</v>
      </c>
      <c r="L198" s="228" t="s">
        <v>39</v>
      </c>
      <c r="M198" s="229" t="e">
        <f>VLOOKUP("finlandia",#REF!,2,FALSE)</f>
        <v>#REF!</v>
      </c>
      <c r="N198" s="228" t="e">
        <f>VLOOKUP("finlandia",#REF!,7,FALSE)/VLOOKUP("finlandia",#REF!,7,FALSE)-1</f>
        <v>#REF!</v>
      </c>
      <c r="O198" s="229" t="e">
        <f>VLOOKUP("finlandia",#REF!,7,FALSE)</f>
        <v>#REF!</v>
      </c>
      <c r="P198" s="228" t="e">
        <f>VLOOKUP("finlandia",#REF!,8,FALSE)/VLOOKUP("finlandia",#REF!,8,FALSE)-1</f>
        <v>#REF!</v>
      </c>
      <c r="Q198" s="229" t="e">
        <f>VLOOKUP("finlandia",#REF!,8,FALSE)</f>
        <v>#REF!</v>
      </c>
    </row>
    <row r="199" spans="3:17" ht="24" hidden="1" customHeight="1" x14ac:dyDescent="0.2">
      <c r="C199" s="227" t="s">
        <v>54</v>
      </c>
      <c r="D199" s="228" t="e">
        <f>VLOOKUP("suiza",#REF!,6,FALSE)/VLOOKUP("suiza",#REF!,6,FALSE)-1</f>
        <v>#REF!</v>
      </c>
      <c r="E199" s="229" t="e">
        <f>VLOOKUP("suiza",#REF!,6,FALSE)</f>
        <v>#REF!</v>
      </c>
      <c r="F199" s="228" t="e">
        <f>VLOOKUP("suiza",#REF!,5,FALSE)/VLOOKUP("suiza",#REF!,5,FALSE)-1</f>
        <v>#REF!</v>
      </c>
      <c r="G199" s="229" t="e">
        <f>VLOOKUP("suiza",#REF!,5,FALSE)</f>
        <v>#REF!</v>
      </c>
      <c r="H199" s="228" t="e">
        <f>VLOOKUP("suiza",#REF!,4,FALSE)/VLOOKUP("suiza",#REF!,4,FALSE)-1</f>
        <v>#REF!</v>
      </c>
      <c r="I199" s="229" t="e">
        <f>VLOOKUP("suiza",#REF!,4,FALSE)</f>
        <v>#REF!</v>
      </c>
      <c r="J199" s="228" t="e">
        <f>VLOOKUP("suiza",#REF!,3,FALSE)/VLOOKUP("suiza",#REF!,3,FALSE)-1</f>
        <v>#REF!</v>
      </c>
      <c r="K199" s="229" t="e">
        <f>VLOOKUP("suiza",#REF!,3,FALSE)</f>
        <v>#REF!</v>
      </c>
      <c r="L199" s="228" t="e">
        <f>VLOOKUP("suiza",#REF!,2,FALSE)/VLOOKUP("suiza",#REF!,2,FALSE)-1</f>
        <v>#REF!</v>
      </c>
      <c r="M199" s="229" t="e">
        <f>VLOOKUP("suiza",#REF!,2,FALSE)</f>
        <v>#REF!</v>
      </c>
      <c r="N199" s="228" t="e">
        <f>VLOOKUP("suiza",#REF!,7,FALSE)/VLOOKUP("suiza",#REF!,7,FALSE)-1</f>
        <v>#REF!</v>
      </c>
      <c r="O199" s="229" t="e">
        <f>VLOOKUP("suiza",#REF!,7,FALSE)</f>
        <v>#REF!</v>
      </c>
      <c r="P199" s="228" t="e">
        <f>VLOOKUP("suiza",#REF!,8,FALSE)/VLOOKUP("suiza",#REF!,8,FALSE)-1</f>
        <v>#REF!</v>
      </c>
      <c r="Q199" s="229" t="e">
        <f>VLOOKUP("suiza",#REF!,8,FALSE)</f>
        <v>#REF!</v>
      </c>
    </row>
    <row r="200" spans="3:17" ht="24" hidden="1" customHeight="1" x14ac:dyDescent="0.2">
      <c r="C200" s="227" t="s">
        <v>55</v>
      </c>
      <c r="D200" s="228" t="e">
        <f>VLOOKUP("austria",#REF!,6,FALSE)/VLOOKUP("austria",#REF!,6,FALSE)-1</f>
        <v>#REF!</v>
      </c>
      <c r="E200" s="229" t="e">
        <f>VLOOKUP("austria",#REF!,6,FALSE)</f>
        <v>#REF!</v>
      </c>
      <c r="F200" s="228" t="e">
        <f>VLOOKUP("austria",#REF!,5,FALSE)/VLOOKUP("austria",#REF!,5,FALSE)-1</f>
        <v>#REF!</v>
      </c>
      <c r="G200" s="229" t="e">
        <f>VLOOKUP("austria",#REF!,5,FALSE)</f>
        <v>#REF!</v>
      </c>
      <c r="H200" s="228" t="e">
        <f>VLOOKUP("austria",#REF!,4,FALSE)/VLOOKUP("austria",#REF!,4,FALSE)-1</f>
        <v>#REF!</v>
      </c>
      <c r="I200" s="229" t="e">
        <f>VLOOKUP("austria",#REF!,4,FALSE)</f>
        <v>#REF!</v>
      </c>
      <c r="J200" s="228" t="e">
        <f>VLOOKUP("austria",#REF!,3,FALSE)/VLOOKUP("austria",#REF!,3,FALSE)-1</f>
        <v>#REF!</v>
      </c>
      <c r="K200" s="229" t="e">
        <f>VLOOKUP("austria",#REF!,3,FALSE)</f>
        <v>#REF!</v>
      </c>
      <c r="L200" s="228" t="e">
        <f>VLOOKUP("austria",#REF!,2,FALSE)/VLOOKUP("austria",#REF!,2,FALSE)-1</f>
        <v>#REF!</v>
      </c>
      <c r="M200" s="229" t="e">
        <f>VLOOKUP("austria",#REF!,2,FALSE)</f>
        <v>#REF!</v>
      </c>
      <c r="N200" s="228" t="e">
        <f>VLOOKUP("austria",#REF!,7,FALSE)/VLOOKUP("austria",#REF!,7,FALSE)-1</f>
        <v>#REF!</v>
      </c>
      <c r="O200" s="229" t="e">
        <f>VLOOKUP("austria",#REF!,7,FALSE)</f>
        <v>#REF!</v>
      </c>
      <c r="P200" s="228" t="e">
        <f>VLOOKUP("austria",#REF!,8,FALSE)/VLOOKUP("austria",#REF!,8,FALSE)-1</f>
        <v>#REF!</v>
      </c>
      <c r="Q200" s="229" t="e">
        <f>VLOOKUP("austria",#REF!,8,FALSE)</f>
        <v>#REF!</v>
      </c>
    </row>
    <row r="201" spans="3:17" ht="24" hidden="1" customHeight="1" x14ac:dyDescent="0.2">
      <c r="C201" s="227" t="s">
        <v>56</v>
      </c>
      <c r="D201" s="228" t="e">
        <f>VLOOKUP("rusia",#REF!,6,FALSE)/VLOOKUP("rusia",#REF!,6,FALSE)-1</f>
        <v>#REF!</v>
      </c>
      <c r="E201" s="229" t="e">
        <f>VLOOKUP("rusia",#REF!,6,FALSE)</f>
        <v>#REF!</v>
      </c>
      <c r="F201" s="228" t="e">
        <f>VLOOKUP("rusia",#REF!,5,FALSE)/VLOOKUP("rusia",#REF!,5,FALSE)-1</f>
        <v>#REF!</v>
      </c>
      <c r="G201" s="229" t="e">
        <f>VLOOKUP("rusia",#REF!,5,FALSE)</f>
        <v>#REF!</v>
      </c>
      <c r="H201" s="228" t="e">
        <f>VLOOKUP("rusia",#REF!,4,FALSE)/VLOOKUP("rusia",#REF!,4,FALSE)-1</f>
        <v>#REF!</v>
      </c>
      <c r="I201" s="229" t="e">
        <f>VLOOKUP("rusia",#REF!,4,FALSE)</f>
        <v>#REF!</v>
      </c>
      <c r="J201" s="228" t="e">
        <f>VLOOKUP("rusia",#REF!,3,FALSE)/VLOOKUP("rusia",#REF!,3,FALSE)-1</f>
        <v>#REF!</v>
      </c>
      <c r="K201" s="229" t="e">
        <f>VLOOKUP("rusia",#REF!,3,FALSE)</f>
        <v>#REF!</v>
      </c>
      <c r="L201" s="228" t="e">
        <f>VLOOKUP("rusia",#REF!,2,FALSE)/VLOOKUP("rusia",#REF!,2,FALSE)-1</f>
        <v>#REF!</v>
      </c>
      <c r="M201" s="229" t="e">
        <f>VLOOKUP("rusia",#REF!,2,FALSE)</f>
        <v>#REF!</v>
      </c>
      <c r="N201" s="228" t="e">
        <f>VLOOKUP("rusia",#REF!,7,FALSE)/VLOOKUP("rusia",#REF!,7,FALSE)-1</f>
        <v>#REF!</v>
      </c>
      <c r="O201" s="229" t="e">
        <f>VLOOKUP("rusia",#REF!,7,FALSE)</f>
        <v>#REF!</v>
      </c>
      <c r="P201" s="228" t="e">
        <f>VLOOKUP("rusia",#REF!,8,FALSE)/VLOOKUP("rusia",#REF!,8,FALSE)-1</f>
        <v>#REF!</v>
      </c>
      <c r="Q201" s="229" t="e">
        <f>VLOOKUP("rusia",#REF!,8,FALSE)</f>
        <v>#REF!</v>
      </c>
    </row>
    <row r="202" spans="3:17" ht="24" hidden="1" customHeight="1" x14ac:dyDescent="0.2">
      <c r="C202" s="227" t="s">
        <v>57</v>
      </c>
      <c r="D202" s="228" t="e">
        <f>VLOOKUP("paises del este",#REF!,6,FALSE)/VLOOKUP("paises del este",#REF!,6,FALSE)-1</f>
        <v>#REF!</v>
      </c>
      <c r="E202" s="229" t="e">
        <f>VLOOKUP("paises del este",#REF!,6,FALSE)</f>
        <v>#REF!</v>
      </c>
      <c r="F202" s="228" t="e">
        <f>VLOOKUP("paises del este",#REF!,5,FALSE)/VLOOKUP("paises del este",#REF!,5,FALSE)-1</f>
        <v>#REF!</v>
      </c>
      <c r="G202" s="229" t="e">
        <f>VLOOKUP("paises del este",#REF!,5,FALSE)</f>
        <v>#REF!</v>
      </c>
      <c r="H202" s="228" t="e">
        <f>VLOOKUP("paises del este",#REF!,4,FALSE)/VLOOKUP("paises del este",#REF!,4,FALSE)-1</f>
        <v>#REF!</v>
      </c>
      <c r="I202" s="229" t="e">
        <f>VLOOKUP("paises del este",#REF!,4,FALSE)</f>
        <v>#REF!</v>
      </c>
      <c r="J202" s="228" t="e">
        <f>VLOOKUP("paises del este",#REF!,3,FALSE)/VLOOKUP("paises del este",#REF!,3,FALSE)-1</f>
        <v>#REF!</v>
      </c>
      <c r="K202" s="229" t="e">
        <f>VLOOKUP("paises del este",#REF!,3,FALSE)</f>
        <v>#REF!</v>
      </c>
      <c r="L202" s="228" t="e">
        <f>VLOOKUP("paises del este",#REF!,2,FALSE)/VLOOKUP("paises del este",#REF!,2,FALSE)-1</f>
        <v>#REF!</v>
      </c>
      <c r="M202" s="229" t="e">
        <f>VLOOKUP("paises del este",#REF!,2,FALSE)</f>
        <v>#REF!</v>
      </c>
      <c r="N202" s="228" t="e">
        <f>VLOOKUP("paises del este",#REF!,7,FALSE)/VLOOKUP("paises del este",#REF!,7,FALSE)-1</f>
        <v>#REF!</v>
      </c>
      <c r="O202" s="229" t="e">
        <f>VLOOKUP("paises del este",#REF!,7,FALSE)</f>
        <v>#REF!</v>
      </c>
      <c r="P202" s="228" t="e">
        <f>VLOOKUP("paises del este",#REF!,8,FALSE)/VLOOKUP("paises del este",#REF!,8,FALSE)-1</f>
        <v>#REF!</v>
      </c>
      <c r="Q202" s="229" t="e">
        <f>VLOOKUP("paises del este",#REF!,8,FALSE)</f>
        <v>#REF!</v>
      </c>
    </row>
    <row r="203" spans="3:17" ht="24" hidden="1" customHeight="1" x14ac:dyDescent="0.2">
      <c r="C203" s="227" t="s">
        <v>58</v>
      </c>
      <c r="D203" s="228" t="e">
        <f>VLOOKUP("resto de europa",#REF!,6,FALSE)/VLOOKUP("resto de europa",#REF!,6,FALSE)-1</f>
        <v>#REF!</v>
      </c>
      <c r="E203" s="229" t="e">
        <f>VLOOKUP("resto de europa",#REF!,6,FALSE)</f>
        <v>#REF!</v>
      </c>
      <c r="F203" s="228" t="e">
        <f>VLOOKUP("resto de europa",#REF!,5,FALSE)/VLOOKUP("resto de europa",#REF!,5,FALSE)-1</f>
        <v>#REF!</v>
      </c>
      <c r="G203" s="229" t="e">
        <f>VLOOKUP("resto de europa",#REF!,5,FALSE)</f>
        <v>#REF!</v>
      </c>
      <c r="H203" s="228" t="e">
        <f>VLOOKUP("resto de europa",#REF!,4,FALSE)/VLOOKUP("resto de europa",#REF!,4,FALSE)-1</f>
        <v>#REF!</v>
      </c>
      <c r="I203" s="229" t="e">
        <f>VLOOKUP("resto de europa",#REF!,4,FALSE)</f>
        <v>#REF!</v>
      </c>
      <c r="J203" s="228" t="e">
        <f>VLOOKUP("resto de europa",#REF!,3,FALSE)/VLOOKUP("resto de europa",#REF!,3,FALSE)-1</f>
        <v>#REF!</v>
      </c>
      <c r="K203" s="229" t="e">
        <f>VLOOKUP("resto de europa",#REF!,3,FALSE)</f>
        <v>#REF!</v>
      </c>
      <c r="L203" s="228" t="e">
        <f>VLOOKUP("resto de europa",#REF!,2,FALSE)/VLOOKUP("resto de europa",#REF!,2,FALSE)-1</f>
        <v>#REF!</v>
      </c>
      <c r="M203" s="229" t="e">
        <f>VLOOKUP("resto de europa",#REF!,2,FALSE)</f>
        <v>#REF!</v>
      </c>
      <c r="N203" s="228" t="e">
        <f>VLOOKUP("resto de europa",#REF!,7,FALSE)/VLOOKUP("resto de europa",#REF!,7,FALSE)-1</f>
        <v>#REF!</v>
      </c>
      <c r="O203" s="229" t="e">
        <f>VLOOKUP("resto de europa",#REF!,7,FALSE)</f>
        <v>#REF!</v>
      </c>
      <c r="P203" s="228" t="e">
        <f>VLOOKUP("resto de europa",#REF!,8,FALSE)/VLOOKUP("resto de europa",#REF!,8,FALSE)-1</f>
        <v>#REF!</v>
      </c>
      <c r="Q203" s="229" t="e">
        <f>VLOOKUP("resto de europa",#REF!,8,FALSE)</f>
        <v>#REF!</v>
      </c>
    </row>
    <row r="204" spans="3:17" ht="24" hidden="1" customHeight="1" x14ac:dyDescent="0.2">
      <c r="C204" s="227" t="s">
        <v>59</v>
      </c>
      <c r="D204" s="228" t="e">
        <f>VLOOKUP("usa",#REF!,6,FALSE)/VLOOKUP("usa",#REF!,6,FALSE)-1</f>
        <v>#REF!</v>
      </c>
      <c r="E204" s="229" t="e">
        <f>VLOOKUP("usa",#REF!,6,FALSE)</f>
        <v>#REF!</v>
      </c>
      <c r="F204" s="228" t="e">
        <f>VLOOKUP("usa",#REF!,5,FALSE)/VLOOKUP("usa",#REF!,5,FALSE)-1</f>
        <v>#REF!</v>
      </c>
      <c r="G204" s="229" t="e">
        <f>VLOOKUP("usa",#REF!,5,FALSE)</f>
        <v>#REF!</v>
      </c>
      <c r="H204" s="228" t="e">
        <f>VLOOKUP("usa",#REF!,4,FALSE)/VLOOKUP("usa",#REF!,4,FALSE)-1</f>
        <v>#REF!</v>
      </c>
      <c r="I204" s="229" t="e">
        <f>VLOOKUP("usa",#REF!,4,FALSE)</f>
        <v>#REF!</v>
      </c>
      <c r="J204" s="228" t="e">
        <f>VLOOKUP("usa",#REF!,3,FALSE)/VLOOKUP("usa",#REF!,3,FALSE)-1</f>
        <v>#REF!</v>
      </c>
      <c r="K204" s="229" t="e">
        <f>VLOOKUP("usa",#REF!,3,FALSE)</f>
        <v>#REF!</v>
      </c>
      <c r="L204" s="228" t="e">
        <f>VLOOKUP("usa",#REF!,2,FALSE)/VLOOKUP("usa",#REF!,2,FALSE)-1</f>
        <v>#REF!</v>
      </c>
      <c r="M204" s="229" t="e">
        <f>VLOOKUP("usa",#REF!,2,FALSE)</f>
        <v>#REF!</v>
      </c>
      <c r="N204" s="228" t="e">
        <f>VLOOKUP("usa",#REF!,7,FALSE)/VLOOKUP("usa",#REF!,7,FALSE)-1</f>
        <v>#REF!</v>
      </c>
      <c r="O204" s="229" t="e">
        <f>VLOOKUP("usa",#REF!,7,FALSE)</f>
        <v>#REF!</v>
      </c>
      <c r="P204" s="228" t="e">
        <f>VLOOKUP("usa",#REF!,8,FALSE)/VLOOKUP("usa",#REF!,8,FALSE)-1</f>
        <v>#REF!</v>
      </c>
      <c r="Q204" s="229" t="e">
        <f>VLOOKUP("usa",#REF!,8,FALSE)</f>
        <v>#REF!</v>
      </c>
    </row>
    <row r="205" spans="3:17" ht="24" hidden="1" customHeight="1" x14ac:dyDescent="0.2">
      <c r="C205" s="227" t="s">
        <v>60</v>
      </c>
      <c r="D205" s="228" t="e">
        <f>VLOOKUP("resto de america",#REF!,6,FALSE)/VLOOKUP("resto de america",#REF!,6,FALSE)-1</f>
        <v>#REF!</v>
      </c>
      <c r="E205" s="229" t="e">
        <f>VLOOKUP("resto de america",#REF!,6,FALSE)</f>
        <v>#REF!</v>
      </c>
      <c r="F205" s="228" t="e">
        <f>VLOOKUP("resto de america",#REF!,5,FALSE)/VLOOKUP("resto de america",#REF!,5,FALSE)-1</f>
        <v>#REF!</v>
      </c>
      <c r="G205" s="229" t="e">
        <f>VLOOKUP("resto de america",#REF!,5,FALSE)</f>
        <v>#REF!</v>
      </c>
      <c r="H205" s="228" t="e">
        <f>VLOOKUP("resto de america",#REF!,4,FALSE)/VLOOKUP("resto de america",#REF!,4,FALSE)-1</f>
        <v>#REF!</v>
      </c>
      <c r="I205" s="229" t="e">
        <f>VLOOKUP("resto de america",#REF!,4,FALSE)</f>
        <v>#REF!</v>
      </c>
      <c r="J205" s="228" t="e">
        <f>VLOOKUP("resto de america",#REF!,3,FALSE)/VLOOKUP("resto de america",#REF!,3,FALSE)-1</f>
        <v>#REF!</v>
      </c>
      <c r="K205" s="229" t="e">
        <f>VLOOKUP("resto de america",#REF!,3,FALSE)</f>
        <v>#REF!</v>
      </c>
      <c r="L205" s="228" t="e">
        <f>VLOOKUP("resto de america",#REF!,2,FALSE)/VLOOKUP("resto de america",#REF!,2,FALSE)-1</f>
        <v>#REF!</v>
      </c>
      <c r="M205" s="229" t="e">
        <f>VLOOKUP("resto de america",#REF!,2,FALSE)</f>
        <v>#REF!</v>
      </c>
      <c r="N205" s="228" t="e">
        <f>VLOOKUP("resto de america",#REF!,7,FALSE)/VLOOKUP("resto de america",#REF!,7,FALSE)-1</f>
        <v>#REF!</v>
      </c>
      <c r="O205" s="229" t="e">
        <f>VLOOKUP("resto de america",#REF!,7,FALSE)</f>
        <v>#REF!</v>
      </c>
      <c r="P205" s="228" t="e">
        <f>VLOOKUP("resto de america",#REF!,8,FALSE)/VLOOKUP("resto de america",#REF!,8,FALSE)-1</f>
        <v>#REF!</v>
      </c>
      <c r="Q205" s="229" t="e">
        <f>VLOOKUP("resto de america",#REF!,8,FALSE)</f>
        <v>#REF!</v>
      </c>
    </row>
    <row r="206" spans="3:17" ht="24" hidden="1" customHeight="1" x14ac:dyDescent="0.2">
      <c r="C206" s="227" t="s">
        <v>61</v>
      </c>
      <c r="D206" s="228" t="e">
        <f>VLOOKUP("resto del mundo",#REF!,6,FALSE)/VLOOKUP("resto del mundo",#REF!,6,FALSE)-1</f>
        <v>#REF!</v>
      </c>
      <c r="E206" s="229" t="e">
        <f>VLOOKUP("resto del mundo",#REF!,6,FALSE)</f>
        <v>#REF!</v>
      </c>
      <c r="F206" s="228" t="e">
        <f>VLOOKUP("resto del mundo",#REF!,5,FALSE)/VLOOKUP("resto del mundo",#REF!,5,FALSE)-1</f>
        <v>#REF!</v>
      </c>
      <c r="G206" s="229" t="e">
        <f>VLOOKUP("resto del mundo",#REF!,5,FALSE)</f>
        <v>#REF!</v>
      </c>
      <c r="H206" s="228" t="e">
        <f>VLOOKUP("resto del mundo",#REF!,4,FALSE)/VLOOKUP("resto del mundo",#REF!,4,FALSE)-1</f>
        <v>#REF!</v>
      </c>
      <c r="I206" s="229" t="e">
        <f>VLOOKUP("resto del mundo",#REF!,4,FALSE)</f>
        <v>#REF!</v>
      </c>
      <c r="J206" s="228" t="e">
        <f>VLOOKUP("resto del mundo",#REF!,3,FALSE)/VLOOKUP("resto del mundo",#REF!,3,FALSE)-1</f>
        <v>#REF!</v>
      </c>
      <c r="K206" s="229" t="e">
        <f>VLOOKUP("resto del mundo",#REF!,3,FALSE)</f>
        <v>#REF!</v>
      </c>
      <c r="L206" s="228" t="e">
        <f>VLOOKUP("resto del mundo",#REF!,2,FALSE)/VLOOKUP("resto del mundo",#REF!,2,FALSE)-1</f>
        <v>#REF!</v>
      </c>
      <c r="M206" s="229" t="e">
        <f>VLOOKUP("resto del mundo",#REF!,2,FALSE)</f>
        <v>#REF!</v>
      </c>
      <c r="N206" s="228" t="e">
        <f>VLOOKUP("resto del mundo",#REF!,7,FALSE)/VLOOKUP("resto del mundo",#REF!,7,FALSE)-1</f>
        <v>#REF!</v>
      </c>
      <c r="O206" s="229" t="e">
        <f>VLOOKUP("resto del mundo",#REF!,7,FALSE)</f>
        <v>#REF!</v>
      </c>
      <c r="P206" s="228" t="e">
        <f>VLOOKUP("resto del mundo",#REF!,8,FALSE)/VLOOKUP("resto del mundo",#REF!,8,FALSE)-1</f>
        <v>#REF!</v>
      </c>
      <c r="Q206" s="229" t="e">
        <f>VLOOKUP("resto del mundo",#REF!,8,FALSE)</f>
        <v>#REF!</v>
      </c>
    </row>
    <row r="207" spans="3:17" ht="24" hidden="1" customHeight="1" x14ac:dyDescent="0.2">
      <c r="C207" s="227" t="s">
        <v>62</v>
      </c>
      <c r="D207" s="228" t="e">
        <f>(VLOOKUP("total",#REF!,6,FALSE)-VLOOKUP("españa",#REF!,6,FALSE))/(VLOOKUP("total",#REF!,6,FALSE)-VLOOKUP("españa",#REF!,6,FALSE))-1</f>
        <v>#REF!</v>
      </c>
      <c r="E207" s="229" t="e">
        <f>VLOOKUP("total",#REF!,6,FALSE)-VLOOKUP("españa",#REF!,6,FALSE)</f>
        <v>#REF!</v>
      </c>
      <c r="F207" s="228" t="e">
        <f>(VLOOKUP("total",#REF!,5,FALSE)-VLOOKUP("españa",#REF!,5,FALSE))/(VLOOKUP("total",#REF!,5,FALSE)-VLOOKUP("españa",#REF!,5,FALSE))-1</f>
        <v>#REF!</v>
      </c>
      <c r="G207" s="229" t="e">
        <f>VLOOKUP("total",#REF!,5,FALSE)-VLOOKUP("españa",#REF!,5,FALSE)</f>
        <v>#REF!</v>
      </c>
      <c r="H207" s="228" t="e">
        <f>(VLOOKUP("total",#REF!,4,FALSE)-VLOOKUP("españa",#REF!,4,FALSE))/(VLOOKUP("total",#REF!,4,FALSE)-VLOOKUP("españa",#REF!,4,FALSE))-1</f>
        <v>#REF!</v>
      </c>
      <c r="I207" s="229" t="e">
        <f>VLOOKUP("total",#REF!,4,FALSE)-VLOOKUP("españa",#REF!,4,FALSE)</f>
        <v>#REF!</v>
      </c>
      <c r="J207" s="228" t="e">
        <f>(VLOOKUP("total",#REF!,3,FALSE)-VLOOKUP("españa",#REF!,3,FALSE))/(VLOOKUP("total",#REF!,3,FALSE)-VLOOKUP("españa",#REF!,3,FALSE))-1</f>
        <v>#REF!</v>
      </c>
      <c r="K207" s="229" t="e">
        <f>VLOOKUP("total",#REF!,3,FALSE)-VLOOKUP("españa",#REF!,3,FALSE)</f>
        <v>#REF!</v>
      </c>
      <c r="L207" s="228" t="e">
        <f>(VLOOKUP("total",#REF!,2,FALSE)-VLOOKUP("españa",#REF!,2,FALSE))/(VLOOKUP("total",#REF!,2,FALSE)-VLOOKUP("españa",#REF!,2,FALSE))-1</f>
        <v>#REF!</v>
      </c>
      <c r="M207" s="229" t="e">
        <f>VLOOKUP("total",#REF!,2,FALSE)-VLOOKUP("españa",#REF!,2,FALSE)</f>
        <v>#REF!</v>
      </c>
      <c r="N207" s="228" t="e">
        <f>(VLOOKUP("total",#REF!,7,FALSE)-VLOOKUP("españa",#REF!,7,FALSE))/(VLOOKUP("total",#REF!,7,FALSE)-VLOOKUP("españa",#REF!,7,FALSE))-1</f>
        <v>#REF!</v>
      </c>
      <c r="O207" s="229" t="e">
        <f>VLOOKUP("total",#REF!,7,FALSE)-VLOOKUP("españa",#REF!,7,FALSE)</f>
        <v>#REF!</v>
      </c>
      <c r="P207" s="228" t="e">
        <f>(VLOOKUP("total",#REF!,8,FALSE)-VLOOKUP("españa",#REF!,8,FALSE))/(VLOOKUP("total",#REF!,8,FALSE)-VLOOKUP("españa",#REF!,8,FALSE))-1</f>
        <v>#REF!</v>
      </c>
      <c r="Q207" s="229" t="e">
        <f>VLOOKUP("total",#REF!,8,FALSE)-VLOOKUP("españa",#REF!,8,FALSE)</f>
        <v>#REF!</v>
      </c>
    </row>
    <row r="208" spans="3:17" ht="24" hidden="1" customHeight="1" x14ac:dyDescent="0.2">
      <c r="C208" s="227" t="s">
        <v>7</v>
      </c>
      <c r="D208" s="228" t="e">
        <f>VLOOKUP("total",#REF!,6,FALSE)/VLOOKUP("total",#REF!,6,FALSE)-1</f>
        <v>#REF!</v>
      </c>
      <c r="E208" s="229" t="e">
        <f>VLOOKUP("total",#REF!,6,FALSE)</f>
        <v>#REF!</v>
      </c>
      <c r="F208" s="228" t="e">
        <f>VLOOKUP("total",#REF!,5,FALSE)/VLOOKUP("total",#REF!,5,FALSE)-1</f>
        <v>#REF!</v>
      </c>
      <c r="G208" s="229" t="e">
        <f>VLOOKUP("total",#REF!,5,FALSE)</f>
        <v>#REF!</v>
      </c>
      <c r="H208" s="228" t="e">
        <f>VLOOKUP("total",#REF!,4,FALSE)/VLOOKUP("total",#REF!,4,FALSE)-1</f>
        <v>#REF!</v>
      </c>
      <c r="I208" s="229" t="e">
        <f>VLOOKUP("total",#REF!,4,FALSE)</f>
        <v>#REF!</v>
      </c>
      <c r="J208" s="228" t="e">
        <f>VLOOKUP("total",#REF!,3,FALSE)/VLOOKUP("total",#REF!,3,FALSE)-1</f>
        <v>#REF!</v>
      </c>
      <c r="K208" s="229" t="e">
        <f>VLOOKUP("total",#REF!,3,FALSE)</f>
        <v>#REF!</v>
      </c>
      <c r="L208" s="228" t="e">
        <f>VLOOKUP("total",#REF!,2,FALSE)/VLOOKUP("total",#REF!,2,FALSE)-1</f>
        <v>#REF!</v>
      </c>
      <c r="M208" s="229" t="e">
        <f>VLOOKUP("total",#REF!,2,FALSE)</f>
        <v>#REF!</v>
      </c>
      <c r="N208" s="228" t="e">
        <f>VLOOKUP("total",#REF!,7,FALSE)/VLOOKUP("total",#REF!,7,FALSE)-1</f>
        <v>#REF!</v>
      </c>
      <c r="O208" s="229" t="e">
        <f>VLOOKUP("total",#REF!,7,FALSE)</f>
        <v>#REF!</v>
      </c>
      <c r="P208" s="228" t="e">
        <f>VLOOKUP("total",#REF!,8,FALSE)/VLOOKUP("total",#REF!,8,FALSE)-1</f>
        <v>#REF!</v>
      </c>
      <c r="Q208" s="229" t="e">
        <f>VLOOKUP("total",#REF!,8,FALSE)</f>
        <v>#REF!</v>
      </c>
    </row>
    <row r="209" spans="3:18" hidden="1" x14ac:dyDescent="0.2">
      <c r="C209" s="162"/>
      <c r="D209" s="163"/>
      <c r="E209" s="163"/>
      <c r="F209" s="163"/>
      <c r="G209" s="163"/>
      <c r="H209" s="163"/>
      <c r="I209" s="163"/>
      <c r="J209" s="163"/>
      <c r="K209" s="163"/>
      <c r="L209" s="163"/>
      <c r="M209" s="165"/>
    </row>
    <row r="210" spans="3:18" ht="35.25" hidden="1" customHeight="1" x14ac:dyDescent="0.2">
      <c r="C210" s="218" t="s">
        <v>30</v>
      </c>
      <c r="D210" s="219"/>
      <c r="E210" s="219"/>
      <c r="F210" s="219"/>
      <c r="G210" s="219"/>
      <c r="H210" s="219"/>
      <c r="I210" s="219"/>
      <c r="J210" s="219"/>
      <c r="K210" s="219"/>
      <c r="L210" s="219"/>
      <c r="M210" s="219"/>
      <c r="N210" s="219"/>
      <c r="O210" s="219"/>
      <c r="P210" s="219"/>
      <c r="Q210" s="219"/>
      <c r="R210" s="220"/>
    </row>
    <row r="211" spans="3:18" ht="20.100000000000001" hidden="1" customHeight="1" x14ac:dyDescent="0.2">
      <c r="C211" s="231" t="str">
        <f>I2</f>
        <v>año 2014</v>
      </c>
      <c r="D211" s="232"/>
      <c r="E211" s="232"/>
      <c r="F211" s="232"/>
      <c r="G211" s="232"/>
      <c r="H211" s="232"/>
      <c r="I211" s="232"/>
      <c r="J211" s="232"/>
      <c r="K211" s="232"/>
      <c r="L211" s="232"/>
      <c r="M211" s="232"/>
      <c r="N211" s="232"/>
      <c r="O211" s="232"/>
      <c r="P211" s="232"/>
      <c r="Q211" s="232"/>
      <c r="R211" s="233"/>
    </row>
    <row r="212" spans="3:18" ht="13.5" hidden="1" thickBot="1" x14ac:dyDescent="0.25">
      <c r="C212" s="223"/>
      <c r="D212" s="224" t="s">
        <v>25</v>
      </c>
      <c r="E212" s="225"/>
      <c r="F212" s="224" t="s">
        <v>24</v>
      </c>
      <c r="G212" s="225"/>
      <c r="H212" s="224" t="s">
        <v>23</v>
      </c>
      <c r="I212" s="225"/>
      <c r="J212" s="224" t="s">
        <v>22</v>
      </c>
      <c r="K212" s="225"/>
      <c r="L212" s="224" t="s">
        <v>21</v>
      </c>
      <c r="M212" s="225"/>
      <c r="N212" s="224" t="s">
        <v>63</v>
      </c>
      <c r="O212" s="225"/>
      <c r="P212" s="224" t="s">
        <v>64</v>
      </c>
      <c r="Q212" s="225"/>
    </row>
    <row r="213" spans="3:18" ht="28.5" hidden="1" customHeight="1" x14ac:dyDescent="0.2">
      <c r="C213" s="223"/>
      <c r="D213" s="226" t="s">
        <v>65</v>
      </c>
      <c r="E213" s="226" t="s">
        <v>66</v>
      </c>
      <c r="F213" s="226" t="s">
        <v>65</v>
      </c>
      <c r="G213" s="226" t="s">
        <v>66</v>
      </c>
      <c r="H213" s="226" t="s">
        <v>65</v>
      </c>
      <c r="I213" s="226" t="s">
        <v>66</v>
      </c>
      <c r="J213" s="226" t="s">
        <v>65</v>
      </c>
      <c r="K213" s="226" t="s">
        <v>66</v>
      </c>
      <c r="L213" s="226" t="s">
        <v>65</v>
      </c>
      <c r="M213" s="226" t="s">
        <v>66</v>
      </c>
      <c r="N213" s="226" t="s">
        <v>65</v>
      </c>
      <c r="O213" s="226" t="s">
        <v>66</v>
      </c>
      <c r="P213" s="226" t="s">
        <v>65</v>
      </c>
      <c r="Q213" s="226" t="s">
        <v>66</v>
      </c>
    </row>
    <row r="214" spans="3:18" ht="24" hidden="1" customHeight="1" x14ac:dyDescent="0.2">
      <c r="C214" s="227" t="s">
        <v>37</v>
      </c>
      <c r="D214" s="228" t="e">
        <f>VLOOKUP("españa",#REF!,6,FALSE)/VLOOKUP("españa",#REF!,6,FALSE)-1</f>
        <v>#REF!</v>
      </c>
      <c r="E214" s="229" t="e">
        <f>VLOOKUP("españa",#REF!,6,FALSE)</f>
        <v>#REF!</v>
      </c>
      <c r="F214" s="228" t="e">
        <f>VLOOKUP("españa",#REF!,5,FALSE)/VLOOKUP("españa",#REF!,5,FALSE)-1</f>
        <v>#REF!</v>
      </c>
      <c r="G214" s="229" t="e">
        <f>VLOOKUP("españa",#REF!,5,FALSE)</f>
        <v>#REF!</v>
      </c>
      <c r="H214" s="228" t="e">
        <f>VLOOKUP("españa",#REF!,4,FALSE)/VLOOKUP("españa",#REF!,4,FALSE)-1</f>
        <v>#REF!</v>
      </c>
      <c r="I214" s="229" t="e">
        <f>VLOOKUP("españa",#REF!,4,FALSE)</f>
        <v>#REF!</v>
      </c>
      <c r="J214" s="228" t="e">
        <f>VLOOKUP("españa",#REF!,3,FALSE)/VLOOKUP("españa",#REF!,3,FALSE)-1</f>
        <v>#REF!</v>
      </c>
      <c r="K214" s="229" t="e">
        <f>VLOOKUP("españa",#REF!,3,FALSE)</f>
        <v>#REF!</v>
      </c>
      <c r="L214" s="228" t="e">
        <f>VLOOKUP("españa",#REF!,2,FALSE)/VLOOKUP("españa",#REF!,2,FALSE)-1</f>
        <v>#REF!</v>
      </c>
      <c r="M214" s="229" t="e">
        <f>VLOOKUP("españa",#REF!,2,FALSE)</f>
        <v>#REF!</v>
      </c>
      <c r="N214" s="228" t="e">
        <f>VLOOKUP("españa",#REF!,7,FALSE)/VLOOKUP("españa",#REF!,7,FALSE)-1</f>
        <v>#REF!</v>
      </c>
      <c r="O214" s="229" t="e">
        <f>VLOOKUP("españa",#REF!,7,FALSE)</f>
        <v>#REF!</v>
      </c>
      <c r="P214" s="228" t="e">
        <f>VLOOKUP("españa",#REF!,8,FALSE)/VLOOKUP("españa",#REF!,8,FALSE)-1</f>
        <v>#REF!</v>
      </c>
      <c r="Q214" s="229" t="e">
        <f>VLOOKUP("españa",#REF!,8,FALSE)</f>
        <v>#REF!</v>
      </c>
    </row>
    <row r="215" spans="3:18" ht="24" hidden="1" customHeight="1" x14ac:dyDescent="0.2">
      <c r="C215" s="227" t="s">
        <v>42</v>
      </c>
      <c r="D215" s="228" t="e">
        <f>VLOOKUP("holanda",#REF!,6,FALSE)/VLOOKUP("holanda",#REF!,6,FALSE)-1</f>
        <v>#REF!</v>
      </c>
      <c r="E215" s="229" t="e">
        <f>VLOOKUP("holanda",#REF!,6,FALSE)</f>
        <v>#REF!</v>
      </c>
      <c r="F215" s="228" t="e">
        <f>VLOOKUP("holanda",#REF!,5,FALSE)/VLOOKUP("holanda",#REF!,5,FALSE)-1</f>
        <v>#REF!</v>
      </c>
      <c r="G215" s="229" t="e">
        <f>VLOOKUP("holanda",#REF!,5,FALSE)</f>
        <v>#REF!</v>
      </c>
      <c r="H215" s="228" t="e">
        <f>VLOOKUP("holanda",#REF!,4,FALSE)/VLOOKUP("holanda",#REF!,4,FALSE)-1</f>
        <v>#REF!</v>
      </c>
      <c r="I215" s="229" t="e">
        <f>VLOOKUP("holanda",#REF!,4,FALSE)</f>
        <v>#REF!</v>
      </c>
      <c r="J215" s="228" t="e">
        <f>VLOOKUP("holanda",#REF!,3,FALSE)/VLOOKUP("holanda",#REF!,3,FALSE)-1</f>
        <v>#REF!</v>
      </c>
      <c r="K215" s="229" t="e">
        <f>VLOOKUP("holanda",#REF!,3,FALSE)</f>
        <v>#REF!</v>
      </c>
      <c r="L215" s="228" t="e">
        <f>VLOOKUP("holanda",#REF!,2,FALSE)/VLOOKUP("holanda",#REF!,2,FALSE)-1</f>
        <v>#REF!</v>
      </c>
      <c r="M215" s="229" t="e">
        <f>VLOOKUP("holanda",#REF!,2,FALSE)</f>
        <v>#REF!</v>
      </c>
      <c r="N215" s="228" t="e">
        <f>VLOOKUP("holanda",#REF!,7,FALSE)/VLOOKUP("holanda",#REF!,7,FALSE)-1</f>
        <v>#REF!</v>
      </c>
      <c r="O215" s="229" t="e">
        <f>VLOOKUP("holanda",#REF!,7,FALSE)</f>
        <v>#REF!</v>
      </c>
      <c r="P215" s="228" t="e">
        <f>VLOOKUP("holanda",#REF!,8,FALSE)/VLOOKUP("holanda",#REF!,8,FALSE)-1</f>
        <v>#REF!</v>
      </c>
      <c r="Q215" s="229" t="e">
        <f>VLOOKUP("holanda",#REF!,8,FALSE)</f>
        <v>#REF!</v>
      </c>
    </row>
    <row r="216" spans="3:18" ht="24" hidden="1" customHeight="1" x14ac:dyDescent="0.2">
      <c r="C216" s="227" t="s">
        <v>43</v>
      </c>
      <c r="D216" s="228" t="e">
        <f>VLOOKUP("belgica",#REF!,6,FALSE)/VLOOKUP("belgica",#REF!,6,FALSE)-1</f>
        <v>#REF!</v>
      </c>
      <c r="E216" s="229" t="e">
        <f>VLOOKUP("belgica",#REF!,6,FALSE)</f>
        <v>#REF!</v>
      </c>
      <c r="F216" s="228" t="e">
        <f>VLOOKUP("belgica",#REF!,5,FALSE)/VLOOKUP("belgica",#REF!,5,FALSE)-1</f>
        <v>#REF!</v>
      </c>
      <c r="G216" s="229" t="e">
        <f>VLOOKUP("belgica",#REF!,5,FALSE)</f>
        <v>#REF!</v>
      </c>
      <c r="H216" s="228" t="e">
        <f>VLOOKUP("belgica",#REF!,4,FALSE)/VLOOKUP("belgica",#REF!,4,FALSE)-1</f>
        <v>#REF!</v>
      </c>
      <c r="I216" s="229" t="e">
        <f>VLOOKUP("belgica",#REF!,4,FALSE)</f>
        <v>#REF!</v>
      </c>
      <c r="J216" s="228" t="e">
        <f>VLOOKUP("belgica",#REF!,3,FALSE)/VLOOKUP("belgica",#REF!,3,FALSE)-1</f>
        <v>#REF!</v>
      </c>
      <c r="K216" s="229" t="e">
        <f>VLOOKUP("belgica",#REF!,3,FALSE)</f>
        <v>#REF!</v>
      </c>
      <c r="L216" s="228" t="e">
        <f>VLOOKUP("belgica",#REF!,2,FALSE)/VLOOKUP("belgica",#REF!,2,FALSE)-1</f>
        <v>#REF!</v>
      </c>
      <c r="M216" s="229" t="e">
        <f>VLOOKUP("belgica",#REF!,2,FALSE)</f>
        <v>#REF!</v>
      </c>
      <c r="N216" s="228" t="e">
        <f>VLOOKUP("belgica",#REF!,7,FALSE)/VLOOKUP("belgica",#REF!,7,FALSE)-1</f>
        <v>#REF!</v>
      </c>
      <c r="O216" s="229" t="e">
        <f>VLOOKUP("belgica",#REF!,7,FALSE)</f>
        <v>#REF!</v>
      </c>
      <c r="P216" s="228" t="e">
        <f>VLOOKUP("belgica",#REF!,8,FALSE)/VLOOKUP("belgica",#REF!,8,FALSE)-1</f>
        <v>#REF!</v>
      </c>
      <c r="Q216" s="229" t="e">
        <f>VLOOKUP("belgica",#REF!,8,FALSE)</f>
        <v>#REF!</v>
      </c>
    </row>
    <row r="217" spans="3:18" ht="24" hidden="1" customHeight="1" x14ac:dyDescent="0.2">
      <c r="C217" s="227" t="s">
        <v>44</v>
      </c>
      <c r="D217" s="228" t="e">
        <f>VLOOKUP("alemania",#REF!,6,FALSE)/VLOOKUP("alemania",#REF!,6,FALSE)-1</f>
        <v>#REF!</v>
      </c>
      <c r="E217" s="229" t="e">
        <f>VLOOKUP("alemania",#REF!,6,FALSE)</f>
        <v>#REF!</v>
      </c>
      <c r="F217" s="228" t="e">
        <f>VLOOKUP("alemania",#REF!,5,FALSE)/VLOOKUP("alemania",#REF!,5,FALSE)-1</f>
        <v>#REF!</v>
      </c>
      <c r="G217" s="229" t="e">
        <f>VLOOKUP("alemania",#REF!,5,FALSE)</f>
        <v>#REF!</v>
      </c>
      <c r="H217" s="228" t="e">
        <f>VLOOKUP("alemania",#REF!,4,FALSE)/VLOOKUP("alemania",#REF!,4,FALSE)-1</f>
        <v>#REF!</v>
      </c>
      <c r="I217" s="229" t="e">
        <f>VLOOKUP("alemania",#REF!,4,FALSE)</f>
        <v>#REF!</v>
      </c>
      <c r="J217" s="228" t="e">
        <f>VLOOKUP("alemania",#REF!,3,FALSE)/VLOOKUP("alemania",#REF!,3,FALSE)-1</f>
        <v>#REF!</v>
      </c>
      <c r="K217" s="229" t="e">
        <f>VLOOKUP("alemania",#REF!,3,FALSE)</f>
        <v>#REF!</v>
      </c>
      <c r="L217" s="228" t="e">
        <f>VLOOKUP("alemania",#REF!,2,FALSE)/VLOOKUP("alemania",#REF!,2,FALSE)-1</f>
        <v>#REF!</v>
      </c>
      <c r="M217" s="229" t="e">
        <f>VLOOKUP("alemania",#REF!,2,FALSE)</f>
        <v>#REF!</v>
      </c>
      <c r="N217" s="228" t="e">
        <f>VLOOKUP("alemania",#REF!,7,FALSE)/VLOOKUP("alemania",#REF!,7,FALSE)-1</f>
        <v>#REF!</v>
      </c>
      <c r="O217" s="229" t="e">
        <f>VLOOKUP("alemania",#REF!,7,FALSE)</f>
        <v>#REF!</v>
      </c>
      <c r="P217" s="228" t="e">
        <f>VLOOKUP("alemania",#REF!,8,FALSE)/VLOOKUP("alemania",#REF!,8,FALSE)-1</f>
        <v>#REF!</v>
      </c>
      <c r="Q217" s="229" t="e">
        <f>VLOOKUP("alemania",#REF!,8,FALSE)</f>
        <v>#REF!</v>
      </c>
    </row>
    <row r="218" spans="3:18" ht="24" hidden="1" customHeight="1" x14ac:dyDescent="0.2">
      <c r="C218" s="227" t="s">
        <v>45</v>
      </c>
      <c r="D218" s="228" t="e">
        <f>VLOOKUP("francia",#REF!,6,FALSE)/VLOOKUP("francia",#REF!,6,FALSE)-1</f>
        <v>#REF!</v>
      </c>
      <c r="E218" s="229" t="e">
        <f>VLOOKUP("francia",#REF!,6,FALSE)</f>
        <v>#REF!</v>
      </c>
      <c r="F218" s="228" t="e">
        <f>VLOOKUP("francia",#REF!,5,FALSE)/VLOOKUP("francia",#REF!,5,FALSE)-1</f>
        <v>#REF!</v>
      </c>
      <c r="G218" s="229" t="e">
        <f>VLOOKUP("francia",#REF!,5,FALSE)</f>
        <v>#REF!</v>
      </c>
      <c r="H218" s="228" t="e">
        <f>VLOOKUP("francia",#REF!,4,FALSE)/VLOOKUP("francia",#REF!,4,FALSE)-1</f>
        <v>#REF!</v>
      </c>
      <c r="I218" s="229" t="e">
        <f>VLOOKUP("francia",#REF!,4,FALSE)</f>
        <v>#REF!</v>
      </c>
      <c r="J218" s="228" t="e">
        <f>VLOOKUP("francia",#REF!,3,FALSE)/VLOOKUP("francia",#REF!,3,FALSE)-1</f>
        <v>#REF!</v>
      </c>
      <c r="K218" s="229" t="e">
        <f>VLOOKUP("francia",#REF!,3,FALSE)</f>
        <v>#REF!</v>
      </c>
      <c r="L218" s="228" t="e">
        <f>VLOOKUP("francia",#REF!,2,FALSE)/VLOOKUP("francia",#REF!,2,FALSE)-1</f>
        <v>#REF!</v>
      </c>
      <c r="M218" s="229" t="e">
        <f>VLOOKUP("francia",#REF!,2,FALSE)</f>
        <v>#REF!</v>
      </c>
      <c r="N218" s="228" t="e">
        <f>VLOOKUP("francia",#REF!,7,FALSE)/VLOOKUP("francia",#REF!,7,FALSE)-1</f>
        <v>#REF!</v>
      </c>
      <c r="O218" s="229" t="e">
        <f>VLOOKUP("francia",#REF!,7,FALSE)</f>
        <v>#REF!</v>
      </c>
      <c r="P218" s="228" t="e">
        <f>VLOOKUP("francia",#REF!,8,FALSE)/VLOOKUP("francia",#REF!,8,FALSE)-1</f>
        <v>#REF!</v>
      </c>
      <c r="Q218" s="229" t="e">
        <f>VLOOKUP("francia",#REF!,8,FALSE)</f>
        <v>#REF!</v>
      </c>
    </row>
    <row r="219" spans="3:18" ht="24" hidden="1" customHeight="1" x14ac:dyDescent="0.2">
      <c r="C219" s="227" t="s">
        <v>46</v>
      </c>
      <c r="D219" s="228" t="e">
        <f>VLOOKUP("reino unido",#REF!,6,FALSE)/VLOOKUP("reino unido",#REF!,6,FALSE)-1</f>
        <v>#REF!</v>
      </c>
      <c r="E219" s="229" t="e">
        <f>VLOOKUP("reino unido",#REF!,6,FALSE)</f>
        <v>#REF!</v>
      </c>
      <c r="F219" s="228" t="e">
        <f>VLOOKUP("reino unido",#REF!,5,FALSE)/VLOOKUP("reino unido",#REF!,5,FALSE)-1</f>
        <v>#REF!</v>
      </c>
      <c r="G219" s="229" t="e">
        <f>VLOOKUP("reino unido",#REF!,5,FALSE)</f>
        <v>#REF!</v>
      </c>
      <c r="H219" s="228" t="e">
        <f>VLOOKUP("reino unido",#REF!,4,FALSE)/VLOOKUP("reino unido",#REF!,4,FALSE)-1</f>
        <v>#REF!</v>
      </c>
      <c r="I219" s="229" t="e">
        <f>VLOOKUP("reino unido",#REF!,4,FALSE)</f>
        <v>#REF!</v>
      </c>
      <c r="J219" s="228" t="e">
        <f>VLOOKUP("reino unido",#REF!,3,FALSE)/VLOOKUP("reino unido",#REF!,3,FALSE)-1</f>
        <v>#REF!</v>
      </c>
      <c r="K219" s="229" t="e">
        <f>VLOOKUP("reino unido",#REF!,3,FALSE)</f>
        <v>#REF!</v>
      </c>
      <c r="L219" s="228" t="e">
        <f>VLOOKUP("reino unido",#REF!,2,FALSE)/VLOOKUP("reino unido",#REF!,2,FALSE)-1</f>
        <v>#REF!</v>
      </c>
      <c r="M219" s="229" t="e">
        <f>VLOOKUP("reino unido",#REF!,2,FALSE)</f>
        <v>#REF!</v>
      </c>
      <c r="N219" s="228" t="e">
        <f>VLOOKUP("reino unido",#REF!,7,FALSE)/VLOOKUP("reino unido",#REF!,7,FALSE)-1</f>
        <v>#REF!</v>
      </c>
      <c r="O219" s="229" t="e">
        <f>VLOOKUP("reino unido",#REF!,7,FALSE)</f>
        <v>#REF!</v>
      </c>
      <c r="P219" s="228" t="e">
        <f>VLOOKUP("reino unido",#REF!,8,FALSE)/VLOOKUP("reino unido",#REF!,8,FALSE)-1</f>
        <v>#REF!</v>
      </c>
      <c r="Q219" s="229" t="e">
        <f>VLOOKUP("reino unido",#REF!,8,FALSE)</f>
        <v>#REF!</v>
      </c>
    </row>
    <row r="220" spans="3:18" ht="24" hidden="1" customHeight="1" x14ac:dyDescent="0.2">
      <c r="C220" s="227" t="s">
        <v>47</v>
      </c>
      <c r="D220" s="228" t="e">
        <f>VLOOKUP("irlanda",#REF!,6,FALSE)/VLOOKUP("irlanda",#REF!,6,FALSE)-1</f>
        <v>#REF!</v>
      </c>
      <c r="E220" s="229" t="e">
        <f>VLOOKUP("irlanda",#REF!,6,FALSE)</f>
        <v>#REF!</v>
      </c>
      <c r="F220" s="228" t="e">
        <f>VLOOKUP("irlanda",#REF!,5,FALSE)/VLOOKUP("irlanda",#REF!,5,FALSE)-1</f>
        <v>#REF!</v>
      </c>
      <c r="G220" s="229" t="e">
        <f>VLOOKUP("irlanda",#REF!,5,FALSE)</f>
        <v>#REF!</v>
      </c>
      <c r="H220" s="228" t="e">
        <f>VLOOKUP("irlanda",#REF!,4,FALSE)/VLOOKUP("irlanda",#REF!,4,FALSE)-1</f>
        <v>#REF!</v>
      </c>
      <c r="I220" s="229" t="e">
        <f>VLOOKUP("irlanda",#REF!,4,FALSE)</f>
        <v>#REF!</v>
      </c>
      <c r="J220" s="228" t="e">
        <f>VLOOKUP("irlanda",#REF!,3,FALSE)/VLOOKUP("irlanda",#REF!,3,FALSE)-1</f>
        <v>#REF!</v>
      </c>
      <c r="K220" s="229" t="e">
        <f>VLOOKUP("irlanda",#REF!,3,FALSE)</f>
        <v>#REF!</v>
      </c>
      <c r="L220" s="228" t="e">
        <f>VLOOKUP("irlanda",#REF!,2,FALSE)/VLOOKUP("irlanda",#REF!,2,FALSE)-1</f>
        <v>#REF!</v>
      </c>
      <c r="M220" s="229" t="e">
        <f>VLOOKUP("irlanda",#REF!,2,FALSE)</f>
        <v>#REF!</v>
      </c>
      <c r="N220" s="228" t="e">
        <f>VLOOKUP("irlanda",#REF!,7,FALSE)/VLOOKUP("irlanda",#REF!,7,FALSE)-1</f>
        <v>#REF!</v>
      </c>
      <c r="O220" s="229" t="e">
        <f>VLOOKUP("irlanda",#REF!,7,FALSE)</f>
        <v>#REF!</v>
      </c>
      <c r="P220" s="228" t="e">
        <f>VLOOKUP("irlanda",#REF!,8,FALSE)/VLOOKUP("irlanda",#REF!,8,FALSE)-1</f>
        <v>#REF!</v>
      </c>
      <c r="Q220" s="229" t="e">
        <f>VLOOKUP("irlanda",#REF!,8,FALSE)</f>
        <v>#REF!</v>
      </c>
    </row>
    <row r="221" spans="3:18" ht="24" hidden="1" customHeight="1" x14ac:dyDescent="0.2">
      <c r="C221" s="227" t="s">
        <v>48</v>
      </c>
      <c r="D221" s="228" t="e">
        <f>VLOOKUP("italia",#REF!,6,FALSE)/VLOOKUP("italia",#REF!,6,FALSE)-1</f>
        <v>#REF!</v>
      </c>
      <c r="E221" s="229" t="e">
        <f>VLOOKUP("italia",#REF!,6,FALSE)</f>
        <v>#REF!</v>
      </c>
      <c r="F221" s="228" t="e">
        <f>VLOOKUP("italia",#REF!,5,FALSE)/VLOOKUP("italia",#REF!,5,FALSE)-1</f>
        <v>#REF!</v>
      </c>
      <c r="G221" s="229" t="e">
        <f>VLOOKUP("italia",#REF!,5,FALSE)</f>
        <v>#REF!</v>
      </c>
      <c r="H221" s="228" t="e">
        <f>VLOOKUP("italia",#REF!,4,FALSE)/VLOOKUP("italia",#REF!,4,FALSE)-1</f>
        <v>#REF!</v>
      </c>
      <c r="I221" s="229" t="e">
        <f>VLOOKUP("italia",#REF!,4,FALSE)</f>
        <v>#REF!</v>
      </c>
      <c r="J221" s="228" t="e">
        <f>VLOOKUP("italia",#REF!,3,FALSE)/VLOOKUP("italia",#REF!,3,FALSE)-1</f>
        <v>#REF!</v>
      </c>
      <c r="K221" s="229" t="e">
        <f>VLOOKUP("italia",#REF!,3,FALSE)</f>
        <v>#REF!</v>
      </c>
      <c r="L221" s="228" t="e">
        <f>VLOOKUP("italia",#REF!,2,FALSE)/VLOOKUP("italia",#REF!,2,FALSE)-1</f>
        <v>#REF!</v>
      </c>
      <c r="M221" s="229" t="e">
        <f>VLOOKUP("italia",#REF!,2,FALSE)</f>
        <v>#REF!</v>
      </c>
      <c r="N221" s="228" t="e">
        <f>VLOOKUP("italia",#REF!,7,FALSE)/VLOOKUP("italia",#REF!,7,FALSE)-1</f>
        <v>#REF!</v>
      </c>
      <c r="O221" s="229" t="e">
        <f>VLOOKUP("italia",#REF!,7,FALSE)</f>
        <v>#REF!</v>
      </c>
      <c r="P221" s="228" t="e">
        <f>VLOOKUP("italia",#REF!,8,FALSE)/VLOOKUP("italia",#REF!,8,FALSE)-1</f>
        <v>#REF!</v>
      </c>
      <c r="Q221" s="229" t="e">
        <f>VLOOKUP("italia",#REF!,8,FALSE)</f>
        <v>#REF!</v>
      </c>
    </row>
    <row r="222" spans="3:18" ht="24" hidden="1" customHeight="1" x14ac:dyDescent="0.2">
      <c r="C222" s="227" t="s">
        <v>49</v>
      </c>
      <c r="D222" s="228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2" s="229" t="e">
        <f>(VLOOKUP("suecia",#REF!,6,FALSE)+VLOOKUP("noruega",#REF!,6,FALSE)+VLOOKUP("dinamarca",#REF!,6,FALSE)+VLOOKUP("finlandia",#REF!,6,FALSE))</f>
        <v>#REF!</v>
      </c>
      <c r="F222" s="228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2" s="229" t="e">
        <f>(VLOOKUP("suecia",#REF!,5,FALSE)+VLOOKUP("noruega",#REF!,5,FALSE)+VLOOKUP("dinamarca",#REF!,5,FALSE)+VLOOKUP("finlandia",#REF!,5,FALSE))</f>
        <v>#REF!</v>
      </c>
      <c r="H222" s="228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2" s="229" t="e">
        <f>(VLOOKUP("suecia",#REF!,4,FALSE)+VLOOKUP("noruega",#REF!,4,FALSE)+VLOOKUP("dinamarca",#REF!,4,FALSE)+VLOOKUP("finlandia",#REF!,4,FALSE))</f>
        <v>#REF!</v>
      </c>
      <c r="J222" s="228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2" s="229" t="e">
        <f>(VLOOKUP("suecia",#REF!,3,FALSE)+VLOOKUP("noruega",#REF!,3,FALSE)+VLOOKUP("dinamarca",#REF!,3,FALSE)+VLOOKUP("finlandia",#REF!,3,FALSE))</f>
        <v>#REF!</v>
      </c>
      <c r="L222" s="228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2" s="229" t="e">
        <f>(VLOOKUP("suecia",#REF!,2,FALSE)+VLOOKUP("noruega",#REF!,2,FALSE)+VLOOKUP("dinamarca",#REF!,2,FALSE)+VLOOKUP("finlandia",#REF!,2,FALSE))</f>
        <v>#REF!</v>
      </c>
      <c r="N222" s="228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2" s="229" t="e">
        <f>(VLOOKUP("suecia",#REF!,7,FALSE)+VLOOKUP("noruega",#REF!,7,FALSE)+VLOOKUP("dinamarca",#REF!,7,FALSE)+VLOOKUP("finlandia",#REF!,7,FALSE))</f>
        <v>#REF!</v>
      </c>
      <c r="P222" s="228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2" s="229" t="e">
        <f>(VLOOKUP("suecia",#REF!,8,FALSE)+VLOOKUP("noruega",#REF!,8,FALSE)+VLOOKUP("dinamarca",#REF!,8,FALSE)+VLOOKUP("finlandia",#REF!,8,FALSE))</f>
        <v>#REF!</v>
      </c>
    </row>
    <row r="223" spans="3:18" ht="24" hidden="1" customHeight="1" x14ac:dyDescent="0.2">
      <c r="C223" s="230" t="s">
        <v>50</v>
      </c>
      <c r="D223" s="228" t="e">
        <f>VLOOKUP("suecia",#REF!,6,FALSE)/VLOOKUP("suecia",#REF!,6,FALSE)-1</f>
        <v>#REF!</v>
      </c>
      <c r="E223" s="229" t="e">
        <f>VLOOKUP("suecia",#REF!,6,FALSE)</f>
        <v>#REF!</v>
      </c>
      <c r="F223" s="228" t="e">
        <f>VLOOKUP("suecia",#REF!,5,FALSE)/VLOOKUP("suecia",#REF!,5,FALSE)-1</f>
        <v>#REF!</v>
      </c>
      <c r="G223" s="229" t="e">
        <f>VLOOKUP("suecia",#REF!,5,FALSE)</f>
        <v>#REF!</v>
      </c>
      <c r="H223" s="228" t="e">
        <f>VLOOKUP("suecia",#REF!,4,FALSE)/VLOOKUP("suecia",#REF!,4,FALSE)-1</f>
        <v>#REF!</v>
      </c>
      <c r="I223" s="229" t="e">
        <f>VLOOKUP("suecia",#REF!,4,FALSE)</f>
        <v>#REF!</v>
      </c>
      <c r="J223" s="228" t="e">
        <f>VLOOKUP("suecia",#REF!,3,FALSE)/VLOOKUP("suecia",#REF!,3,FALSE)-1</f>
        <v>#REF!</v>
      </c>
      <c r="K223" s="229" t="e">
        <f>VLOOKUP("suecia",#REF!,3,FALSE)</f>
        <v>#REF!</v>
      </c>
      <c r="L223" s="228" t="e">
        <f>VLOOKUP("suecia",#REF!,2,FALSE)/VLOOKUP("suecia",#REF!,2,FALSE)-1</f>
        <v>#REF!</v>
      </c>
      <c r="M223" s="229" t="e">
        <f>VLOOKUP("suecia",#REF!,2,FALSE)</f>
        <v>#REF!</v>
      </c>
      <c r="N223" s="228" t="e">
        <f>VLOOKUP("suecia",#REF!,7,FALSE)/VLOOKUP("suecia",#REF!,7,FALSE)-1</f>
        <v>#REF!</v>
      </c>
      <c r="O223" s="229" t="e">
        <f>VLOOKUP("suecia",#REF!,7,FALSE)</f>
        <v>#REF!</v>
      </c>
      <c r="P223" s="228" t="e">
        <f>VLOOKUP("suecia",#REF!,8,FALSE)/VLOOKUP("suecia",#REF!,8,FALSE)-1</f>
        <v>#REF!</v>
      </c>
      <c r="Q223" s="229" t="e">
        <f>VLOOKUP("suecia",#REF!,8,FALSE)</f>
        <v>#REF!</v>
      </c>
    </row>
    <row r="224" spans="3:18" ht="24" hidden="1" customHeight="1" x14ac:dyDescent="0.2">
      <c r="C224" s="230" t="s">
        <v>51</v>
      </c>
      <c r="D224" s="228" t="e">
        <f>VLOOKUP("noruega",#REF!,6,FALSE)/VLOOKUP("noruega",#REF!,6,FALSE)-1</f>
        <v>#REF!</v>
      </c>
      <c r="E224" s="229" t="e">
        <f>VLOOKUP("noruega",#REF!,6,FALSE)</f>
        <v>#REF!</v>
      </c>
      <c r="F224" s="228" t="e">
        <f>VLOOKUP("noruega",#REF!,5,FALSE)/VLOOKUP("noruega",#REF!,5,FALSE)-1</f>
        <v>#REF!</v>
      </c>
      <c r="G224" s="229" t="e">
        <f>VLOOKUP("noruega",#REF!,5,FALSE)</f>
        <v>#REF!</v>
      </c>
      <c r="H224" s="228" t="e">
        <f>VLOOKUP("noruega",#REF!,4,FALSE)/VLOOKUP("noruega",#REF!,4,FALSE)-1</f>
        <v>#REF!</v>
      </c>
      <c r="I224" s="229" t="e">
        <f>VLOOKUP("noruega",#REF!,4,FALSE)</f>
        <v>#REF!</v>
      </c>
      <c r="J224" s="228" t="e">
        <f>VLOOKUP("noruega",#REF!,3,FALSE)/VLOOKUP("noruega",#REF!,3,FALSE)-1</f>
        <v>#REF!</v>
      </c>
      <c r="K224" s="229" t="e">
        <f>VLOOKUP("noruega",#REF!,3,FALSE)</f>
        <v>#REF!</v>
      </c>
      <c r="L224" s="228" t="e">
        <f>VLOOKUP("noruega",#REF!,2,FALSE)/VLOOKUP("noruega",#REF!,2,FALSE)-1</f>
        <v>#REF!</v>
      </c>
      <c r="M224" s="229" t="e">
        <f>VLOOKUP("noruega",#REF!,2,FALSE)</f>
        <v>#REF!</v>
      </c>
      <c r="N224" s="228" t="e">
        <f>VLOOKUP("noruega",#REF!,7,FALSE)/VLOOKUP("noruega",#REF!,7,FALSE)-1</f>
        <v>#REF!</v>
      </c>
      <c r="O224" s="229" t="e">
        <f>VLOOKUP("noruega",#REF!,7,FALSE)</f>
        <v>#REF!</v>
      </c>
      <c r="P224" s="228" t="e">
        <f>VLOOKUP("noruega",#REF!,8,FALSE)/VLOOKUP("noruega",#REF!,8,FALSE)-1</f>
        <v>#REF!</v>
      </c>
      <c r="Q224" s="229" t="e">
        <f>VLOOKUP("noruega",#REF!,8,FALSE)</f>
        <v>#REF!</v>
      </c>
    </row>
    <row r="225" spans="3:17" ht="24" hidden="1" customHeight="1" x14ac:dyDescent="0.2">
      <c r="C225" s="230" t="s">
        <v>52</v>
      </c>
      <c r="D225" s="228" t="e">
        <f>VLOOKUP("dinamarca",#REF!,6,FALSE)/VLOOKUP("dinamarca",#REF!,6,FALSE)-1</f>
        <v>#REF!</v>
      </c>
      <c r="E225" s="229" t="e">
        <f>VLOOKUP("dinamarca",#REF!,6,FALSE)</f>
        <v>#REF!</v>
      </c>
      <c r="F225" s="228" t="e">
        <f>VLOOKUP("dinamarca",#REF!,5,FALSE)/VLOOKUP("dinamarca",#REF!,5,FALSE)-1</f>
        <v>#REF!</v>
      </c>
      <c r="G225" s="229" t="e">
        <f>VLOOKUP("dinamarca",#REF!,5,FALSE)</f>
        <v>#REF!</v>
      </c>
      <c r="H225" s="228" t="e">
        <f>VLOOKUP("dinamarca",#REF!,4,FALSE)/VLOOKUP("dinamarca",#REF!,4,FALSE)-1</f>
        <v>#REF!</v>
      </c>
      <c r="I225" s="229" t="e">
        <f>VLOOKUP("dinamarca",#REF!,4,FALSE)</f>
        <v>#REF!</v>
      </c>
      <c r="J225" s="228" t="e">
        <f>VLOOKUP("dinamarca",#REF!,3,FALSE)/VLOOKUP("dinamarca",#REF!,3,FALSE)-1</f>
        <v>#REF!</v>
      </c>
      <c r="K225" s="229" t="e">
        <f>VLOOKUP("dinamarca",#REF!,3,FALSE)</f>
        <v>#REF!</v>
      </c>
      <c r="L225" s="228" t="e">
        <f>VLOOKUP("dinamarca",#REF!,2,FALSE)/VLOOKUP("dinamarca",#REF!,2,FALSE)-1</f>
        <v>#REF!</v>
      </c>
      <c r="M225" s="229" t="e">
        <f>VLOOKUP("dinamarca",#REF!,2,FALSE)</f>
        <v>#REF!</v>
      </c>
      <c r="N225" s="228" t="e">
        <f>VLOOKUP("dinamarca",#REF!,7,FALSE)/VLOOKUP("dinamarca",#REF!,7,FALSE)-1</f>
        <v>#REF!</v>
      </c>
      <c r="O225" s="229" t="e">
        <f>VLOOKUP("dinamarca",#REF!,7,FALSE)</f>
        <v>#REF!</v>
      </c>
      <c r="P225" s="228" t="e">
        <f>VLOOKUP("dinamarca",#REF!,8,FALSE)/VLOOKUP("dinamarca",#REF!,8,FALSE)-1</f>
        <v>#REF!</v>
      </c>
      <c r="Q225" s="229" t="e">
        <f>VLOOKUP("dinamarca",#REF!,8,FALSE)</f>
        <v>#REF!</v>
      </c>
    </row>
    <row r="226" spans="3:17" ht="24" hidden="1" customHeight="1" x14ac:dyDescent="0.2">
      <c r="C226" s="230" t="s">
        <v>53</v>
      </c>
      <c r="D226" s="228" t="s">
        <v>39</v>
      </c>
      <c r="E226" s="229" t="e">
        <f>VLOOKUP("finlandia",#REF!,6,FALSE)</f>
        <v>#REF!</v>
      </c>
      <c r="F226" s="228" t="e">
        <f>VLOOKUP("finlandia",#REF!,5,FALSE)/VLOOKUP("finlandia",#REF!,5,FALSE)-1</f>
        <v>#REF!</v>
      </c>
      <c r="G226" s="229" t="e">
        <f>VLOOKUP("finlandia",#REF!,5,FALSE)</f>
        <v>#REF!</v>
      </c>
      <c r="H226" s="228" t="e">
        <f>VLOOKUP("finlandia",#REF!,4,FALSE)/VLOOKUP("finlandia",#REF!,4,FALSE)-1</f>
        <v>#REF!</v>
      </c>
      <c r="I226" s="229" t="e">
        <f>VLOOKUP("finlandia",#REF!,4,FALSE)</f>
        <v>#REF!</v>
      </c>
      <c r="J226" s="228" t="e">
        <f>VLOOKUP("finlandia",#REF!,3,FALSE)/VLOOKUP("finlandia",#REF!,3,FALSE)-1</f>
        <v>#REF!</v>
      </c>
      <c r="K226" s="229" t="e">
        <f>VLOOKUP("finlandia",#REF!,3,FALSE)</f>
        <v>#REF!</v>
      </c>
      <c r="L226" s="228" t="s">
        <v>39</v>
      </c>
      <c r="M226" s="229" t="e">
        <f>VLOOKUP("finlandia",#REF!,2,FALSE)</f>
        <v>#REF!</v>
      </c>
      <c r="N226" s="228" t="e">
        <f>VLOOKUP("finlandia",#REF!,7,FALSE)/VLOOKUP("finlandia",#REF!,7,FALSE)-1</f>
        <v>#REF!</v>
      </c>
      <c r="O226" s="229" t="e">
        <f>VLOOKUP("finlandia",#REF!,7,FALSE)</f>
        <v>#REF!</v>
      </c>
      <c r="P226" s="228" t="e">
        <f>VLOOKUP("finlandia",#REF!,8,FALSE)/VLOOKUP("finlandia",#REF!,8,FALSE)-1</f>
        <v>#REF!</v>
      </c>
      <c r="Q226" s="229" t="e">
        <f>VLOOKUP("finlandia",#REF!,8,FALSE)</f>
        <v>#REF!</v>
      </c>
    </row>
    <row r="227" spans="3:17" ht="24" hidden="1" customHeight="1" x14ac:dyDescent="0.2">
      <c r="C227" s="227" t="s">
        <v>54</v>
      </c>
      <c r="D227" s="228" t="e">
        <f>VLOOKUP("suiza",#REF!,6,FALSE)/VLOOKUP("suiza",#REF!,6,FALSE)-1</f>
        <v>#REF!</v>
      </c>
      <c r="E227" s="229" t="e">
        <f>VLOOKUP("suiza",#REF!,6,FALSE)</f>
        <v>#REF!</v>
      </c>
      <c r="F227" s="228" t="e">
        <f>VLOOKUP("suiza",#REF!,5,FALSE)/VLOOKUP("suiza",#REF!,5,FALSE)-1</f>
        <v>#REF!</v>
      </c>
      <c r="G227" s="229" t="e">
        <f>VLOOKUP("suiza",#REF!,5,FALSE)</f>
        <v>#REF!</v>
      </c>
      <c r="H227" s="228" t="e">
        <f>VLOOKUP("suiza",#REF!,4,FALSE)/VLOOKUP("suiza",#REF!,4,FALSE)-1</f>
        <v>#REF!</v>
      </c>
      <c r="I227" s="229" t="e">
        <f>VLOOKUP("suiza",#REF!,4,FALSE)</f>
        <v>#REF!</v>
      </c>
      <c r="J227" s="228" t="e">
        <f>VLOOKUP("suiza",#REF!,3,FALSE)/VLOOKUP("suiza",#REF!,3,FALSE)-1</f>
        <v>#REF!</v>
      </c>
      <c r="K227" s="229" t="e">
        <f>VLOOKUP("suiza",#REF!,3,FALSE)</f>
        <v>#REF!</v>
      </c>
      <c r="L227" s="228" t="e">
        <f>VLOOKUP("suiza",#REF!,2,FALSE)/VLOOKUP("suiza",#REF!,2,FALSE)-1</f>
        <v>#REF!</v>
      </c>
      <c r="M227" s="229" t="e">
        <f>VLOOKUP("suiza",#REF!,2,FALSE)</f>
        <v>#REF!</v>
      </c>
      <c r="N227" s="228" t="e">
        <f>VLOOKUP("suiza",#REF!,7,FALSE)/VLOOKUP("suiza",#REF!,7,FALSE)-1</f>
        <v>#REF!</v>
      </c>
      <c r="O227" s="229" t="e">
        <f>VLOOKUP("suiza",#REF!,7,FALSE)</f>
        <v>#REF!</v>
      </c>
      <c r="P227" s="228" t="e">
        <f>VLOOKUP("suiza",#REF!,8,FALSE)/VLOOKUP("suiza",#REF!,8,FALSE)-1</f>
        <v>#REF!</v>
      </c>
      <c r="Q227" s="229" t="e">
        <f>VLOOKUP("suiza",#REF!,8,FALSE)</f>
        <v>#REF!</v>
      </c>
    </row>
    <row r="228" spans="3:17" ht="24" hidden="1" customHeight="1" x14ac:dyDescent="0.2">
      <c r="C228" s="227" t="s">
        <v>55</v>
      </c>
      <c r="D228" s="228" t="e">
        <f>VLOOKUP("austria",#REF!,6,FALSE)/VLOOKUP("austria",#REF!,6,FALSE)-1</f>
        <v>#REF!</v>
      </c>
      <c r="E228" s="229" t="e">
        <f>VLOOKUP("austria",#REF!,6,FALSE)</f>
        <v>#REF!</v>
      </c>
      <c r="F228" s="228" t="e">
        <f>VLOOKUP("austria",#REF!,5,FALSE)/VLOOKUP("austria",#REF!,5,FALSE)-1</f>
        <v>#REF!</v>
      </c>
      <c r="G228" s="229" t="e">
        <f>VLOOKUP("austria",#REF!,5,FALSE)</f>
        <v>#REF!</v>
      </c>
      <c r="H228" s="228" t="e">
        <f>VLOOKUP("austria",#REF!,4,FALSE)/VLOOKUP("austria",#REF!,4,FALSE)-1</f>
        <v>#REF!</v>
      </c>
      <c r="I228" s="229" t="e">
        <f>VLOOKUP("austria",#REF!,4,FALSE)</f>
        <v>#REF!</v>
      </c>
      <c r="J228" s="228" t="e">
        <f>VLOOKUP("austria",#REF!,3,FALSE)/VLOOKUP("austria",#REF!,3,FALSE)-1</f>
        <v>#REF!</v>
      </c>
      <c r="K228" s="229" t="e">
        <f>VLOOKUP("austria",#REF!,3,FALSE)</f>
        <v>#REF!</v>
      </c>
      <c r="L228" s="228" t="e">
        <f>VLOOKUP("austria",#REF!,2,FALSE)/VLOOKUP("austria",#REF!,2,FALSE)-1</f>
        <v>#REF!</v>
      </c>
      <c r="M228" s="229" t="e">
        <f>VLOOKUP("austria",#REF!,2,FALSE)</f>
        <v>#REF!</v>
      </c>
      <c r="N228" s="228" t="e">
        <f>VLOOKUP("austria",#REF!,7,FALSE)/VLOOKUP("austria",#REF!,7,FALSE)-1</f>
        <v>#REF!</v>
      </c>
      <c r="O228" s="229" t="e">
        <f>VLOOKUP("austria",#REF!,7,FALSE)</f>
        <v>#REF!</v>
      </c>
      <c r="P228" s="228" t="e">
        <f>VLOOKUP("austria",#REF!,8,FALSE)/VLOOKUP("austria",#REF!,8,FALSE)-1</f>
        <v>#REF!</v>
      </c>
      <c r="Q228" s="229" t="e">
        <f>VLOOKUP("austria",#REF!,8,FALSE)</f>
        <v>#REF!</v>
      </c>
    </row>
    <row r="229" spans="3:17" ht="24" hidden="1" customHeight="1" x14ac:dyDescent="0.2">
      <c r="C229" s="227" t="s">
        <v>56</v>
      </c>
      <c r="D229" s="228" t="e">
        <f>VLOOKUP("rusia",#REF!,6,FALSE)/VLOOKUP("rusia",#REF!,6,FALSE)-1</f>
        <v>#REF!</v>
      </c>
      <c r="E229" s="229" t="e">
        <f>VLOOKUP("rusia",#REF!,6,FALSE)</f>
        <v>#REF!</v>
      </c>
      <c r="F229" s="228" t="e">
        <f>VLOOKUP("rusia",#REF!,5,FALSE)/VLOOKUP("rusia",#REF!,5,FALSE)-1</f>
        <v>#REF!</v>
      </c>
      <c r="G229" s="229" t="e">
        <f>VLOOKUP("rusia",#REF!,5,FALSE)</f>
        <v>#REF!</v>
      </c>
      <c r="H229" s="228" t="e">
        <f>VLOOKUP("rusia",#REF!,4,FALSE)/VLOOKUP("rusia",#REF!,4,FALSE)-1</f>
        <v>#REF!</v>
      </c>
      <c r="I229" s="229" t="e">
        <f>VLOOKUP("rusia",#REF!,4,FALSE)</f>
        <v>#REF!</v>
      </c>
      <c r="J229" s="228" t="e">
        <f>VLOOKUP("rusia",#REF!,3,FALSE)/VLOOKUP("rusia",#REF!,3,FALSE)-1</f>
        <v>#REF!</v>
      </c>
      <c r="K229" s="229" t="e">
        <f>VLOOKUP("rusia",#REF!,3,FALSE)</f>
        <v>#REF!</v>
      </c>
      <c r="L229" s="228" t="e">
        <f>VLOOKUP("rusia",#REF!,2,FALSE)/VLOOKUP("rusia",#REF!,2,FALSE)-1</f>
        <v>#REF!</v>
      </c>
      <c r="M229" s="229" t="e">
        <f>VLOOKUP("rusia",#REF!,2,FALSE)</f>
        <v>#REF!</v>
      </c>
      <c r="N229" s="228" t="e">
        <f>VLOOKUP("rusia",#REF!,7,FALSE)/VLOOKUP("rusia",#REF!,7,FALSE)-1</f>
        <v>#REF!</v>
      </c>
      <c r="O229" s="229" t="e">
        <f>VLOOKUP("rusia",#REF!,7,FALSE)</f>
        <v>#REF!</v>
      </c>
      <c r="P229" s="228" t="e">
        <f>VLOOKUP("rusia",#REF!,8,FALSE)/VLOOKUP("rusia",#REF!,8,FALSE)-1</f>
        <v>#REF!</v>
      </c>
      <c r="Q229" s="229" t="e">
        <f>VLOOKUP("rusia",#REF!,8,FALSE)</f>
        <v>#REF!</v>
      </c>
    </row>
    <row r="230" spans="3:17" ht="24" hidden="1" customHeight="1" x14ac:dyDescent="0.2">
      <c r="C230" s="227" t="s">
        <v>57</v>
      </c>
      <c r="D230" s="228" t="e">
        <f>VLOOKUP("paises del este",#REF!,6,FALSE)/VLOOKUP("paises del este",#REF!,6,FALSE)-1</f>
        <v>#REF!</v>
      </c>
      <c r="E230" s="229" t="e">
        <f>VLOOKUP("paises del este",#REF!,6,FALSE)</f>
        <v>#REF!</v>
      </c>
      <c r="F230" s="228" t="e">
        <f>VLOOKUP("paises del este",#REF!,5,FALSE)/VLOOKUP("paises del este",#REF!,5,FALSE)-1</f>
        <v>#REF!</v>
      </c>
      <c r="G230" s="229" t="e">
        <f>VLOOKUP("paises del este",#REF!,5,FALSE)</f>
        <v>#REF!</v>
      </c>
      <c r="H230" s="228" t="e">
        <f>VLOOKUP("paises del este",#REF!,4,FALSE)/VLOOKUP("paises del este",#REF!,4,FALSE)-1</f>
        <v>#REF!</v>
      </c>
      <c r="I230" s="229" t="e">
        <f>VLOOKUP("paises del este",#REF!,4,FALSE)</f>
        <v>#REF!</v>
      </c>
      <c r="J230" s="228" t="e">
        <f>VLOOKUP("paises del este",#REF!,3,FALSE)/VLOOKUP("paises del este",#REF!,3,FALSE)-1</f>
        <v>#REF!</v>
      </c>
      <c r="K230" s="229" t="e">
        <f>VLOOKUP("paises del este",#REF!,3,FALSE)</f>
        <v>#REF!</v>
      </c>
      <c r="L230" s="228" t="e">
        <f>VLOOKUP("paises del este",#REF!,2,FALSE)/VLOOKUP("paises del este",#REF!,2,FALSE)-1</f>
        <v>#REF!</v>
      </c>
      <c r="M230" s="229" t="e">
        <f>VLOOKUP("paises del este",#REF!,2,FALSE)</f>
        <v>#REF!</v>
      </c>
      <c r="N230" s="228" t="e">
        <f>VLOOKUP("paises del este",#REF!,7,FALSE)/VLOOKUP("paises del este",#REF!,7,FALSE)-1</f>
        <v>#REF!</v>
      </c>
      <c r="O230" s="229" t="e">
        <f>VLOOKUP("paises del este",#REF!,7,FALSE)</f>
        <v>#REF!</v>
      </c>
      <c r="P230" s="228" t="e">
        <f>VLOOKUP("paises del este",#REF!,8,FALSE)/VLOOKUP("paises del este",#REF!,8,FALSE)-1</f>
        <v>#REF!</v>
      </c>
      <c r="Q230" s="229" t="e">
        <f>VLOOKUP("paises del este",#REF!,8,FALSE)</f>
        <v>#REF!</v>
      </c>
    </row>
    <row r="231" spans="3:17" ht="24" hidden="1" customHeight="1" x14ac:dyDescent="0.2">
      <c r="C231" s="227" t="s">
        <v>58</v>
      </c>
      <c r="D231" s="228" t="e">
        <f>VLOOKUP("resto de europa",#REF!,6,FALSE)/VLOOKUP("resto de europa",#REF!,6,FALSE)-1</f>
        <v>#REF!</v>
      </c>
      <c r="E231" s="229" t="e">
        <f>VLOOKUP("resto de europa",#REF!,6,FALSE)</f>
        <v>#REF!</v>
      </c>
      <c r="F231" s="228" t="e">
        <f>VLOOKUP("resto de europa",#REF!,5,FALSE)/VLOOKUP("resto de europa",#REF!,5,FALSE)-1</f>
        <v>#REF!</v>
      </c>
      <c r="G231" s="229" t="e">
        <f>VLOOKUP("resto de europa",#REF!,5,FALSE)</f>
        <v>#REF!</v>
      </c>
      <c r="H231" s="228" t="e">
        <f>VLOOKUP("resto de europa",#REF!,4,FALSE)/VLOOKUP("resto de europa",#REF!,4,FALSE)-1</f>
        <v>#REF!</v>
      </c>
      <c r="I231" s="229" t="e">
        <f>VLOOKUP("resto de europa",#REF!,4,FALSE)</f>
        <v>#REF!</v>
      </c>
      <c r="J231" s="228" t="e">
        <f>VLOOKUP("resto de europa",#REF!,3,FALSE)/VLOOKUP("resto de europa",#REF!,3,FALSE)-1</f>
        <v>#REF!</v>
      </c>
      <c r="K231" s="229" t="e">
        <f>VLOOKUP("resto de europa",#REF!,3,FALSE)</f>
        <v>#REF!</v>
      </c>
      <c r="L231" s="228" t="e">
        <f>VLOOKUP("resto de europa",#REF!,2,FALSE)/VLOOKUP("resto de europa",#REF!,2,FALSE)-1</f>
        <v>#REF!</v>
      </c>
      <c r="M231" s="229" t="e">
        <f>VLOOKUP("resto de europa",#REF!,2,FALSE)</f>
        <v>#REF!</v>
      </c>
      <c r="N231" s="228" t="e">
        <f>VLOOKUP("resto de europa",#REF!,7,FALSE)/VLOOKUP("resto de europa",#REF!,7,FALSE)-1</f>
        <v>#REF!</v>
      </c>
      <c r="O231" s="229" t="e">
        <f>VLOOKUP("resto de europa",#REF!,7,FALSE)</f>
        <v>#REF!</v>
      </c>
      <c r="P231" s="228" t="e">
        <f>VLOOKUP("resto de europa",#REF!,8,FALSE)/VLOOKUP("resto de europa",#REF!,8,FALSE)-1</f>
        <v>#REF!</v>
      </c>
      <c r="Q231" s="229" t="e">
        <f>VLOOKUP("resto de europa",#REF!,8,FALSE)</f>
        <v>#REF!</v>
      </c>
    </row>
    <row r="232" spans="3:17" ht="24" hidden="1" customHeight="1" x14ac:dyDescent="0.2">
      <c r="C232" s="227" t="s">
        <v>59</v>
      </c>
      <c r="D232" s="228" t="e">
        <f>VLOOKUP("usa",#REF!,6,FALSE)/VLOOKUP("usa",#REF!,6,FALSE)-1</f>
        <v>#REF!</v>
      </c>
      <c r="E232" s="229" t="e">
        <f>VLOOKUP("usa",#REF!,6,FALSE)</f>
        <v>#REF!</v>
      </c>
      <c r="F232" s="228" t="e">
        <f>VLOOKUP("usa",#REF!,5,FALSE)/VLOOKUP("usa",#REF!,5,FALSE)-1</f>
        <v>#REF!</v>
      </c>
      <c r="G232" s="229" t="e">
        <f>VLOOKUP("usa",#REF!,5,FALSE)</f>
        <v>#REF!</v>
      </c>
      <c r="H232" s="228" t="e">
        <f>VLOOKUP("usa",#REF!,4,FALSE)/VLOOKUP("usa",#REF!,4,FALSE)-1</f>
        <v>#REF!</v>
      </c>
      <c r="I232" s="229" t="e">
        <f>VLOOKUP("usa",#REF!,4,FALSE)</f>
        <v>#REF!</v>
      </c>
      <c r="J232" s="228" t="e">
        <f>VLOOKUP("usa",#REF!,3,FALSE)/VLOOKUP("usa",#REF!,3,FALSE)-1</f>
        <v>#REF!</v>
      </c>
      <c r="K232" s="229" t="e">
        <f>VLOOKUP("usa",#REF!,3,FALSE)</f>
        <v>#REF!</v>
      </c>
      <c r="L232" s="228" t="e">
        <f>VLOOKUP("usa",#REF!,2,FALSE)/VLOOKUP("usa",#REF!,2,FALSE)-1</f>
        <v>#REF!</v>
      </c>
      <c r="M232" s="229" t="e">
        <f>VLOOKUP("usa",#REF!,2,FALSE)</f>
        <v>#REF!</v>
      </c>
      <c r="N232" s="228" t="e">
        <f>VLOOKUP("usa",#REF!,7,FALSE)/VLOOKUP("usa",#REF!,7,FALSE)-1</f>
        <v>#REF!</v>
      </c>
      <c r="O232" s="229" t="e">
        <f>VLOOKUP("usa",#REF!,7,FALSE)</f>
        <v>#REF!</v>
      </c>
      <c r="P232" s="228" t="e">
        <f>VLOOKUP("usa",#REF!,8,FALSE)/VLOOKUP("usa",#REF!,8,FALSE)-1</f>
        <v>#REF!</v>
      </c>
      <c r="Q232" s="229" t="e">
        <f>VLOOKUP("usa",#REF!,8,FALSE)</f>
        <v>#REF!</v>
      </c>
    </row>
    <row r="233" spans="3:17" ht="24" hidden="1" customHeight="1" x14ac:dyDescent="0.2">
      <c r="C233" s="227" t="s">
        <v>60</v>
      </c>
      <c r="D233" s="228" t="e">
        <f>VLOOKUP("resto de america",#REF!,6,FALSE)/VLOOKUP("resto de america",#REF!,6,FALSE)-1</f>
        <v>#REF!</v>
      </c>
      <c r="E233" s="229" t="e">
        <f>VLOOKUP("resto de america",#REF!,6,FALSE)</f>
        <v>#REF!</v>
      </c>
      <c r="F233" s="228" t="e">
        <f>VLOOKUP("resto de america",#REF!,5,FALSE)/VLOOKUP("resto de america",#REF!,5,FALSE)-1</f>
        <v>#REF!</v>
      </c>
      <c r="G233" s="229" t="e">
        <f>VLOOKUP("resto de america",#REF!,5,FALSE)</f>
        <v>#REF!</v>
      </c>
      <c r="H233" s="228" t="e">
        <f>VLOOKUP("resto de america",#REF!,4,FALSE)/VLOOKUP("resto de america",#REF!,4,FALSE)-1</f>
        <v>#REF!</v>
      </c>
      <c r="I233" s="229" t="e">
        <f>VLOOKUP("resto de america",#REF!,4,FALSE)</f>
        <v>#REF!</v>
      </c>
      <c r="J233" s="228" t="e">
        <f>VLOOKUP("resto de america",#REF!,3,FALSE)/VLOOKUP("resto de america",#REF!,3,FALSE)-1</f>
        <v>#REF!</v>
      </c>
      <c r="K233" s="229" t="e">
        <f>VLOOKUP("resto de america",#REF!,3,FALSE)</f>
        <v>#REF!</v>
      </c>
      <c r="L233" s="228" t="e">
        <f>VLOOKUP("resto de america",#REF!,2,FALSE)/VLOOKUP("resto de america",#REF!,2,FALSE)-1</f>
        <v>#REF!</v>
      </c>
      <c r="M233" s="229" t="e">
        <f>VLOOKUP("resto de america",#REF!,2,FALSE)</f>
        <v>#REF!</v>
      </c>
      <c r="N233" s="228" t="e">
        <f>VLOOKUP("resto de america",#REF!,7,FALSE)/VLOOKUP("resto de america",#REF!,7,FALSE)-1</f>
        <v>#REF!</v>
      </c>
      <c r="O233" s="229" t="e">
        <f>VLOOKUP("resto de america",#REF!,7,FALSE)</f>
        <v>#REF!</v>
      </c>
      <c r="P233" s="228" t="e">
        <f>VLOOKUP("resto de america",#REF!,8,FALSE)/VLOOKUP("resto de america",#REF!,8,FALSE)-1</f>
        <v>#REF!</v>
      </c>
      <c r="Q233" s="229" t="e">
        <f>VLOOKUP("resto de america",#REF!,8,FALSE)</f>
        <v>#REF!</v>
      </c>
    </row>
    <row r="234" spans="3:17" ht="24" hidden="1" customHeight="1" x14ac:dyDescent="0.2">
      <c r="C234" s="227" t="s">
        <v>61</v>
      </c>
      <c r="D234" s="228" t="e">
        <f>VLOOKUP("resto del mundo",#REF!,6,FALSE)/VLOOKUP("resto del mundo",#REF!,6,FALSE)-1</f>
        <v>#REF!</v>
      </c>
      <c r="E234" s="229" t="e">
        <f>VLOOKUP("resto del mundo",#REF!,6,FALSE)</f>
        <v>#REF!</v>
      </c>
      <c r="F234" s="228" t="e">
        <f>VLOOKUP("resto del mundo",#REF!,5,FALSE)/VLOOKUP("resto del mundo",#REF!,5,FALSE)-1</f>
        <v>#REF!</v>
      </c>
      <c r="G234" s="229" t="e">
        <f>VLOOKUP("resto del mundo",#REF!,5,FALSE)</f>
        <v>#REF!</v>
      </c>
      <c r="H234" s="228" t="e">
        <f>VLOOKUP("resto del mundo",#REF!,4,FALSE)/VLOOKUP("resto del mundo",#REF!,4,FALSE)-1</f>
        <v>#REF!</v>
      </c>
      <c r="I234" s="229" t="e">
        <f>VLOOKUP("resto del mundo",#REF!,4,FALSE)</f>
        <v>#REF!</v>
      </c>
      <c r="J234" s="228" t="e">
        <f>VLOOKUP("resto del mundo",#REF!,3,FALSE)/VLOOKUP("resto del mundo",#REF!,3,FALSE)-1</f>
        <v>#REF!</v>
      </c>
      <c r="K234" s="229" t="e">
        <f>VLOOKUP("resto del mundo",#REF!,3,FALSE)</f>
        <v>#REF!</v>
      </c>
      <c r="L234" s="228" t="e">
        <f>VLOOKUP("resto del mundo",#REF!,2,FALSE)/VLOOKUP("resto del mundo",#REF!,2,FALSE)-1</f>
        <v>#REF!</v>
      </c>
      <c r="M234" s="229" t="e">
        <f>VLOOKUP("resto del mundo",#REF!,2,FALSE)</f>
        <v>#REF!</v>
      </c>
      <c r="N234" s="228" t="e">
        <f>VLOOKUP("resto del mundo",#REF!,7,FALSE)/VLOOKUP("resto del mundo",#REF!,7,FALSE)-1</f>
        <v>#REF!</v>
      </c>
      <c r="O234" s="229" t="e">
        <f>VLOOKUP("resto del mundo",#REF!,7,FALSE)</f>
        <v>#REF!</v>
      </c>
      <c r="P234" s="228" t="e">
        <f>VLOOKUP("resto del mundo",#REF!,8,FALSE)/VLOOKUP("resto del mundo",#REF!,8,FALSE)-1</f>
        <v>#REF!</v>
      </c>
      <c r="Q234" s="229" t="e">
        <f>VLOOKUP("resto del mundo",#REF!,8,FALSE)</f>
        <v>#REF!</v>
      </c>
    </row>
    <row r="235" spans="3:17" ht="24" hidden="1" customHeight="1" x14ac:dyDescent="0.2">
      <c r="C235" s="227" t="s">
        <v>62</v>
      </c>
      <c r="D235" s="228" t="e">
        <f>(VLOOKUP("total",#REF!,6,FALSE)-VLOOKUP("españa",#REF!,6,FALSE))/(VLOOKUP("total",#REF!,6,FALSE)-VLOOKUP("españa",#REF!,6,FALSE))-1</f>
        <v>#REF!</v>
      </c>
      <c r="E235" s="229" t="e">
        <f>VLOOKUP("total",#REF!,6,FALSE)-VLOOKUP("españa",#REF!,6,FALSE)</f>
        <v>#REF!</v>
      </c>
      <c r="F235" s="228" t="e">
        <f>(VLOOKUP("total",#REF!,5,FALSE)-VLOOKUP("españa",#REF!,5,FALSE))/(VLOOKUP("total",#REF!,5,FALSE)-VLOOKUP("españa",#REF!,5,FALSE))-1</f>
        <v>#REF!</v>
      </c>
      <c r="G235" s="229" t="e">
        <f>VLOOKUP("total",#REF!,5,FALSE)-VLOOKUP("españa",#REF!,5,FALSE)</f>
        <v>#REF!</v>
      </c>
      <c r="H235" s="228" t="e">
        <f>(VLOOKUP("total",#REF!,4,FALSE)-VLOOKUP("españa",#REF!,4,FALSE))/(VLOOKUP("total",#REF!,4,FALSE)-VLOOKUP("españa",#REF!,4,FALSE))-1</f>
        <v>#REF!</v>
      </c>
      <c r="I235" s="229" t="e">
        <f>VLOOKUP("total",#REF!,4,FALSE)-VLOOKUP("españa",#REF!,4,FALSE)</f>
        <v>#REF!</v>
      </c>
      <c r="J235" s="228" t="e">
        <f>(VLOOKUP("total",#REF!,3,FALSE)-VLOOKUP("españa",#REF!,3,FALSE))/(VLOOKUP("total",#REF!,3,FALSE)-VLOOKUP("españa",#REF!,3,FALSE))-1</f>
        <v>#REF!</v>
      </c>
      <c r="K235" s="229" t="e">
        <f>VLOOKUP("total",#REF!,3,FALSE)-VLOOKUP("españa",#REF!,3,FALSE)</f>
        <v>#REF!</v>
      </c>
      <c r="L235" s="228" t="e">
        <f>(VLOOKUP("total",#REF!,2,FALSE)-VLOOKUP("españa",#REF!,2,FALSE))/(VLOOKUP("total",#REF!,2,FALSE)-VLOOKUP("españa",#REF!,2,FALSE))-1</f>
        <v>#REF!</v>
      </c>
      <c r="M235" s="229" t="e">
        <f>VLOOKUP("total",#REF!,2,FALSE)-VLOOKUP("españa",#REF!,2,FALSE)</f>
        <v>#REF!</v>
      </c>
      <c r="N235" s="228" t="e">
        <f>(VLOOKUP("total",#REF!,7,FALSE)-VLOOKUP("españa",#REF!,7,FALSE))/(VLOOKUP("total",#REF!,7,FALSE)-VLOOKUP("españa",#REF!,7,FALSE))-1</f>
        <v>#REF!</v>
      </c>
      <c r="O235" s="229" t="e">
        <f>VLOOKUP("total",#REF!,7,FALSE)-VLOOKUP("españa",#REF!,7,FALSE)</f>
        <v>#REF!</v>
      </c>
      <c r="P235" s="228" t="e">
        <f>(VLOOKUP("total",#REF!,8,FALSE)-VLOOKUP("españa",#REF!,8,FALSE))/(VLOOKUP("total",#REF!,8,FALSE)-VLOOKUP("españa",#REF!,8,FALSE))-1</f>
        <v>#REF!</v>
      </c>
      <c r="Q235" s="229" t="e">
        <f>VLOOKUP("total",#REF!,8,FALSE)-VLOOKUP("españa",#REF!,8,FALSE)</f>
        <v>#REF!</v>
      </c>
    </row>
    <row r="236" spans="3:17" ht="24" hidden="1" customHeight="1" x14ac:dyDescent="0.2">
      <c r="C236" s="227" t="s">
        <v>7</v>
      </c>
      <c r="D236" s="228" t="e">
        <f>VLOOKUP("total",#REF!,6,FALSE)/VLOOKUP("total",#REF!,6,FALSE)-1</f>
        <v>#REF!</v>
      </c>
      <c r="E236" s="229" t="e">
        <f>VLOOKUP("total",#REF!,6,FALSE)</f>
        <v>#REF!</v>
      </c>
      <c r="F236" s="228" t="e">
        <f>VLOOKUP("total",#REF!,5,FALSE)/VLOOKUP("total",#REF!,5,FALSE)-1</f>
        <v>#REF!</v>
      </c>
      <c r="G236" s="229" t="e">
        <f>VLOOKUP("total",#REF!,5,FALSE)</f>
        <v>#REF!</v>
      </c>
      <c r="H236" s="228" t="e">
        <f>VLOOKUP("total",#REF!,4,FALSE)/VLOOKUP("total",#REF!,4,FALSE)-1</f>
        <v>#REF!</v>
      </c>
      <c r="I236" s="229" t="e">
        <f>VLOOKUP("total",#REF!,4,FALSE)</f>
        <v>#REF!</v>
      </c>
      <c r="J236" s="228" t="e">
        <f>VLOOKUP("total",#REF!,3,FALSE)/VLOOKUP("total",#REF!,3,FALSE)-1</f>
        <v>#REF!</v>
      </c>
      <c r="K236" s="229" t="e">
        <f>VLOOKUP("total",#REF!,3,FALSE)</f>
        <v>#REF!</v>
      </c>
      <c r="L236" s="228" t="e">
        <f>VLOOKUP("total",#REF!,2,FALSE)/VLOOKUP("total",#REF!,2,FALSE)-1</f>
        <v>#REF!</v>
      </c>
      <c r="M236" s="229" t="e">
        <f>VLOOKUP("total",#REF!,2,FALSE)</f>
        <v>#REF!</v>
      </c>
      <c r="N236" s="228" t="e">
        <f>VLOOKUP("total",#REF!,7,FALSE)/VLOOKUP("total",#REF!,7,FALSE)-1</f>
        <v>#REF!</v>
      </c>
      <c r="O236" s="229" t="e">
        <f>VLOOKUP("total",#REF!,7,FALSE)</f>
        <v>#REF!</v>
      </c>
      <c r="P236" s="228" t="e">
        <f>VLOOKUP("total",#REF!,8,FALSE)/VLOOKUP("total",#REF!,8,FALSE)-1</f>
        <v>#REF!</v>
      </c>
      <c r="Q236" s="229" t="e">
        <f>VLOOKUP("total",#REF!,8,FALSE)</f>
        <v>#REF!</v>
      </c>
    </row>
    <row r="237" spans="3:17" ht="18" customHeight="1" thickBot="1" x14ac:dyDescent="0.25">
      <c r="C237" s="4"/>
    </row>
    <row r="238" spans="3:17" ht="50.25" customHeight="1" thickBot="1" x14ac:dyDescent="0.25">
      <c r="C238" s="2"/>
      <c r="D238" s="2"/>
      <c r="E238" s="3" t="str">
        <f>$E$1</f>
        <v>INDICADORES TURÍSTICOS DE TENERIFE definitivo</v>
      </c>
      <c r="F238" s="3"/>
      <c r="G238" s="3"/>
      <c r="H238" s="3"/>
      <c r="I238" s="3"/>
      <c r="J238" s="3"/>
      <c r="K238" s="3"/>
      <c r="L238" s="2"/>
      <c r="M238" s="2"/>
    </row>
    <row r="239" spans="3:17" ht="5.25" customHeight="1" thickBot="1" x14ac:dyDescent="0.25">
      <c r="C239" s="4"/>
    </row>
    <row r="240" spans="3:17" ht="28.5" customHeight="1" thickBot="1" x14ac:dyDescent="0.25">
      <c r="C240" s="234" t="s">
        <v>67</v>
      </c>
      <c r="D240" s="235"/>
      <c r="E240" s="235"/>
      <c r="F240" s="235"/>
      <c r="G240" s="235"/>
      <c r="H240" s="235"/>
      <c r="I240" s="235"/>
      <c r="J240" s="235"/>
      <c r="K240" s="235"/>
      <c r="L240" s="235"/>
      <c r="M240" s="236"/>
    </row>
    <row r="241" spans="3:13" ht="5.25" customHeight="1" thickBot="1" x14ac:dyDescent="0.25">
      <c r="C241" s="237"/>
      <c r="D241" s="238"/>
      <c r="E241" s="238"/>
      <c r="F241" s="238"/>
      <c r="G241" s="239"/>
      <c r="H241" s="239"/>
      <c r="I241" s="239"/>
      <c r="J241" s="238"/>
      <c r="K241" s="238"/>
      <c r="L241" s="238"/>
      <c r="M241" s="240"/>
    </row>
    <row r="242" spans="3:13" ht="32.25" customHeight="1" thickTop="1" thickBot="1" x14ac:dyDescent="0.25">
      <c r="C242" s="177"/>
      <c r="D242" s="178" t="s">
        <v>6</v>
      </c>
      <c r="E242" s="179"/>
      <c r="F242" s="178" t="s">
        <v>31</v>
      </c>
      <c r="G242" s="179"/>
      <c r="H242" s="178" t="s">
        <v>32</v>
      </c>
      <c r="I242" s="179"/>
      <c r="J242" s="178" t="s">
        <v>33</v>
      </c>
      <c r="K242" s="179"/>
      <c r="L242" s="178" t="s">
        <v>34</v>
      </c>
      <c r="M242" s="180"/>
    </row>
    <row r="243" spans="3:13" ht="31.5" customHeight="1" thickBot="1" x14ac:dyDescent="0.25">
      <c r="C243" s="181"/>
      <c r="D243" s="241" t="s">
        <v>68</v>
      </c>
      <c r="E243" s="242" t="s">
        <v>69</v>
      </c>
      <c r="F243" s="241" t="s">
        <v>68</v>
      </c>
      <c r="G243" s="242" t="s">
        <v>69</v>
      </c>
      <c r="H243" s="241" t="s">
        <v>68</v>
      </c>
      <c r="I243" s="242" t="s">
        <v>69</v>
      </c>
      <c r="J243" s="241" t="s">
        <v>68</v>
      </c>
      <c r="K243" s="242" t="s">
        <v>69</v>
      </c>
      <c r="L243" s="241" t="s">
        <v>68</v>
      </c>
      <c r="M243" s="243" t="s">
        <v>69</v>
      </c>
    </row>
    <row r="244" spans="3:13" ht="18.75" thickBot="1" x14ac:dyDescent="0.25">
      <c r="C244" s="185" t="s">
        <v>37</v>
      </c>
      <c r="D244" s="244">
        <v>0.18479562563309052</v>
      </c>
      <c r="E244" s="245">
        <v>0.22431534288066726</v>
      </c>
      <c r="F244" s="244">
        <v>0.61722318075712979</v>
      </c>
      <c r="G244" s="245">
        <v>0.69469728601252612</v>
      </c>
      <c r="H244" s="244">
        <v>0.52322163433274549</v>
      </c>
      <c r="I244" s="245">
        <v>0.51350640238554635</v>
      </c>
      <c r="J244" s="244">
        <v>0.38802301794045357</v>
      </c>
      <c r="K244" s="245">
        <v>0.46753921275076582</v>
      </c>
      <c r="L244" s="244">
        <v>0.1115571275295057</v>
      </c>
      <c r="M244" s="246">
        <v>0.14593210057956646</v>
      </c>
    </row>
    <row r="245" spans="3:13" ht="26.25" thickBot="1" x14ac:dyDescent="0.25">
      <c r="C245" s="247" t="s">
        <v>70</v>
      </c>
      <c r="D245" s="248">
        <f>E121/$E$145</f>
        <v>4.1503992192463889E-2</v>
      </c>
      <c r="E245" s="249">
        <f>E153/$E$177</f>
        <v>6.1897021163514532E-2</v>
      </c>
      <c r="F245" s="248"/>
      <c r="G245" s="249"/>
      <c r="H245" s="248"/>
      <c r="I245" s="249"/>
      <c r="J245" s="248"/>
      <c r="K245" s="249"/>
      <c r="L245" s="248"/>
      <c r="M245" s="250"/>
    </row>
    <row r="246" spans="3:13" ht="26.25" thickBot="1" x14ac:dyDescent="0.25">
      <c r="C246" s="247" t="s">
        <v>40</v>
      </c>
      <c r="D246" s="248">
        <f>E122/$E$145</f>
        <v>2.9371220386857709E-2</v>
      </c>
      <c r="E246" s="249">
        <f>E154/$E$177</f>
        <v>3.7518796487585986E-2</v>
      </c>
      <c r="F246" s="248"/>
      <c r="G246" s="249"/>
      <c r="H246" s="248"/>
      <c r="I246" s="249"/>
      <c r="J246" s="248"/>
      <c r="K246" s="249"/>
      <c r="L246" s="248"/>
      <c r="M246" s="250"/>
    </row>
    <row r="247" spans="3:13" ht="18.75" thickBot="1" x14ac:dyDescent="0.25">
      <c r="C247" s="247" t="s">
        <v>41</v>
      </c>
      <c r="D247" s="248">
        <f>E123/$E$145</f>
        <v>0.11392041305376892</v>
      </c>
      <c r="E247" s="249">
        <f>E155/$E$177</f>
        <v>0.1248995252295632</v>
      </c>
      <c r="F247" s="248"/>
      <c r="G247" s="249"/>
      <c r="H247" s="248"/>
      <c r="I247" s="249"/>
      <c r="J247" s="248"/>
      <c r="K247" s="249"/>
      <c r="L247" s="248"/>
      <c r="M247" s="250"/>
    </row>
    <row r="248" spans="3:13" ht="18.75" thickBot="1" x14ac:dyDescent="0.25">
      <c r="C248" s="251" t="s">
        <v>42</v>
      </c>
      <c r="D248" s="252">
        <v>2.8899290938637894E-2</v>
      </c>
      <c r="E248" s="253">
        <v>2.6748617497333666E-2</v>
      </c>
      <c r="F248" s="252">
        <v>9.0327818938394401E-3</v>
      </c>
      <c r="G248" s="253">
        <v>6.7198821073314501E-3</v>
      </c>
      <c r="H248" s="252">
        <v>3.5861258083480306E-2</v>
      </c>
      <c r="I248" s="253">
        <v>1.8563994620826755E-2</v>
      </c>
      <c r="J248" s="252">
        <v>8.653803699942602E-3</v>
      </c>
      <c r="K248" s="253">
        <v>7.0260497040329824E-3</v>
      </c>
      <c r="L248" s="252">
        <v>3.43370262245178E-2</v>
      </c>
      <c r="M248" s="254">
        <v>3.2063175414587419E-2</v>
      </c>
    </row>
    <row r="249" spans="3:13" ht="24" customHeight="1" thickBot="1" x14ac:dyDescent="0.25">
      <c r="C249" s="255" t="s">
        <v>43</v>
      </c>
      <c r="D249" s="248">
        <v>3.3186695200779263E-2</v>
      </c>
      <c r="E249" s="249">
        <v>2.7234006020837715E-2</v>
      </c>
      <c r="F249" s="248">
        <v>8.2208464427078048E-3</v>
      </c>
      <c r="G249" s="249">
        <v>6.8230381923124151E-3</v>
      </c>
      <c r="H249" s="248">
        <v>1.1757789535567314E-2</v>
      </c>
      <c r="I249" s="249">
        <v>1.0787581126118224E-2</v>
      </c>
      <c r="J249" s="248">
        <v>5.3129645164613597E-3</v>
      </c>
      <c r="K249" s="249">
        <v>4.3231913766496998E-3</v>
      </c>
      <c r="L249" s="248">
        <v>4.0855727724131048E-2</v>
      </c>
      <c r="M249" s="250">
        <v>3.3322596956410308E-2</v>
      </c>
    </row>
    <row r="250" spans="3:13" ht="24" customHeight="1" thickBot="1" x14ac:dyDescent="0.25">
      <c r="C250" s="251" t="s">
        <v>44</v>
      </c>
      <c r="D250" s="252">
        <v>0.12576061952384307</v>
      </c>
      <c r="E250" s="253">
        <v>0.11884637967948819</v>
      </c>
      <c r="F250" s="252">
        <v>6.3280219222571807E-2</v>
      </c>
      <c r="G250" s="253">
        <v>4.1797863195382534E-2</v>
      </c>
      <c r="H250" s="252">
        <v>0.19429747207524986</v>
      </c>
      <c r="I250" s="253">
        <v>0.22063380693445594</v>
      </c>
      <c r="J250" s="252">
        <v>0.2855019353319499</v>
      </c>
      <c r="K250" s="253">
        <v>0.24366031738719857</v>
      </c>
      <c r="L250" s="252">
        <v>9.5020211093644738E-2</v>
      </c>
      <c r="M250" s="254">
        <v>9.5053795680315217E-2</v>
      </c>
    </row>
    <row r="251" spans="3:13" ht="24" customHeight="1" thickBot="1" x14ac:dyDescent="0.25">
      <c r="C251" s="255" t="s">
        <v>45</v>
      </c>
      <c r="D251" s="248">
        <v>2.7840192775298721E-2</v>
      </c>
      <c r="E251" s="249">
        <v>3.2791015087444711E-2</v>
      </c>
      <c r="F251" s="248">
        <v>3.2883385770831219E-2</v>
      </c>
      <c r="G251" s="249">
        <v>3.2214171681198576E-2</v>
      </c>
      <c r="H251" s="248">
        <v>7.2310405643738973E-2</v>
      </c>
      <c r="I251" s="249">
        <v>6.4170028649944449E-2</v>
      </c>
      <c r="J251" s="248">
        <v>2.2973788393895241E-2</v>
      </c>
      <c r="K251" s="249">
        <v>3.5969781422023631E-2</v>
      </c>
      <c r="L251" s="248">
        <v>2.8089677371060707E-2</v>
      </c>
      <c r="M251" s="250">
        <v>3.1871701780061608E-2</v>
      </c>
    </row>
    <row r="252" spans="3:13" ht="24" customHeight="1" thickBot="1" x14ac:dyDescent="0.25">
      <c r="C252" s="251" t="s">
        <v>46</v>
      </c>
      <c r="D252" s="252">
        <v>0.29925353012478412</v>
      </c>
      <c r="E252" s="253">
        <v>0.32712952803492623</v>
      </c>
      <c r="F252" s="252">
        <v>4.5417639297675838E-2</v>
      </c>
      <c r="G252" s="253">
        <v>4.1763477833722217E-2</v>
      </c>
      <c r="H252" s="252">
        <v>2.8512639623750734E-2</v>
      </c>
      <c r="I252" s="253">
        <v>2.800678243582997E-2</v>
      </c>
      <c r="J252" s="252">
        <v>7.4646415588620549E-2</v>
      </c>
      <c r="K252" s="253">
        <v>7.5741069166455538E-2</v>
      </c>
      <c r="L252" s="252">
        <v>0.36532799361229634</v>
      </c>
      <c r="M252" s="254">
        <v>0.3980331155382586</v>
      </c>
    </row>
    <row r="253" spans="3:13" ht="24" customHeight="1" thickBot="1" x14ac:dyDescent="0.25">
      <c r="C253" s="255" t="s">
        <v>47</v>
      </c>
      <c r="D253" s="248">
        <v>9.8500987438998617E-3</v>
      </c>
      <c r="E253" s="249">
        <v>1.4131623615870632E-2</v>
      </c>
      <c r="F253" s="248">
        <v>4.3641530498325382E-3</v>
      </c>
      <c r="G253" s="249">
        <v>3.8609848950018422E-3</v>
      </c>
      <c r="H253" s="248">
        <v>1.1757789535567313E-3</v>
      </c>
      <c r="I253" s="249">
        <v>3.0404022686078467E-3</v>
      </c>
      <c r="J253" s="248">
        <v>3.0906441785509293E-3</v>
      </c>
      <c r="K253" s="249">
        <v>4.1377801322062787E-3</v>
      </c>
      <c r="L253" s="248">
        <v>1.1711829727774035E-2</v>
      </c>
      <c r="M253" s="250">
        <v>1.6889508333308594E-2</v>
      </c>
    </row>
    <row r="254" spans="3:13" ht="24" customHeight="1" thickBot="1" x14ac:dyDescent="0.25">
      <c r="C254" s="251" t="s">
        <v>48</v>
      </c>
      <c r="D254" s="252">
        <v>2.7194045730692715E-2</v>
      </c>
      <c r="E254" s="253">
        <v>2.3053138486454086E-2</v>
      </c>
      <c r="F254" s="252">
        <v>3.0041611691870498E-2</v>
      </c>
      <c r="G254" s="253">
        <v>3.1973474149576325E-2</v>
      </c>
      <c r="H254" s="252">
        <v>3.0570252792475015E-2</v>
      </c>
      <c r="I254" s="253">
        <v>4.3238028416067359E-2</v>
      </c>
      <c r="J254" s="252">
        <v>1.2627489072365225E-2</v>
      </c>
      <c r="K254" s="253">
        <v>1.194232673837437E-2</v>
      </c>
      <c r="L254" s="252">
        <v>3.0070239788407317E-2</v>
      </c>
      <c r="M254" s="254">
        <v>2.4819831720897738E-2</v>
      </c>
    </row>
    <row r="255" spans="3:13" ht="24" customHeight="1" thickBot="1" x14ac:dyDescent="0.25">
      <c r="C255" s="255" t="s">
        <v>49</v>
      </c>
      <c r="D255" s="248">
        <v>0.16906218800935699</v>
      </c>
      <c r="E255" s="249">
        <v>9.745490538614221E-2</v>
      </c>
      <c r="F255" s="248">
        <v>8.1751750735816503E-2</v>
      </c>
      <c r="G255" s="249">
        <v>4.6891808915633063E-2</v>
      </c>
      <c r="H255" s="248">
        <v>1.7048794826572605E-2</v>
      </c>
      <c r="I255" s="249">
        <v>1.3769514120329767E-2</v>
      </c>
      <c r="J255" s="248">
        <v>0.1284972110615627</v>
      </c>
      <c r="K255" s="249">
        <v>7.0489669944952441E-2</v>
      </c>
      <c r="L255" s="248">
        <v>0.18463832123162913</v>
      </c>
      <c r="M255" s="250">
        <v>0.10650189049291349</v>
      </c>
    </row>
    <row r="256" spans="3:13" ht="24" customHeight="1" thickBot="1" x14ac:dyDescent="0.25">
      <c r="C256" s="256" t="s">
        <v>50</v>
      </c>
      <c r="D256" s="252">
        <v>6.5316721362447192E-2</v>
      </c>
      <c r="E256" s="253">
        <v>3.4890092227704131E-2</v>
      </c>
      <c r="F256" s="252">
        <v>3.1056531005785041E-2</v>
      </c>
      <c r="G256" s="253">
        <v>1.8322485570428589E-2</v>
      </c>
      <c r="H256" s="252">
        <v>5.8788947677836569E-3</v>
      </c>
      <c r="I256" s="253">
        <v>4.9698883236859032E-3</v>
      </c>
      <c r="J256" s="252">
        <v>2.7948253786039119E-2</v>
      </c>
      <c r="K256" s="253">
        <v>1.693576248934749E-2</v>
      </c>
      <c r="L256" s="252">
        <v>7.5972502931856173E-2</v>
      </c>
      <c r="M256" s="254">
        <v>3.9834432203985227E-2</v>
      </c>
    </row>
    <row r="257" spans="3:14" ht="24" customHeight="1" thickBot="1" x14ac:dyDescent="0.25">
      <c r="C257" s="247" t="s">
        <v>51</v>
      </c>
      <c r="D257" s="248">
        <v>3.1940554471896247E-2</v>
      </c>
      <c r="E257" s="249">
        <v>2.2866092008609187E-2</v>
      </c>
      <c r="F257" s="248">
        <v>2.1922257180554145E-2</v>
      </c>
      <c r="G257" s="249">
        <v>1.2093822915387449E-2</v>
      </c>
      <c r="H257" s="248">
        <v>3.2333921222810111E-3</v>
      </c>
      <c r="I257" s="249">
        <v>2.3095363386540372E-3</v>
      </c>
      <c r="J257" s="248">
        <v>1.4996982942587606E-2</v>
      </c>
      <c r="K257" s="249">
        <v>1.0007600709399544E-2</v>
      </c>
      <c r="L257" s="248">
        <v>3.645170546697607E-2</v>
      </c>
      <c r="M257" s="250">
        <v>2.63446941023152E-2</v>
      </c>
    </row>
    <row r="258" spans="3:14" ht="24" customHeight="1" thickBot="1" x14ac:dyDescent="0.25">
      <c r="C258" s="256" t="s">
        <v>52</v>
      </c>
      <c r="D258" s="252">
        <v>3.0478221686735283E-2</v>
      </c>
      <c r="E258" s="253">
        <v>1.8662499201216366E-2</v>
      </c>
      <c r="F258" s="252">
        <v>1.0098447173449711E-2</v>
      </c>
      <c r="G258" s="253">
        <v>6.8426869704040277E-3</v>
      </c>
      <c r="H258" s="252">
        <v>3.2333921222810111E-3</v>
      </c>
      <c r="I258" s="253">
        <v>4.4436648541191608E-3</v>
      </c>
      <c r="J258" s="252">
        <v>3.1863069745536959E-2</v>
      </c>
      <c r="K258" s="253">
        <v>1.2136950963908147E-2</v>
      </c>
      <c r="L258" s="252">
        <v>3.1726426628739673E-2</v>
      </c>
      <c r="M258" s="254">
        <v>2.077983698518578E-2</v>
      </c>
    </row>
    <row r="259" spans="3:14" ht="24" customHeight="1" thickBot="1" x14ac:dyDescent="0.25">
      <c r="C259" s="247" t="s">
        <v>53</v>
      </c>
      <c r="D259" s="248">
        <v>4.1326690488278264E-2</v>
      </c>
      <c r="E259" s="249">
        <v>2.1036221948612526E-2</v>
      </c>
      <c r="F259" s="248">
        <v>1.8674515376027608E-2</v>
      </c>
      <c r="G259" s="249">
        <v>9.6328134594129925E-3</v>
      </c>
      <c r="H259" s="248">
        <v>4.7031158142269254E-3</v>
      </c>
      <c r="I259" s="249">
        <v>2.046424603870666E-3</v>
      </c>
      <c r="J259" s="248">
        <v>5.3688904587399E-2</v>
      </c>
      <c r="K259" s="249">
        <v>3.1409355782297255E-2</v>
      </c>
      <c r="L259" s="248">
        <v>4.048768620405719E-2</v>
      </c>
      <c r="M259" s="250">
        <v>1.9542927201427297E-2</v>
      </c>
    </row>
    <row r="260" spans="3:14" ht="24" customHeight="1" thickBot="1" x14ac:dyDescent="0.25">
      <c r="C260" s="251" t="s">
        <v>54</v>
      </c>
      <c r="D260" s="252">
        <v>1.0114873284734654E-2</v>
      </c>
      <c r="E260" s="253">
        <v>1.0461006442129316E-2</v>
      </c>
      <c r="F260" s="252">
        <v>6.3939916776616255E-3</v>
      </c>
      <c r="G260" s="253">
        <v>6.4644479921404886E-3</v>
      </c>
      <c r="H260" s="252">
        <v>1.5285126396237508E-2</v>
      </c>
      <c r="I260" s="253">
        <v>1.8856340992808279E-2</v>
      </c>
      <c r="J260" s="252">
        <v>7.8737839786892725E-3</v>
      </c>
      <c r="K260" s="253">
        <v>7.4544533247345507E-3</v>
      </c>
      <c r="L260" s="252">
        <v>1.0763654964193927E-2</v>
      </c>
      <c r="M260" s="254">
        <v>1.1237078003489075E-2</v>
      </c>
    </row>
    <row r="261" spans="3:14" ht="24" customHeight="1" thickBot="1" x14ac:dyDescent="0.25">
      <c r="C261" s="255" t="s">
        <v>55</v>
      </c>
      <c r="D261" s="248">
        <v>8.261451498891105E-3</v>
      </c>
      <c r="E261" s="249">
        <v>6.8915847148648341E-3</v>
      </c>
      <c r="F261" s="248">
        <v>3.1969958388308128E-3</v>
      </c>
      <c r="G261" s="249">
        <v>3.4778337222153995E-3</v>
      </c>
      <c r="H261" s="248">
        <v>8.8183421516754845E-3</v>
      </c>
      <c r="I261" s="249">
        <v>9.7936034613810442E-3</v>
      </c>
      <c r="J261" s="248">
        <v>9.0511722371848652E-3</v>
      </c>
      <c r="K261" s="249">
        <v>7.6191353617246702E-3</v>
      </c>
      <c r="L261" s="248">
        <v>8.3994560471093143E-3</v>
      </c>
      <c r="M261" s="250">
        <v>6.8826608007457081E-3</v>
      </c>
    </row>
    <row r="262" spans="3:14" ht="24" customHeight="1" thickBot="1" x14ac:dyDescent="0.25">
      <c r="C262" s="251" t="s">
        <v>56</v>
      </c>
      <c r="D262" s="252">
        <v>2.0083999115798782E-2</v>
      </c>
      <c r="E262" s="253">
        <v>3.3415668745543567E-2</v>
      </c>
      <c r="F262" s="252">
        <v>1.3447680909367704E-2</v>
      </c>
      <c r="G262" s="253">
        <v>1.1239101068402309E-2</v>
      </c>
      <c r="H262" s="252">
        <v>4.4091710758377423E-3</v>
      </c>
      <c r="I262" s="253">
        <v>6.5777933695842835E-3</v>
      </c>
      <c r="J262" s="252">
        <v>8.3005872223939244E-3</v>
      </c>
      <c r="K262" s="253">
        <v>1.3350761222562591E-2</v>
      </c>
      <c r="L262" s="252">
        <v>2.3155425805324748E-2</v>
      </c>
      <c r="M262" s="254">
        <v>3.9069774575665732E-2</v>
      </c>
    </row>
    <row r="263" spans="3:14" ht="24" customHeight="1" thickBot="1" x14ac:dyDescent="0.25">
      <c r="C263" s="255" t="s">
        <v>57</v>
      </c>
      <c r="D263" s="248">
        <v>1.9952826407495305E-2</v>
      </c>
      <c r="E263" s="249">
        <v>2.035601762315787E-2</v>
      </c>
      <c r="F263" s="248">
        <v>1.1823810007104436E-2</v>
      </c>
      <c r="G263" s="249">
        <v>9.5050964018175126E-3</v>
      </c>
      <c r="H263" s="248">
        <v>7.3486184597295707E-3</v>
      </c>
      <c r="I263" s="249">
        <v>7.6594749459159214E-3</v>
      </c>
      <c r="J263" s="248">
        <v>1.0243277848911651E-2</v>
      </c>
      <c r="K263" s="249">
        <v>1.2405279038164773E-2</v>
      </c>
      <c r="L263" s="248">
        <v>2.2643910472340743E-2</v>
      </c>
      <c r="M263" s="250">
        <v>2.2717827234378572E-2</v>
      </c>
    </row>
    <row r="264" spans="3:14" ht="24" customHeight="1" thickBot="1" x14ac:dyDescent="0.25">
      <c r="C264" s="251" t="s">
        <v>58</v>
      </c>
      <c r="D264" s="252">
        <v>2.1130951657998741E-2</v>
      </c>
      <c r="E264" s="253">
        <v>2.2236776756046912E-2</v>
      </c>
      <c r="F264" s="252">
        <v>2.2632700700294328E-2</v>
      </c>
      <c r="G264" s="253">
        <v>1.827336362519956E-2</v>
      </c>
      <c r="H264" s="252">
        <v>1.146384479717813E-2</v>
      </c>
      <c r="I264" s="253">
        <v>9.7058995497865865E-3</v>
      </c>
      <c r="J264" s="252">
        <v>2.1413748951388582E-2</v>
      </c>
      <c r="K264" s="253">
        <v>2.2543013105465602E-2</v>
      </c>
      <c r="L264" s="252">
        <v>2.1081293509993264E-2</v>
      </c>
      <c r="M264" s="254">
        <v>2.2476629826545667E-2</v>
      </c>
    </row>
    <row r="265" spans="3:14" ht="24" customHeight="1" thickBot="1" x14ac:dyDescent="0.25">
      <c r="C265" s="255" t="s">
        <v>59</v>
      </c>
      <c r="D265" s="248">
        <v>3.2525973410806202E-3</v>
      </c>
      <c r="E265" s="249">
        <v>2.5829117989423231E-3</v>
      </c>
      <c r="F265" s="248">
        <v>9.2865117223180759E-3</v>
      </c>
      <c r="G265" s="249">
        <v>7.9430185435343248E-3</v>
      </c>
      <c r="H265" s="248">
        <v>1.7048794826572605E-2</v>
      </c>
      <c r="I265" s="249">
        <v>1.11091621352979E-2</v>
      </c>
      <c r="J265" s="248">
        <v>3.3849912431748275E-3</v>
      </c>
      <c r="K265" s="249">
        <v>2.4518045926710734E-3</v>
      </c>
      <c r="L265" s="248">
        <v>2.7072884696958356E-3</v>
      </c>
      <c r="M265" s="250">
        <v>2.2689873073265632E-3</v>
      </c>
    </row>
    <row r="266" spans="3:14" ht="24" customHeight="1" thickBot="1" x14ac:dyDescent="0.25">
      <c r="C266" s="251" t="s">
        <v>60</v>
      </c>
      <c r="D266" s="252">
        <v>2.6890405202212447E-3</v>
      </c>
      <c r="E266" s="253">
        <v>2.7396579127749636E-3</v>
      </c>
      <c r="F266" s="252">
        <v>1.4513346188977976E-2</v>
      </c>
      <c r="G266" s="253">
        <v>1.4034139751934177E-2</v>
      </c>
      <c r="H266" s="252">
        <v>8.23045267489712E-3</v>
      </c>
      <c r="I266" s="253">
        <v>9.9397766473718063E-3</v>
      </c>
      <c r="J266" s="252">
        <v>3.2819697705564633E-3</v>
      </c>
      <c r="K266" s="253">
        <v>4.005343529032407E-3</v>
      </c>
      <c r="L266" s="252">
        <v>1.7778276817127031E-3</v>
      </c>
      <c r="M266" s="254">
        <v>1.8380479386651072E-3</v>
      </c>
    </row>
    <row r="267" spans="3:14" ht="24" customHeight="1" thickBot="1" x14ac:dyDescent="0.25">
      <c r="C267" s="255" t="s">
        <v>61</v>
      </c>
      <c r="D267" s="248">
        <v>8.6719734933964256E-3</v>
      </c>
      <c r="E267" s="249">
        <v>9.6118193173755292E-3</v>
      </c>
      <c r="F267" s="248">
        <v>2.6489394093169593E-2</v>
      </c>
      <c r="G267" s="249">
        <v>2.2321011912071718E-2</v>
      </c>
      <c r="H267" s="248">
        <v>1.2639623750734862E-2</v>
      </c>
      <c r="I267" s="249">
        <v>1.0641407940127462E-2</v>
      </c>
      <c r="J267" s="248">
        <v>7.1231989638983325E-3</v>
      </c>
      <c r="K267" s="249">
        <v>9.3408112029850065E-3</v>
      </c>
      <c r="L267" s="248">
        <v>7.862988746662674E-3</v>
      </c>
      <c r="M267" s="250">
        <v>9.0212778168641261E-3</v>
      </c>
    </row>
    <row r="268" spans="3:14" ht="30.75" customHeight="1" thickBot="1" x14ac:dyDescent="0.25">
      <c r="C268" s="257" t="s">
        <v>62</v>
      </c>
      <c r="D268" s="258">
        <f>D269-D244</f>
        <v>0.81520437436690951</v>
      </c>
      <c r="E268" s="259">
        <f t="shared" ref="E268:M268" si="0">E269-E244</f>
        <v>0.77568465711933277</v>
      </c>
      <c r="F268" s="258">
        <f t="shared" si="0"/>
        <v>0.38277681924287021</v>
      </c>
      <c r="G268" s="259">
        <f t="shared" si="0"/>
        <v>0.30530271398747388</v>
      </c>
      <c r="H268" s="258">
        <f t="shared" si="0"/>
        <v>0.47677836566725451</v>
      </c>
      <c r="I268" s="259">
        <f t="shared" si="0"/>
        <v>0.48649359761445365</v>
      </c>
      <c r="J268" s="258">
        <f t="shared" si="0"/>
        <v>0.61197698205954643</v>
      </c>
      <c r="K268" s="259">
        <f t="shared" si="0"/>
        <v>0.53246078724923418</v>
      </c>
      <c r="L268" s="258">
        <f t="shared" si="0"/>
        <v>0.88844287247049425</v>
      </c>
      <c r="M268" s="260">
        <f t="shared" si="0"/>
        <v>0.8540678994204336</v>
      </c>
    </row>
    <row r="269" spans="3:14" ht="24" customHeight="1" thickBot="1" x14ac:dyDescent="0.25">
      <c r="C269" s="261" t="s">
        <v>7</v>
      </c>
      <c r="D269" s="262">
        <v>1</v>
      </c>
      <c r="E269" s="263">
        <v>1</v>
      </c>
      <c r="F269" s="262">
        <v>1</v>
      </c>
      <c r="G269" s="263">
        <v>1</v>
      </c>
      <c r="H269" s="262">
        <v>1</v>
      </c>
      <c r="I269" s="263">
        <v>1</v>
      </c>
      <c r="J269" s="262">
        <v>1</v>
      </c>
      <c r="K269" s="263">
        <v>1</v>
      </c>
      <c r="L269" s="262">
        <v>1</v>
      </c>
      <c r="M269" s="264">
        <v>1</v>
      </c>
    </row>
    <row r="270" spans="3:14" ht="18" customHeight="1" x14ac:dyDescent="0.2">
      <c r="C270" s="265"/>
      <c r="D270" s="266"/>
      <c r="E270" s="267"/>
      <c r="F270" s="266"/>
      <c r="G270" s="267"/>
      <c r="H270" s="266"/>
      <c r="I270" s="267"/>
      <c r="J270" s="266"/>
      <c r="K270" s="267"/>
      <c r="L270" s="266"/>
      <c r="M270" s="267"/>
      <c r="N270" s="268"/>
    </row>
    <row r="271" spans="3:14" ht="5.25" customHeight="1" thickBot="1" x14ac:dyDescent="0.25">
      <c r="C271" s="98"/>
      <c r="D271" s="98"/>
      <c r="E271" s="98"/>
      <c r="F271" s="98"/>
      <c r="G271" s="98"/>
      <c r="H271" s="98"/>
      <c r="I271" s="98"/>
      <c r="J271" s="98"/>
      <c r="K271" s="98"/>
      <c r="L271" s="98"/>
      <c r="M271" s="98"/>
    </row>
    <row r="272" spans="3:14" ht="20.100000000000001" customHeight="1" thickBot="1" x14ac:dyDescent="0.25">
      <c r="C272" s="27" t="s">
        <v>71</v>
      </c>
      <c r="D272" s="28"/>
      <c r="E272" s="28"/>
      <c r="F272" s="28"/>
      <c r="G272" s="28"/>
      <c r="H272" s="28"/>
      <c r="I272" s="28"/>
      <c r="J272" s="28"/>
      <c r="K272" s="28"/>
      <c r="L272" s="28"/>
      <c r="M272" s="29"/>
    </row>
    <row r="273" spans="3:18" ht="5.25" customHeight="1" x14ac:dyDescent="0.2"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153"/>
    </row>
    <row r="274" spans="3:18" ht="45.75" customHeight="1" x14ac:dyDescent="0.2">
      <c r="C274" s="269" t="s">
        <v>6</v>
      </c>
      <c r="D274" s="270" t="s">
        <v>72</v>
      </c>
      <c r="E274" s="271" t="s">
        <v>73</v>
      </c>
      <c r="F274" s="272">
        <v>-1.4029439547281419E-2</v>
      </c>
      <c r="G274" s="273">
        <v>1063.9227581405244</v>
      </c>
      <c r="H274" s="274" t="s">
        <v>96</v>
      </c>
      <c r="I274" s="274"/>
      <c r="J274" s="274"/>
      <c r="K274" s="274"/>
      <c r="L274" s="275"/>
      <c r="M274" s="276" t="s">
        <v>100</v>
      </c>
      <c r="N274" s="268"/>
      <c r="O274" s="147"/>
      <c r="R274" s="147"/>
    </row>
    <row r="275" spans="3:18" ht="45.75" customHeight="1" x14ac:dyDescent="0.2">
      <c r="C275" s="269"/>
      <c r="D275" s="277"/>
      <c r="E275" s="278" t="s">
        <v>74</v>
      </c>
      <c r="F275" s="279">
        <v>-1.8734158850775895E-2</v>
      </c>
      <c r="G275" s="280">
        <v>698.43698359222697</v>
      </c>
      <c r="H275" s="281" t="s">
        <v>97</v>
      </c>
      <c r="I275" s="282"/>
      <c r="J275" s="282"/>
      <c r="K275" s="282"/>
      <c r="L275" s="283"/>
      <c r="M275" s="276"/>
      <c r="N275" s="268"/>
      <c r="O275" s="147"/>
      <c r="R275" s="147"/>
    </row>
    <row r="276" spans="3:18" ht="45.75" customHeight="1" thickBot="1" x14ac:dyDescent="0.25">
      <c r="C276" s="269"/>
      <c r="D276" s="284"/>
      <c r="E276" s="285" t="s">
        <v>75</v>
      </c>
      <c r="F276" s="286">
        <v>-9.1546356727540967E-3</v>
      </c>
      <c r="G276" s="287">
        <v>367.52292910036834</v>
      </c>
      <c r="H276" s="288" t="str">
        <f>CONCATENATE("El gasto medio por turista en destino ascendió a ",FIXED(G276,1),"€. Experimenta un ",IF(F276&gt;0,"incremento del ","descenso del "),FIXED(F276*100,1),"% respecto al miso periodo del año anterior.")</f>
        <v>El gasto medio por turista en destino ascendió a 367,5€. Experimenta un descenso del -0,9% respecto al miso periodo del año anterior.</v>
      </c>
      <c r="I276" s="289"/>
      <c r="J276" s="289"/>
      <c r="K276" s="289"/>
      <c r="L276" s="290"/>
      <c r="M276" s="276"/>
      <c r="N276" s="268"/>
      <c r="O276" s="147"/>
      <c r="R276" s="147"/>
    </row>
    <row r="277" spans="3:18" ht="45.75" customHeight="1" thickTop="1" x14ac:dyDescent="0.2">
      <c r="C277" s="269"/>
      <c r="D277" s="291" t="s">
        <v>76</v>
      </c>
      <c r="E277" s="292" t="s">
        <v>73</v>
      </c>
      <c r="F277" s="293">
        <v>-8.3700463822630189E-3</v>
      </c>
      <c r="G277" s="294">
        <v>112.82569000260672</v>
      </c>
      <c r="H277" s="295" t="s">
        <v>98</v>
      </c>
      <c r="I277" s="296"/>
      <c r="J277" s="296"/>
      <c r="K277" s="296"/>
      <c r="L277" s="297"/>
      <c r="M277" s="276"/>
      <c r="N277" s="268"/>
      <c r="O277" s="147"/>
      <c r="R277" s="147"/>
    </row>
    <row r="278" spans="3:18" ht="45.75" customHeight="1" x14ac:dyDescent="0.2">
      <c r="C278" s="269"/>
      <c r="D278" s="298"/>
      <c r="E278" s="299" t="s">
        <v>74</v>
      </c>
      <c r="F278" s="279">
        <v>-1.3750028608808362E-2</v>
      </c>
      <c r="G278" s="300">
        <v>74.033510840977371</v>
      </c>
      <c r="H278" s="301" t="str">
        <f>CONCATENATE("La media del gasto diario por turista en origen fue de ",FIXED(G278,1),"€, ",IF(F278&gt;0,"aumentando un ","disminuyendo un "),FIXED(F278*100,1),"% respecto al mismo período del año anterior.")</f>
        <v>La media del gasto diario por turista en origen fue de 74,0€, disminuyendo un -1,4% respecto al mismo período del año anterior.</v>
      </c>
      <c r="I278" s="282"/>
      <c r="J278" s="282"/>
      <c r="K278" s="282"/>
      <c r="L278" s="283"/>
      <c r="M278" s="276"/>
      <c r="N278" s="268"/>
      <c r="O278" s="147"/>
      <c r="R278" s="147"/>
    </row>
    <row r="279" spans="3:18" ht="45.75" customHeight="1" x14ac:dyDescent="0.2">
      <c r="C279" s="269"/>
      <c r="D279" s="302"/>
      <c r="E279" s="303" t="s">
        <v>75</v>
      </c>
      <c r="F279" s="304">
        <v>-2.1321657523941662E-3</v>
      </c>
      <c r="G279" s="305">
        <v>39.058057280936573</v>
      </c>
      <c r="H279" s="306" t="s">
        <v>99</v>
      </c>
      <c r="I279" s="307"/>
      <c r="J279" s="307"/>
      <c r="K279" s="307"/>
      <c r="L279" s="308"/>
      <c r="M279" s="276"/>
      <c r="N279" s="268"/>
      <c r="O279" s="147"/>
      <c r="R279" s="147"/>
    </row>
    <row r="280" spans="3:18" ht="5.25" customHeight="1" thickBot="1" x14ac:dyDescent="0.25">
      <c r="C280" s="309"/>
      <c r="D280" s="309"/>
      <c r="E280" s="309"/>
      <c r="F280" s="309"/>
      <c r="G280" s="309"/>
      <c r="H280" s="309"/>
      <c r="I280" s="309"/>
      <c r="J280" s="309"/>
      <c r="K280" s="309"/>
      <c r="L280" s="309"/>
      <c r="M280" s="310"/>
      <c r="N280" s="268"/>
      <c r="O280" s="147"/>
      <c r="R280" s="147"/>
    </row>
    <row r="281" spans="3:18" ht="19.5" customHeight="1" thickBot="1" x14ac:dyDescent="0.25">
      <c r="C281" s="27" t="s">
        <v>77</v>
      </c>
      <c r="D281" s="28"/>
      <c r="E281" s="28"/>
      <c r="F281" s="28"/>
      <c r="G281" s="28"/>
      <c r="H281" s="28"/>
      <c r="I281" s="28"/>
      <c r="J281" s="28"/>
      <c r="K281" s="28"/>
      <c r="L281" s="28"/>
      <c r="M281" s="29"/>
      <c r="N281" s="268"/>
      <c r="O281" s="147"/>
      <c r="P281" s="147"/>
      <c r="Q281" s="147"/>
    </row>
    <row r="282" spans="3:18" ht="5.25" customHeight="1" x14ac:dyDescent="0.2"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153"/>
      <c r="N282" s="268"/>
      <c r="O282" s="147"/>
      <c r="P282" s="147"/>
      <c r="Q282" s="147"/>
    </row>
    <row r="283" spans="3:18" s="147" customFormat="1" ht="47.25" customHeight="1" thickBot="1" x14ac:dyDescent="0.25">
      <c r="C283" s="269" t="s">
        <v>6</v>
      </c>
      <c r="D283" s="311"/>
      <c r="E283" s="312" t="s">
        <v>7</v>
      </c>
      <c r="F283" s="313">
        <v>7.2057646116894247E-3</v>
      </c>
      <c r="G283" s="314">
        <v>133348</v>
      </c>
      <c r="H283" s="315" t="s">
        <v>101</v>
      </c>
      <c r="I283" s="315"/>
      <c r="J283" s="315"/>
      <c r="K283" s="315"/>
      <c r="L283" s="316"/>
      <c r="M283" s="276" t="s">
        <v>78</v>
      </c>
      <c r="Q283" s="317"/>
    </row>
    <row r="284" spans="3:18" s="147" customFormat="1" ht="47.25" customHeight="1" thickTop="1" thickBot="1" x14ac:dyDescent="0.25">
      <c r="C284" s="269"/>
      <c r="D284" s="311"/>
      <c r="E284" s="318" t="s">
        <v>79</v>
      </c>
      <c r="F284" s="319">
        <v>1.0466025108690324E-2</v>
      </c>
      <c r="G284" s="320">
        <v>82741</v>
      </c>
      <c r="H284" s="321" t="s">
        <v>102</v>
      </c>
      <c r="I284" s="322"/>
      <c r="J284" s="322"/>
      <c r="K284" s="322"/>
      <c r="L284" s="323"/>
      <c r="M284" s="276"/>
      <c r="N284" s="324"/>
      <c r="O284" s="324"/>
      <c r="Q284" s="317"/>
    </row>
    <row r="285" spans="3:18" s="147" customFormat="1" ht="47.25" customHeight="1" thickTop="1" thickBot="1" x14ac:dyDescent="0.25">
      <c r="C285" s="269"/>
      <c r="D285" s="311"/>
      <c r="E285" s="325" t="s">
        <v>80</v>
      </c>
      <c r="F285" s="319">
        <v>2.1601793356429422E-3</v>
      </c>
      <c r="G285" s="326">
        <v>49176</v>
      </c>
      <c r="H285" s="327" t="s">
        <v>103</v>
      </c>
      <c r="I285" s="322"/>
      <c r="J285" s="322"/>
      <c r="K285" s="322"/>
      <c r="L285" s="323"/>
      <c r="M285" s="276"/>
      <c r="N285" s="324"/>
      <c r="O285" s="324"/>
      <c r="Q285" s="317"/>
    </row>
    <row r="286" spans="3:18" s="147" customFormat="1" ht="47.25" customHeight="1" thickTop="1" thickBot="1" x14ac:dyDescent="0.25">
      <c r="C286" s="269"/>
      <c r="D286" s="311"/>
      <c r="E286" s="318" t="s">
        <v>81</v>
      </c>
      <c r="F286" s="319">
        <v>0</v>
      </c>
      <c r="G286" s="320">
        <v>541</v>
      </c>
      <c r="H286" s="321" t="s">
        <v>104</v>
      </c>
      <c r="I286" s="322"/>
      <c r="J286" s="322"/>
      <c r="K286" s="322"/>
      <c r="L286" s="323"/>
      <c r="M286" s="276"/>
      <c r="N286" s="324"/>
      <c r="O286" s="324"/>
      <c r="Q286" s="317"/>
    </row>
    <row r="287" spans="3:18" s="147" customFormat="1" ht="47.25" customHeight="1" thickTop="1" x14ac:dyDescent="0.2">
      <c r="C287" s="269"/>
      <c r="D287" s="311"/>
      <c r="E287" s="328" t="s">
        <v>82</v>
      </c>
      <c r="F287" s="329">
        <v>-1.0011123470522798E-2</v>
      </c>
      <c r="G287" s="330">
        <v>890</v>
      </c>
      <c r="H287" s="331" t="s">
        <v>105</v>
      </c>
      <c r="I287" s="332"/>
      <c r="J287" s="332"/>
      <c r="K287" s="332"/>
      <c r="L287" s="333"/>
      <c r="M287" s="276"/>
      <c r="N287" s="324"/>
      <c r="O287" s="324"/>
      <c r="Q287" s="317"/>
    </row>
    <row r="288" spans="3:18" ht="5.25" customHeight="1" x14ac:dyDescent="0.2">
      <c r="C288" s="98" t="s">
        <v>83</v>
      </c>
      <c r="D288" s="98"/>
      <c r="E288" s="98"/>
      <c r="F288" s="98"/>
      <c r="G288" s="98"/>
      <c r="H288" s="98"/>
      <c r="I288" s="98"/>
      <c r="J288" s="98"/>
      <c r="K288" s="98"/>
      <c r="L288" s="98"/>
      <c r="M288" s="98"/>
      <c r="N288" s="334"/>
      <c r="P288" s="147"/>
      <c r="Q288" s="147"/>
      <c r="R288" s="147"/>
    </row>
    <row r="289" spans="3:20" s="1" customFormat="1" ht="18.75" customHeight="1" thickBot="1" x14ac:dyDescent="0.25"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334"/>
      <c r="P289" s="335"/>
      <c r="Q289" s="335"/>
      <c r="R289" s="335"/>
    </row>
    <row r="290" spans="3:20" ht="50.25" customHeight="1" thickBot="1" x14ac:dyDescent="0.25">
      <c r="C290" s="2"/>
      <c r="D290" s="2"/>
      <c r="E290" s="3" t="str">
        <f>E238</f>
        <v>INDICADORES TURÍSTICOS DE TENERIFE definitivo</v>
      </c>
      <c r="F290" s="3"/>
      <c r="G290" s="3"/>
      <c r="H290" s="3"/>
      <c r="I290" s="3"/>
      <c r="J290" s="3"/>
      <c r="K290" s="3"/>
      <c r="L290" s="2"/>
      <c r="M290" s="2"/>
      <c r="O290" s="147"/>
      <c r="P290" s="147"/>
      <c r="Q290" s="147"/>
      <c r="R290" s="147"/>
      <c r="S290" s="147"/>
      <c r="T290" s="147"/>
    </row>
    <row r="291" spans="3:20" ht="5.25" customHeight="1" thickBot="1" x14ac:dyDescent="0.25">
      <c r="C291" s="4"/>
      <c r="O291" s="147"/>
      <c r="P291" s="147"/>
      <c r="Q291" s="147"/>
      <c r="R291" s="147"/>
      <c r="S291" s="147"/>
      <c r="T291" s="147"/>
    </row>
    <row r="292" spans="3:20" ht="18" customHeight="1" thickBot="1" x14ac:dyDescent="0.25">
      <c r="C292" s="234" t="s">
        <v>84</v>
      </c>
      <c r="D292" s="235"/>
      <c r="E292" s="235"/>
      <c r="F292" s="235"/>
      <c r="G292" s="235"/>
      <c r="H292" s="235"/>
      <c r="I292" s="235"/>
      <c r="J292" s="235"/>
      <c r="K292" s="235"/>
      <c r="L292" s="235"/>
      <c r="M292" s="236"/>
      <c r="O292" s="147"/>
      <c r="P292" s="147"/>
      <c r="Q292" s="147"/>
      <c r="R292" s="147"/>
      <c r="S292" s="147"/>
      <c r="T292" s="147"/>
    </row>
    <row r="293" spans="3:20" ht="5.25" customHeight="1" x14ac:dyDescent="0.2"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153"/>
      <c r="N293" s="268"/>
      <c r="O293" s="147"/>
      <c r="P293" s="147"/>
      <c r="Q293" s="147"/>
      <c r="R293" s="147"/>
      <c r="S293" s="147"/>
      <c r="T293" s="147"/>
    </row>
    <row r="294" spans="3:20" ht="27.75" customHeight="1" x14ac:dyDescent="0.2">
      <c r="C294" s="336" t="s">
        <v>6</v>
      </c>
      <c r="D294" s="337"/>
      <c r="E294" s="338" t="s">
        <v>7</v>
      </c>
      <c r="F294" s="339">
        <v>-1.7293531730269818E-2</v>
      </c>
      <c r="G294" s="35">
        <v>160815</v>
      </c>
      <c r="H294" s="340" t="s">
        <v>106</v>
      </c>
      <c r="I294" s="340"/>
      <c r="J294" s="340"/>
      <c r="K294" s="340"/>
      <c r="L294" s="341"/>
      <c r="M294" s="276" t="s">
        <v>8</v>
      </c>
      <c r="N294" s="342"/>
      <c r="O294" s="147"/>
      <c r="P294" s="147"/>
      <c r="Q294" s="147"/>
      <c r="R294" s="147"/>
      <c r="S294" s="147"/>
      <c r="T294" s="147"/>
    </row>
    <row r="295" spans="3:20" ht="34.5" customHeight="1" x14ac:dyDescent="0.2">
      <c r="C295" s="343"/>
      <c r="D295" s="344"/>
      <c r="E295" s="345" t="s">
        <v>85</v>
      </c>
      <c r="F295" s="346">
        <v>1.6890758182510623E-3</v>
      </c>
      <c r="G295" s="46">
        <v>89549</v>
      </c>
      <c r="H295" s="347" t="str">
        <f>CONCATENATE("La oferta hotelera estimada por el STDE del Cabildo de Tenerife se sitúa en ",FIXED(G295,0)," plazas, un ",FIXED(G295/G294*100,1),"% del total de plazas. ",IF(F295&gt;0,"Aumentan un ","Disminuyen un"),FIXED(F295*100,1),"% respecto al mismo periodo del año anterior.")</f>
        <v>La oferta hotelera estimada por el STDE del Cabildo de Tenerife se sitúa en 89.549 plazas, un 55,7% del total de plazas. Aumentan un 0,2% respecto al mismo periodo del año anterior.</v>
      </c>
      <c r="I295" s="347"/>
      <c r="J295" s="347"/>
      <c r="K295" s="347"/>
      <c r="L295" s="348"/>
      <c r="M295" s="276"/>
      <c r="N295" s="342"/>
      <c r="O295" s="147"/>
      <c r="P295" s="147"/>
      <c r="Q295" s="147"/>
      <c r="R295" s="147"/>
      <c r="S295" s="147"/>
      <c r="T295" s="147"/>
    </row>
    <row r="296" spans="3:20" ht="41.25" customHeight="1" thickBot="1" x14ac:dyDescent="0.25">
      <c r="C296" s="349"/>
      <c r="D296" s="350"/>
      <c r="E296" s="351" t="s">
        <v>86</v>
      </c>
      <c r="F296" s="352">
        <v>-4.0149770361092019E-2</v>
      </c>
      <c r="G296" s="353">
        <v>71266</v>
      </c>
      <c r="H296" s="354" t="s">
        <v>107</v>
      </c>
      <c r="I296" s="354"/>
      <c r="J296" s="354"/>
      <c r="K296" s="354"/>
      <c r="L296" s="355"/>
      <c r="M296" s="276"/>
      <c r="N296" s="342"/>
      <c r="Q296" s="356"/>
    </row>
    <row r="297" spans="3:20" ht="34.5" customHeight="1" thickTop="1" x14ac:dyDescent="0.2">
      <c r="C297" s="357" t="s">
        <v>11</v>
      </c>
      <c r="D297" s="358"/>
      <c r="E297" s="359" t="s">
        <v>7</v>
      </c>
      <c r="F297" s="360">
        <v>0</v>
      </c>
      <c r="G297" s="361">
        <v>2633</v>
      </c>
      <c r="H297" s="362" t="str">
        <f>CONCATENATE("Las plazas estimadas por el STDE  del Cabildo de Tenerife en la zona de Santa Cruz, ascienden a ",FIXED(G297,0),", todas ellas pertenecientes a la tipología hotelera. Se registra un ",IF(F297&gt;0,"incremento ","descenso "),"con respecto al año anterior del ",FIXED(F297*100,1),"%.")</f>
        <v>Las plazas estimadas por el STDE  del Cabildo de Tenerife en la zona de Santa Cruz, ascienden a 2.633, todas ellas pertenecientes a la tipología hotelera. Se registra un descenso con respecto al año anterior del 0,0%.</v>
      </c>
      <c r="I297" s="362"/>
      <c r="J297" s="362"/>
      <c r="K297" s="362"/>
      <c r="L297" s="363"/>
      <c r="M297" s="276"/>
      <c r="Q297" s="356"/>
    </row>
    <row r="298" spans="3:20" ht="34.5" customHeight="1" thickBot="1" x14ac:dyDescent="0.25">
      <c r="C298" s="364"/>
      <c r="D298" s="365"/>
      <c r="E298" s="366" t="s">
        <v>85</v>
      </c>
      <c r="F298" s="352">
        <v>0</v>
      </c>
      <c r="G298" s="367">
        <v>2633</v>
      </c>
      <c r="H298" s="368"/>
      <c r="I298" s="368"/>
      <c r="J298" s="368"/>
      <c r="K298" s="368"/>
      <c r="L298" s="369"/>
      <c r="M298" s="276"/>
    </row>
    <row r="299" spans="3:20" ht="42" customHeight="1" thickTop="1" x14ac:dyDescent="0.2">
      <c r="C299" s="370" t="s">
        <v>12</v>
      </c>
      <c r="D299" s="371"/>
      <c r="E299" s="372" t="s">
        <v>7</v>
      </c>
      <c r="F299" s="360">
        <v>-7.2164948453608213E-2</v>
      </c>
      <c r="G299" s="373">
        <v>900</v>
      </c>
      <c r="H299" s="374" t="s">
        <v>108</v>
      </c>
      <c r="I299" s="374"/>
      <c r="J299" s="374"/>
      <c r="K299" s="374"/>
      <c r="L299" s="375"/>
      <c r="M299" s="276"/>
    </row>
    <row r="300" spans="3:20" ht="34.5" customHeight="1" x14ac:dyDescent="0.2">
      <c r="C300" s="376"/>
      <c r="D300" s="377"/>
      <c r="E300" s="378" t="s">
        <v>85</v>
      </c>
      <c r="F300" s="346">
        <v>2.1390374331550888E-2</v>
      </c>
      <c r="G300" s="77">
        <v>573</v>
      </c>
      <c r="H300" s="379" t="str">
        <f>CONCATENATE("Las plazas hoteleras estimadas se sitúan en ",FIXED(G300,0)," plazas, registrando un ",IF(F300&gt;0,"incremento del ","descenso del "),FIXED(F300*100,1),"%.")</f>
        <v>Las plazas hoteleras estimadas se sitúan en 573 plazas, registrando un incremento del 2,1%.</v>
      </c>
      <c r="I300" s="379"/>
      <c r="J300" s="379"/>
      <c r="K300" s="379"/>
      <c r="L300" s="380"/>
      <c r="M300" s="276"/>
    </row>
    <row r="301" spans="3:20" ht="34.5" customHeight="1" thickBot="1" x14ac:dyDescent="0.25">
      <c r="C301" s="381"/>
      <c r="D301" s="382"/>
      <c r="E301" s="383" t="s">
        <v>86</v>
      </c>
      <c r="F301" s="352">
        <v>-0.20048899755501226</v>
      </c>
      <c r="G301" s="384">
        <v>327</v>
      </c>
      <c r="H301" s="385" t="s">
        <v>109</v>
      </c>
      <c r="I301" s="385"/>
      <c r="J301" s="385"/>
      <c r="K301" s="385"/>
      <c r="L301" s="386"/>
      <c r="M301" s="276"/>
    </row>
    <row r="302" spans="3:20" ht="39.75" customHeight="1" thickTop="1" x14ac:dyDescent="0.2">
      <c r="C302" s="387" t="s">
        <v>13</v>
      </c>
      <c r="D302" s="388"/>
      <c r="E302" s="359" t="s">
        <v>7</v>
      </c>
      <c r="F302" s="360">
        <v>-2.9325617945420768E-2</v>
      </c>
      <c r="G302" s="361">
        <v>27175</v>
      </c>
      <c r="H302" s="362" t="s">
        <v>110</v>
      </c>
      <c r="I302" s="362"/>
      <c r="J302" s="362"/>
      <c r="K302" s="362"/>
      <c r="L302" s="363"/>
      <c r="M302" s="276"/>
    </row>
    <row r="303" spans="3:20" ht="34.5" customHeight="1" x14ac:dyDescent="0.2">
      <c r="C303" s="389"/>
      <c r="D303" s="390"/>
      <c r="E303" s="391" t="s">
        <v>85</v>
      </c>
      <c r="F303" s="346">
        <v>-3.236466638690727E-2</v>
      </c>
      <c r="G303" s="85">
        <v>18447</v>
      </c>
      <c r="H303" s="392" t="str">
        <f>CONCATENATE("La oferta hotelera asciende a ",FIXED(G303,0),", cifra que se ",IF(F303&gt;0,"incrementa un ","reduce un "),FIXED(F303*100,1),"% respecto al año anterior.")</f>
        <v>La oferta hotelera asciende a 18.447, cifra que se reduce un -3,2% respecto al año anterior.</v>
      </c>
      <c r="I303" s="392"/>
      <c r="J303" s="392"/>
      <c r="K303" s="392"/>
      <c r="L303" s="393"/>
      <c r="M303" s="276"/>
    </row>
    <row r="304" spans="3:20" ht="34.5" customHeight="1" thickBot="1" x14ac:dyDescent="0.25">
      <c r="C304" s="394"/>
      <c r="D304" s="395"/>
      <c r="E304" s="366" t="s">
        <v>86</v>
      </c>
      <c r="F304" s="352">
        <v>-2.2839229735781452E-2</v>
      </c>
      <c r="G304" s="367">
        <v>8728</v>
      </c>
      <c r="H304" s="368" t="str">
        <f>CONCATENATE("Las plazas extrahoteras estimadas ascienden a ",FIXED(G304,0),", las cuales ",IF(F304&gt;0,"se incrementan un ","descienden un "),FIXED(F304*100,1),"%.")</f>
        <v>Las plazas extrahoteras estimadas ascienden a 8.728, las cuales descienden un -2,3%.</v>
      </c>
      <c r="I304" s="368"/>
      <c r="J304" s="368"/>
      <c r="K304" s="368"/>
      <c r="L304" s="369"/>
      <c r="M304" s="276"/>
    </row>
    <row r="305" spans="3:18" ht="34.5" customHeight="1" thickTop="1" x14ac:dyDescent="0.2">
      <c r="C305" s="396" t="s">
        <v>14</v>
      </c>
      <c r="D305" s="397"/>
      <c r="E305" s="398" t="s">
        <v>7</v>
      </c>
      <c r="F305" s="360">
        <v>-1.4684276691456E-2</v>
      </c>
      <c r="G305" s="399">
        <v>130107</v>
      </c>
      <c r="H305" s="374" t="str">
        <f>CONCATENATE("Las plazas estimadas para la zona Sur por el STDE del Cabildo ascienden a ",FIXED(G305,0)," experimentando un ",IF(F305&gt;0,"incremento interanual del ","descenso interanual del "),FIXED(F305*100,1),"%.")</f>
        <v>Las plazas estimadas para la zona Sur por el STDE del Cabildo ascienden a 130.107 experimentando un descenso interanual del -1,5%.</v>
      </c>
      <c r="I305" s="374"/>
      <c r="J305" s="374"/>
      <c r="K305" s="374"/>
      <c r="L305" s="375"/>
      <c r="M305" s="276"/>
    </row>
    <row r="306" spans="3:18" ht="34.5" customHeight="1" x14ac:dyDescent="0.2">
      <c r="C306" s="400"/>
      <c r="D306" s="401"/>
      <c r="E306" s="402" t="s">
        <v>85</v>
      </c>
      <c r="F306" s="346">
        <v>1.1260053619303045E-2</v>
      </c>
      <c r="G306" s="93">
        <v>67896</v>
      </c>
      <c r="H306" s="379" t="str">
        <f>CONCATENATE("Las plazas hoteleras, con un oferta de ",FIXED(G306,0)," plazas, se ",IF(F306&gt;0,"incrementan un ","reducen un "),FIXED(F306*100,1),"% respecto al mismo período del año anterior.")</f>
        <v>Las plazas hoteleras, con un oferta de 67.896 plazas, se incrementan un 1,1% respecto al mismo período del año anterior.</v>
      </c>
      <c r="I306" s="379"/>
      <c r="J306" s="379"/>
      <c r="K306" s="379"/>
      <c r="L306" s="380"/>
      <c r="M306" s="276"/>
    </row>
    <row r="307" spans="3:18" ht="34.5" customHeight="1" x14ac:dyDescent="0.2">
      <c r="C307" s="400"/>
      <c r="D307" s="401"/>
      <c r="E307" s="403" t="s">
        <v>86</v>
      </c>
      <c r="F307" s="404">
        <v>-4.152158506147352E-2</v>
      </c>
      <c r="G307" s="405">
        <v>62211</v>
      </c>
      <c r="H307" s="406" t="s">
        <v>111</v>
      </c>
      <c r="I307" s="406"/>
      <c r="J307" s="406"/>
      <c r="K307" s="406"/>
      <c r="L307" s="407"/>
      <c r="M307" s="276"/>
    </row>
    <row r="308" spans="3:18" ht="5.25" customHeight="1" thickBot="1" x14ac:dyDescent="0.25">
      <c r="C308" s="309"/>
      <c r="D308" s="309"/>
      <c r="E308" s="309"/>
      <c r="F308" s="309"/>
      <c r="G308" s="309"/>
      <c r="H308" s="309"/>
      <c r="I308" s="309"/>
      <c r="J308" s="309"/>
      <c r="K308" s="309"/>
      <c r="L308" s="309"/>
      <c r="M308" s="310"/>
      <c r="N308" s="268"/>
      <c r="O308" s="147"/>
      <c r="R308" s="147"/>
    </row>
    <row r="309" spans="3:18" ht="19.5" customHeight="1" thickBot="1" x14ac:dyDescent="0.25">
      <c r="C309" s="27" t="s">
        <v>87</v>
      </c>
      <c r="D309" s="28"/>
      <c r="E309" s="28"/>
      <c r="F309" s="28"/>
      <c r="G309" s="28"/>
      <c r="H309" s="28"/>
      <c r="I309" s="28"/>
      <c r="J309" s="28"/>
      <c r="K309" s="28"/>
      <c r="L309" s="28"/>
      <c r="M309" s="29"/>
      <c r="N309" s="268"/>
      <c r="O309" s="147"/>
      <c r="P309" s="147"/>
      <c r="Q309" s="147"/>
    </row>
    <row r="310" spans="3:18" ht="5.25" customHeight="1" x14ac:dyDescent="0.2"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153"/>
      <c r="N310" s="268"/>
      <c r="O310" s="147"/>
      <c r="P310" s="147"/>
      <c r="Q310" s="147"/>
    </row>
    <row r="311" spans="3:18" ht="48" customHeight="1" thickBot="1" x14ac:dyDescent="0.25">
      <c r="C311" s="408" t="s">
        <v>88</v>
      </c>
      <c r="D311" s="409"/>
      <c r="E311" s="410" t="s">
        <v>89</v>
      </c>
      <c r="F311" s="313">
        <v>2.1357623732376263E-2</v>
      </c>
      <c r="G311" s="411">
        <v>539333</v>
      </c>
      <c r="H311" s="412" t="s">
        <v>112</v>
      </c>
      <c r="I311" s="412"/>
      <c r="J311" s="412"/>
      <c r="K311" s="412"/>
      <c r="L311" s="413"/>
      <c r="M311" s="276" t="s">
        <v>114</v>
      </c>
    </row>
    <row r="312" spans="3:18" ht="45.75" customHeight="1" thickTop="1" thickBot="1" x14ac:dyDescent="0.25">
      <c r="C312" s="414"/>
      <c r="D312" s="415"/>
      <c r="E312" s="416" t="s">
        <v>90</v>
      </c>
      <c r="F312" s="417">
        <v>3.436426116838498E-2</v>
      </c>
      <c r="G312" s="418">
        <v>301</v>
      </c>
      <c r="H312" s="419" t="s">
        <v>113</v>
      </c>
      <c r="I312" s="419"/>
      <c r="J312" s="419"/>
      <c r="K312" s="419"/>
      <c r="L312" s="420"/>
      <c r="M312" s="421"/>
    </row>
    <row r="314" spans="3:18" ht="29.25" customHeight="1" x14ac:dyDescent="0.2"/>
    <row r="315" spans="3:18" ht="18" customHeight="1" x14ac:dyDescent="0.2">
      <c r="C315" s="422" t="s">
        <v>91</v>
      </c>
      <c r="D315" s="422"/>
      <c r="E315" s="422"/>
      <c r="F315" s="422"/>
      <c r="G315" s="422"/>
      <c r="H315" s="422"/>
      <c r="I315" s="422"/>
      <c r="J315" s="422"/>
      <c r="K315" s="422"/>
      <c r="L315" s="422"/>
      <c r="M315" s="422"/>
    </row>
    <row r="317" spans="3:18" ht="6.75" customHeight="1" x14ac:dyDescent="0.2"/>
    <row r="319" spans="3:18" ht="8.25" customHeight="1" x14ac:dyDescent="0.2"/>
    <row r="322" spans="5:6" x14ac:dyDescent="0.2">
      <c r="E322" s="423"/>
      <c r="F322" s="423"/>
    </row>
    <row r="323" spans="5:6" x14ac:dyDescent="0.2">
      <c r="E323" s="423"/>
      <c r="F323" s="423"/>
    </row>
    <row r="326" spans="5:6" ht="21.75" customHeight="1" x14ac:dyDescent="0.2"/>
    <row r="328" spans="5:6" ht="6" customHeight="1" x14ac:dyDescent="0.2"/>
  </sheetData>
  <mergeCells count="162">
    <mergeCell ref="C315:M315"/>
    <mergeCell ref="C305:D307"/>
    <mergeCell ref="H305:L305"/>
    <mergeCell ref="H306:L306"/>
    <mergeCell ref="H307:L307"/>
    <mergeCell ref="C309:M309"/>
    <mergeCell ref="C311:D312"/>
    <mergeCell ref="H311:L311"/>
    <mergeCell ref="M311:M312"/>
    <mergeCell ref="H312:L312"/>
    <mergeCell ref="H299:L299"/>
    <mergeCell ref="H300:L300"/>
    <mergeCell ref="H301:L301"/>
    <mergeCell ref="C302:D304"/>
    <mergeCell ref="H302:L302"/>
    <mergeCell ref="H303:L303"/>
    <mergeCell ref="H304:L304"/>
    <mergeCell ref="E290:K290"/>
    <mergeCell ref="C292:M292"/>
    <mergeCell ref="C294:D296"/>
    <mergeCell ref="H294:L294"/>
    <mergeCell ref="M294:M307"/>
    <mergeCell ref="H295:L295"/>
    <mergeCell ref="H296:L296"/>
    <mergeCell ref="C297:D298"/>
    <mergeCell ref="H297:L298"/>
    <mergeCell ref="C299:D301"/>
    <mergeCell ref="H279:L279"/>
    <mergeCell ref="C281:M281"/>
    <mergeCell ref="C283:D287"/>
    <mergeCell ref="H283:L283"/>
    <mergeCell ref="M283:M287"/>
    <mergeCell ref="H284:L284"/>
    <mergeCell ref="H285:L285"/>
    <mergeCell ref="H286:L286"/>
    <mergeCell ref="H287:L287"/>
    <mergeCell ref="C272:M272"/>
    <mergeCell ref="C274:C279"/>
    <mergeCell ref="D274:D276"/>
    <mergeCell ref="H274:L274"/>
    <mergeCell ref="M274:M279"/>
    <mergeCell ref="H275:L275"/>
    <mergeCell ref="H276:L276"/>
    <mergeCell ref="D277:D279"/>
    <mergeCell ref="H277:L277"/>
    <mergeCell ref="H278:L278"/>
    <mergeCell ref="E238:K238"/>
    <mergeCell ref="C240:M240"/>
    <mergeCell ref="D242:E242"/>
    <mergeCell ref="F242:G242"/>
    <mergeCell ref="H242:I242"/>
    <mergeCell ref="J242:K242"/>
    <mergeCell ref="L242:M242"/>
    <mergeCell ref="P184:Q184"/>
    <mergeCell ref="C210:Q210"/>
    <mergeCell ref="C211:Q211"/>
    <mergeCell ref="D212:E212"/>
    <mergeCell ref="F212:G212"/>
    <mergeCell ref="H212:I212"/>
    <mergeCell ref="J212:K212"/>
    <mergeCell ref="L212:M212"/>
    <mergeCell ref="N212:O212"/>
    <mergeCell ref="P212:Q212"/>
    <mergeCell ref="C179:M179"/>
    <mergeCell ref="E180:K180"/>
    <mergeCell ref="C182:Q182"/>
    <mergeCell ref="C183:Q183"/>
    <mergeCell ref="D184:E184"/>
    <mergeCell ref="F184:G184"/>
    <mergeCell ref="H184:I184"/>
    <mergeCell ref="J184:K184"/>
    <mergeCell ref="L184:M184"/>
    <mergeCell ref="N184:O184"/>
    <mergeCell ref="C147:M147"/>
    <mergeCell ref="G148:I148"/>
    <mergeCell ref="D150:E150"/>
    <mergeCell ref="F150:G150"/>
    <mergeCell ref="H150:I150"/>
    <mergeCell ref="J150:K150"/>
    <mergeCell ref="L150:M150"/>
    <mergeCell ref="C112:M112"/>
    <mergeCell ref="E113:K113"/>
    <mergeCell ref="C115:M115"/>
    <mergeCell ref="G116:I116"/>
    <mergeCell ref="D118:E118"/>
    <mergeCell ref="F118:G118"/>
    <mergeCell ref="H118:I118"/>
    <mergeCell ref="J118:K118"/>
    <mergeCell ref="L118:M118"/>
    <mergeCell ref="C96:M96"/>
    <mergeCell ref="C98:D102"/>
    <mergeCell ref="I98:I102"/>
    <mergeCell ref="M98:M102"/>
    <mergeCell ref="C104:M104"/>
    <mergeCell ref="C106:D110"/>
    <mergeCell ref="I106:I110"/>
    <mergeCell ref="M106:M110"/>
    <mergeCell ref="C82:D86"/>
    <mergeCell ref="I82:I86"/>
    <mergeCell ref="M82:M86"/>
    <mergeCell ref="C88:M88"/>
    <mergeCell ref="C90:D94"/>
    <mergeCell ref="I90:I94"/>
    <mergeCell ref="M90:M94"/>
    <mergeCell ref="I70:I72"/>
    <mergeCell ref="C73:D75"/>
    <mergeCell ref="I73:I75"/>
    <mergeCell ref="C76:D78"/>
    <mergeCell ref="I76:I78"/>
    <mergeCell ref="C80:M80"/>
    <mergeCell ref="C59:G60"/>
    <mergeCell ref="I59:M60"/>
    <mergeCell ref="C61:D61"/>
    <mergeCell ref="C63:M63"/>
    <mergeCell ref="C65:D67"/>
    <mergeCell ref="I65:I67"/>
    <mergeCell ref="M65:M78"/>
    <mergeCell ref="C68:D69"/>
    <mergeCell ref="I68:I69"/>
    <mergeCell ref="C70:D72"/>
    <mergeCell ref="C51:D53"/>
    <mergeCell ref="I51:I53"/>
    <mergeCell ref="C54:D56"/>
    <mergeCell ref="I54:I56"/>
    <mergeCell ref="C57:M57"/>
    <mergeCell ref="E58:K58"/>
    <mergeCell ref="C37:D39"/>
    <mergeCell ref="I37:I39"/>
    <mergeCell ref="C41:M41"/>
    <mergeCell ref="C43:D45"/>
    <mergeCell ref="I43:I45"/>
    <mergeCell ref="M43:M56"/>
    <mergeCell ref="C46:D47"/>
    <mergeCell ref="I46:I47"/>
    <mergeCell ref="C48:D50"/>
    <mergeCell ref="I48:I50"/>
    <mergeCell ref="C24:M24"/>
    <mergeCell ref="C26:D28"/>
    <mergeCell ref="I26:I28"/>
    <mergeCell ref="M26:M39"/>
    <mergeCell ref="C29:D30"/>
    <mergeCell ref="I29:I30"/>
    <mergeCell ref="C31:D33"/>
    <mergeCell ref="I31:I33"/>
    <mergeCell ref="C34:D36"/>
    <mergeCell ref="I34:I36"/>
    <mergeCell ref="C14:D16"/>
    <mergeCell ref="I14:I16"/>
    <mergeCell ref="C17:D19"/>
    <mergeCell ref="I17:I19"/>
    <mergeCell ref="C20:D22"/>
    <mergeCell ref="I20:I22"/>
    <mergeCell ref="E1:K1"/>
    <mergeCell ref="C2:G3"/>
    <mergeCell ref="I2:M3"/>
    <mergeCell ref="C5:D5"/>
    <mergeCell ref="C7:M7"/>
    <mergeCell ref="C9:D11"/>
    <mergeCell ref="I9:I11"/>
    <mergeCell ref="M9:M22"/>
    <mergeCell ref="C12:D13"/>
    <mergeCell ref="I12:I13"/>
  </mergeCells>
  <conditionalFormatting sqref="D186:D208 F186:F208 H186:H208 J186:J208 L186:L208 N186:N208 D214:D236 F214:F236 H214:H236 J214:J236 L214:L236 N214:N236 P186:P208 P214:P236 G9:G22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9:G22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G10:G22">
    <cfRule type="cellIs" dxfId="83" priority="82" stopIfTrue="1" operator="greaterThan">
      <formula>0</formula>
    </cfRule>
    <cfRule type="cellIs" dxfId="82" priority="83" stopIfTrue="1" operator="lessThan">
      <formula>0</formula>
    </cfRule>
    <cfRule type="cellIs" dxfId="81" priority="84" stopIfTrue="1" operator="equal">
      <formula>0</formula>
    </cfRule>
  </conditionalFormatting>
  <conditionalFormatting sqref="G10:G22">
    <cfRule type="cellIs" dxfId="80" priority="79" operator="equal">
      <formula>0</formula>
    </cfRule>
    <cfRule type="cellIs" dxfId="79" priority="80" operator="lessThan">
      <formula>0</formula>
    </cfRule>
    <cfRule type="cellIs" dxfId="78" priority="81" operator="greaterThan">
      <formula>0</formula>
    </cfRule>
  </conditionalFormatting>
  <conditionalFormatting sqref="F311:F312 F294:F307 F283:F287 F274:F279 D120:D145 L106:L110 G106:G110 L98:L102 G98:G102 L90:L94 G90:G94 L82:L86 G82:G86 L9:L22">
    <cfRule type="cellIs" dxfId="77" priority="73" operator="equal">
      <formula>0</formula>
    </cfRule>
    <cfRule type="cellIs" dxfId="76" priority="74" operator="lessThan">
      <formula>0</formula>
    </cfRule>
    <cfRule type="cellIs" dxfId="75" priority="75" operator="greaterThan">
      <formula>0</formula>
    </cfRule>
  </conditionalFormatting>
  <conditionalFormatting sqref="F311:F312 F294:F307 F283:F287 F274:F279 D120:D145 L106:L110 G106:G110 L98:L102 G98:G102 L90:L94 G90:G94 L82:L86 G82:G86 L9:L22">
    <cfRule type="cellIs" dxfId="74" priority="76" stopIfTrue="1" operator="greaterThan">
      <formula>0</formula>
    </cfRule>
    <cfRule type="cellIs" dxfId="73" priority="77" stopIfTrue="1" operator="lessThan">
      <formula>0</formula>
    </cfRule>
    <cfRule type="cellIs" dxfId="72" priority="78" stopIfTrue="1" operator="equal">
      <formula>0</formula>
    </cfRule>
  </conditionalFormatting>
  <conditionalFormatting sqref="D152:D177">
    <cfRule type="cellIs" dxfId="71" priority="10" stopIfTrue="1" operator="greaterThan">
      <formula>0</formula>
    </cfRule>
    <cfRule type="cellIs" dxfId="70" priority="11" stopIfTrue="1" operator="lessThan">
      <formula>0</formula>
    </cfRule>
    <cfRule type="cellIs" dxfId="69" priority="12" stopIfTrue="1" operator="equal">
      <formula>0</formula>
    </cfRule>
  </conditionalFormatting>
  <conditionalFormatting sqref="D152:D177">
    <cfRule type="cellIs" dxfId="68" priority="7" operator="equal">
      <formula>0</formula>
    </cfRule>
    <cfRule type="cellIs" dxfId="67" priority="8" operator="lessThan">
      <formula>0</formula>
    </cfRule>
    <cfRule type="cellIs" dxfId="66" priority="9" operator="greaterThan">
      <formula>0</formula>
    </cfRule>
  </conditionalFormatting>
  <conditionalFormatting sqref="F152:F177 H152:H177 J152:J177 L152:L177">
    <cfRule type="cellIs" dxfId="65" priority="4" stopIfTrue="1" operator="greaterThan">
      <formula>0</formula>
    </cfRule>
    <cfRule type="cellIs" dxfId="64" priority="5" stopIfTrue="1" operator="lessThan">
      <formula>0</formula>
    </cfRule>
    <cfRule type="cellIs" dxfId="63" priority="6" stopIfTrue="1" operator="equal">
      <formula>0</formula>
    </cfRule>
  </conditionalFormatting>
  <conditionalFormatting sqref="G26:G39">
    <cfRule type="cellIs" dxfId="62" priority="70" stopIfTrue="1" operator="greaterThan">
      <formula>0</formula>
    </cfRule>
    <cfRule type="cellIs" dxfId="61" priority="71" stopIfTrue="1" operator="lessThan">
      <formula>0</formula>
    </cfRule>
    <cfRule type="cellIs" dxfId="60" priority="72" stopIfTrue="1" operator="equal">
      <formula>0</formula>
    </cfRule>
  </conditionalFormatting>
  <conditionalFormatting sqref="G26:G39">
    <cfRule type="cellIs" dxfId="59" priority="67" operator="equal">
      <formula>0</formula>
    </cfRule>
    <cfRule type="cellIs" dxfId="58" priority="68" operator="lessThan">
      <formula>0</formula>
    </cfRule>
    <cfRule type="cellIs" dxfId="57" priority="69" operator="greaterThan">
      <formula>0</formula>
    </cfRule>
  </conditionalFormatting>
  <conditionalFormatting sqref="G27:G39">
    <cfRule type="cellIs" dxfId="56" priority="64" stopIfTrue="1" operator="greaterThan">
      <formula>0</formula>
    </cfRule>
    <cfRule type="cellIs" dxfId="55" priority="65" stopIfTrue="1" operator="lessThan">
      <formula>0</formula>
    </cfRule>
    <cfRule type="cellIs" dxfId="54" priority="66" stopIfTrue="1" operator="equal">
      <formula>0</formula>
    </cfRule>
  </conditionalFormatting>
  <conditionalFormatting sqref="G27:G39">
    <cfRule type="cellIs" dxfId="53" priority="61" operator="equal">
      <formula>0</formula>
    </cfRule>
    <cfRule type="cellIs" dxfId="52" priority="62" operator="lessThan">
      <formula>0</formula>
    </cfRule>
    <cfRule type="cellIs" dxfId="51" priority="63" operator="greaterThan">
      <formula>0</formula>
    </cfRule>
  </conditionalFormatting>
  <conditionalFormatting sqref="L26:L39">
    <cfRule type="cellIs" dxfId="50" priority="55" operator="equal">
      <formula>0</formula>
    </cfRule>
    <cfRule type="cellIs" dxfId="49" priority="56" operator="lessThan">
      <formula>0</formula>
    </cfRule>
    <cfRule type="cellIs" dxfId="48" priority="57" operator="greaterThan">
      <formula>0</formula>
    </cfRule>
  </conditionalFormatting>
  <conditionalFormatting sqref="L26:L39">
    <cfRule type="cellIs" dxfId="47" priority="58" stopIfTrue="1" operator="greaterThan">
      <formula>0</formula>
    </cfRule>
    <cfRule type="cellIs" dxfId="46" priority="59" stopIfTrue="1" operator="lessThan">
      <formula>0</formula>
    </cfRule>
    <cfRule type="cellIs" dxfId="45" priority="60" stopIfTrue="1" operator="equal">
      <formula>0</formula>
    </cfRule>
  </conditionalFormatting>
  <conditionalFormatting sqref="G43:G56">
    <cfRule type="cellIs" dxfId="44" priority="52" stopIfTrue="1" operator="greaterThan">
      <formula>0</formula>
    </cfRule>
    <cfRule type="cellIs" dxfId="43" priority="53" stopIfTrue="1" operator="lessThan">
      <formula>0</formula>
    </cfRule>
    <cfRule type="cellIs" dxfId="42" priority="54" stopIfTrue="1" operator="equal">
      <formula>0</formula>
    </cfRule>
  </conditionalFormatting>
  <conditionalFormatting sqref="G43:G56">
    <cfRule type="cellIs" dxfId="41" priority="49" operator="equal">
      <formula>0</formula>
    </cfRule>
    <cfRule type="cellIs" dxfId="40" priority="50" operator="lessThan">
      <formula>0</formula>
    </cfRule>
    <cfRule type="cellIs" dxfId="39" priority="51" operator="greaterThan">
      <formula>0</formula>
    </cfRule>
  </conditionalFormatting>
  <conditionalFormatting sqref="G44:G56">
    <cfRule type="cellIs" dxfId="38" priority="46" stopIfTrue="1" operator="greaterThan">
      <formula>0</formula>
    </cfRule>
    <cfRule type="cellIs" dxfId="37" priority="47" stopIfTrue="1" operator="lessThan">
      <formula>0</formula>
    </cfRule>
    <cfRule type="cellIs" dxfId="36" priority="48" stopIfTrue="1" operator="equal">
      <formula>0</formula>
    </cfRule>
  </conditionalFormatting>
  <conditionalFormatting sqref="G44:G56">
    <cfRule type="cellIs" dxfId="35" priority="43" operator="equal">
      <formula>0</formula>
    </cfRule>
    <cfRule type="cellIs" dxfId="34" priority="44" operator="lessThan">
      <formula>0</formula>
    </cfRule>
    <cfRule type="cellIs" dxfId="33" priority="45" operator="greaterThan">
      <formula>0</formula>
    </cfRule>
  </conditionalFormatting>
  <conditionalFormatting sqref="L43:L56">
    <cfRule type="cellIs" dxfId="32" priority="37" operator="equal">
      <formula>0</formula>
    </cfRule>
    <cfRule type="cellIs" dxfId="31" priority="38" operator="lessThan">
      <formula>0</formula>
    </cfRule>
    <cfRule type="cellIs" dxfId="30" priority="39" operator="greaterThan">
      <formula>0</formula>
    </cfRule>
  </conditionalFormatting>
  <conditionalFormatting sqref="L43:L56">
    <cfRule type="cellIs" dxfId="29" priority="40" stopIfTrue="1" operator="greaterThan">
      <formula>0</formula>
    </cfRule>
    <cfRule type="cellIs" dxfId="28" priority="41" stopIfTrue="1" operator="lessThan">
      <formula>0</formula>
    </cfRule>
    <cfRule type="cellIs" dxfId="27" priority="42" stopIfTrue="1" operator="equal">
      <formula>0</formula>
    </cfRule>
  </conditionalFormatting>
  <conditionalFormatting sqref="G65:G78">
    <cfRule type="cellIs" dxfId="26" priority="34" stopIfTrue="1" operator="greaterThan">
      <formula>0</formula>
    </cfRule>
    <cfRule type="cellIs" dxfId="25" priority="35" stopIfTrue="1" operator="lessThan">
      <formula>0</formula>
    </cfRule>
    <cfRule type="cellIs" dxfId="24" priority="36" stopIfTrue="1" operator="equal">
      <formula>0</formula>
    </cfRule>
  </conditionalFormatting>
  <conditionalFormatting sqref="G65:G78">
    <cfRule type="cellIs" dxfId="23" priority="31" operator="equal">
      <formula>0</formula>
    </cfRule>
    <cfRule type="cellIs" dxfId="22" priority="32" operator="lessThan">
      <formula>0</formula>
    </cfRule>
    <cfRule type="cellIs" dxfId="21" priority="33" operator="greaterThan">
      <formula>0</formula>
    </cfRule>
  </conditionalFormatting>
  <conditionalFormatting sqref="G66:G78">
    <cfRule type="cellIs" dxfId="20" priority="28" stopIfTrue="1" operator="greaterThan">
      <formula>0</formula>
    </cfRule>
    <cfRule type="cellIs" dxfId="19" priority="29" stopIfTrue="1" operator="lessThan">
      <formula>0</formula>
    </cfRule>
    <cfRule type="cellIs" dxfId="18" priority="30" stopIfTrue="1" operator="equal">
      <formula>0</formula>
    </cfRule>
  </conditionalFormatting>
  <conditionalFormatting sqref="G66:G78">
    <cfRule type="cellIs" dxfId="17" priority="25" operator="equal">
      <formula>0</formula>
    </cfRule>
    <cfRule type="cellIs" dxfId="16" priority="26" operator="lessThan">
      <formula>0</formula>
    </cfRule>
    <cfRule type="cellIs" dxfId="15" priority="27" operator="greaterThan">
      <formula>0</formula>
    </cfRule>
  </conditionalFormatting>
  <conditionalFormatting sqref="L65:L78">
    <cfRule type="cellIs" dxfId="14" priority="19" operator="equal">
      <formula>0</formula>
    </cfRule>
    <cfRule type="cellIs" dxfId="13" priority="20" operator="lessThan">
      <formula>0</formula>
    </cfRule>
    <cfRule type="cellIs" dxfId="12" priority="21" operator="greaterThan">
      <formula>0</formula>
    </cfRule>
  </conditionalFormatting>
  <conditionalFormatting sqref="L65:L78">
    <cfRule type="cellIs" dxfId="11" priority="22" stopIfTrue="1" operator="greaterThan">
      <formula>0</formula>
    </cfRule>
    <cfRule type="cellIs" dxfId="10" priority="23" stopIfTrue="1" operator="lessThan">
      <formula>0</formula>
    </cfRule>
    <cfRule type="cellIs" dxfId="9" priority="24" stopIfTrue="1" operator="equal">
      <formula>0</formula>
    </cfRule>
  </conditionalFormatting>
  <conditionalFormatting sqref="F120:F145 H120:H145 J120:J145 L120:L145">
    <cfRule type="cellIs" dxfId="8" priority="13" operator="equal">
      <formula>0</formula>
    </cfRule>
    <cfRule type="cellIs" dxfId="7" priority="14" operator="lessThan">
      <formula>0</formula>
    </cfRule>
    <cfRule type="cellIs" dxfId="6" priority="15" operator="greaterThan">
      <formula>0</formula>
    </cfRule>
  </conditionalFormatting>
  <conditionalFormatting sqref="F120:F145 H120:H145 J120:J145 L120:L145">
    <cfRule type="cellIs" dxfId="5" priority="16" stopIfTrue="1" operator="greaterThan">
      <formula>0</formula>
    </cfRule>
    <cfRule type="cellIs" dxfId="4" priority="17" stopIfTrue="1" operator="lessThan">
      <formula>0</formula>
    </cfRule>
    <cfRule type="cellIs" dxfId="3" priority="18" stopIfTrue="1" operator="equal">
      <formula>0</formula>
    </cfRule>
  </conditionalFormatting>
  <conditionalFormatting sqref="F152:F177 H152:H177 J152:J177 L152:L177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57" min="2" max="12" man="1"/>
    <brk id="111" min="2" max="12" man="1"/>
    <brk id="177" min="2" max="12" man="1"/>
    <brk id="288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diciembre</mes>
    <year xmlns="36c86fb7-c3ab-4219-b2b9-06651c03637a">2014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2015-02-26T11:13:00+00:00</PublishingStartDate>
    <_dlc_DocId xmlns="8b099203-c902-4a5b-992f-1f849b15ff82">Q5F7QW3RQ55V-2035-307</_dlc_DocId>
    <_dlc_DocIdUrl xmlns="8b099203-c902-4a5b-992f-1f849b15ff82">
      <Url>http://cd102671/es/investigacion/Situacion-turistica/indicadores-turisticos/_layouts/DocIdRedir.aspx?ID=Q5F7QW3RQ55V-2035-307</Url>
      <Description>Q5F7QW3RQ55V-2035-307</Description>
    </_dlc_DocIdUrl>
    <Pagina xmlns="36c86fb7-c3ab-4219-b2b9-06651c0363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23079A-846E-4704-B089-6171BEA01B33}"/>
</file>

<file path=customXml/itemProps2.xml><?xml version="1.0" encoding="utf-8"?>
<ds:datastoreItem xmlns:ds="http://schemas.openxmlformats.org/officeDocument/2006/customXml" ds:itemID="{61BB57D3-509A-4F69-A277-9E8C08626CDA}"/>
</file>

<file path=customXml/itemProps3.xml><?xml version="1.0" encoding="utf-8"?>
<ds:datastoreItem xmlns:ds="http://schemas.openxmlformats.org/officeDocument/2006/customXml" ds:itemID="{65E10D7C-0059-4C51-84CF-629843AE7F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(vinculo)</vt:lpstr>
      <vt:lpstr>'Ind turísticos (vinculo)'!Área_de_impresión</vt:lpstr>
      <vt:lpstr>'Ind turísticos (vinculo)'!Print_Area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año 2014</dc:title>
  <dc:creator>Marjorie Perez Garcia</dc:creator>
  <cp:lastModifiedBy>Marjorie Perez Garcia</cp:lastModifiedBy>
  <dcterms:created xsi:type="dcterms:W3CDTF">2015-01-30T13:54:32Z</dcterms:created>
  <dcterms:modified xsi:type="dcterms:W3CDTF">2015-01-30T13:55:12Z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51890a97-e5a4-4155-98c3-510462d5fe34</vt:lpwstr>
  </property>
</Properties>
</file>