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35" windowHeight="11955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(vinculo)'!$C$1:$M$293</definedName>
    <definedName name="meses">[1]ACTUALIZACIÓN!$R$1:$R$12</definedName>
    <definedName name="Z_B161D6A3_44F3_469D_B50D_76D907B3525C_.wvu.Cols" localSheetId="0" hidden="1">'Ind turísticos (vinculo)'!#REF!</definedName>
  </definedNames>
  <calcPr calcId="125725"/>
</workbook>
</file>

<file path=xl/calcChain.xml><?xml version="1.0" encoding="utf-8"?>
<calcChain xmlns="http://schemas.openxmlformats.org/spreadsheetml/2006/main">
  <c r="H283" i="1"/>
  <c r="H282" l="1"/>
  <c r="H281" l="1"/>
  <c r="H280" l="1"/>
  <c r="H277" l="1"/>
  <c r="H274" l="1"/>
  <c r="H272" l="1"/>
  <c r="H258" l="1"/>
  <c r="H256" l="1"/>
  <c r="Q219" l="1"/>
  <c r="P219"/>
  <c r="O219"/>
  <c r="N219"/>
  <c r="M219"/>
  <c r="L219"/>
  <c r="K219"/>
  <c r="J219"/>
  <c r="I219"/>
  <c r="H219"/>
  <c r="G219"/>
  <c r="F219"/>
  <c r="E219"/>
  <c r="D219"/>
  <c r="Q218"/>
  <c r="P218"/>
  <c r="O218"/>
  <c r="N218"/>
  <c r="M218"/>
  <c r="L218"/>
  <c r="K218"/>
  <c r="J218"/>
  <c r="I218"/>
  <c r="H218"/>
  <c r="G218"/>
  <c r="F218"/>
  <c r="E218"/>
  <c r="D218"/>
  <c r="Q217"/>
  <c r="P217"/>
  <c r="O217"/>
  <c r="N217"/>
  <c r="M217"/>
  <c r="L217"/>
  <c r="K217"/>
  <c r="J217"/>
  <c r="I217"/>
  <c r="H217"/>
  <c r="G217"/>
  <c r="F217"/>
  <c r="E217"/>
  <c r="D217"/>
  <c r="Q216"/>
  <c r="P216"/>
  <c r="O216"/>
  <c r="N216"/>
  <c r="M216"/>
  <c r="L216"/>
  <c r="K216"/>
  <c r="J216"/>
  <c r="I216"/>
  <c r="H216"/>
  <c r="G216"/>
  <c r="F216"/>
  <c r="E216"/>
  <c r="D216"/>
  <c r="Q215"/>
  <c r="P215"/>
  <c r="O215"/>
  <c r="N215"/>
  <c r="M215"/>
  <c r="L215"/>
  <c r="K215"/>
  <c r="J215"/>
  <c r="I215"/>
  <c r="H215"/>
  <c r="G215"/>
  <c r="F215"/>
  <c r="E215"/>
  <c r="D215"/>
  <c r="Q214"/>
  <c r="P214"/>
  <c r="O214"/>
  <c r="N214"/>
  <c r="M214"/>
  <c r="L214"/>
  <c r="K214"/>
  <c r="J214"/>
  <c r="I214"/>
  <c r="H214"/>
  <c r="G214"/>
  <c r="F214"/>
  <c r="E214"/>
  <c r="D214"/>
  <c r="Q213"/>
  <c r="P213"/>
  <c r="O213"/>
  <c r="N213"/>
  <c r="M213"/>
  <c r="L213"/>
  <c r="K213"/>
  <c r="J213"/>
  <c r="I213"/>
  <c r="H213"/>
  <c r="G213"/>
  <c r="F213"/>
  <c r="E213"/>
  <c r="D213"/>
  <c r="Q212"/>
  <c r="P212"/>
  <c r="O212"/>
  <c r="N212"/>
  <c r="M212"/>
  <c r="L212"/>
  <c r="K212"/>
  <c r="J212"/>
  <c r="I212"/>
  <c r="H212"/>
  <c r="G212"/>
  <c r="F212"/>
  <c r="E212"/>
  <c r="D212"/>
  <c r="Q211"/>
  <c r="P211"/>
  <c r="O211"/>
  <c r="N211"/>
  <c r="M211"/>
  <c r="L211"/>
  <c r="K211"/>
  <c r="J211"/>
  <c r="I211"/>
  <c r="H211"/>
  <c r="G211"/>
  <c r="F211"/>
  <c r="E211"/>
  <c r="D211"/>
  <c r="Q210"/>
  <c r="P210"/>
  <c r="O210"/>
  <c r="N210"/>
  <c r="M210"/>
  <c r="L210"/>
  <c r="K210"/>
  <c r="J210"/>
  <c r="I210"/>
  <c r="H210"/>
  <c r="G210"/>
  <c r="F210"/>
  <c r="E210"/>
  <c r="D210"/>
  <c r="Q209"/>
  <c r="P209"/>
  <c r="O209"/>
  <c r="N209"/>
  <c r="M209"/>
  <c r="K209"/>
  <c r="J209"/>
  <c r="I209"/>
  <c r="H209"/>
  <c r="G209"/>
  <c r="F209"/>
  <c r="E209"/>
  <c r="Q208"/>
  <c r="P208"/>
  <c r="O208"/>
  <c r="N208"/>
  <c r="M208"/>
  <c r="L208"/>
  <c r="K208"/>
  <c r="J208"/>
  <c r="I208"/>
  <c r="H208"/>
  <c r="G208"/>
  <c r="F208"/>
  <c r="E208"/>
  <c r="D208"/>
  <c r="Q207"/>
  <c r="P207"/>
  <c r="O207"/>
  <c r="N207"/>
  <c r="M207"/>
  <c r="L207"/>
  <c r="K207"/>
  <c r="J207"/>
  <c r="I207"/>
  <c r="H207"/>
  <c r="G207"/>
  <c r="F207"/>
  <c r="E207"/>
  <c r="D207"/>
  <c r="Q206"/>
  <c r="P206"/>
  <c r="O206"/>
  <c r="N206"/>
  <c r="M206"/>
  <c r="L206"/>
  <c r="K206"/>
  <c r="J206"/>
  <c r="I206"/>
  <c r="H206"/>
  <c r="G206"/>
  <c r="F206"/>
  <c r="E206"/>
  <c r="D206"/>
  <c r="Q205"/>
  <c r="P205"/>
  <c r="O205"/>
  <c r="N205"/>
  <c r="M205"/>
  <c r="L205"/>
  <c r="K205"/>
  <c r="J205"/>
  <c r="I205"/>
  <c r="H205"/>
  <c r="G205"/>
  <c r="F205"/>
  <c r="E205"/>
  <c r="D205"/>
  <c r="Q204"/>
  <c r="P204"/>
  <c r="O204"/>
  <c r="N204"/>
  <c r="M204"/>
  <c r="L204"/>
  <c r="K204"/>
  <c r="J204"/>
  <c r="I204"/>
  <c r="H204"/>
  <c r="G204"/>
  <c r="F204"/>
  <c r="E204"/>
  <c r="D204"/>
  <c r="Q203"/>
  <c r="P203"/>
  <c r="O203"/>
  <c r="N203"/>
  <c r="M203"/>
  <c r="L203"/>
  <c r="K203"/>
  <c r="J203"/>
  <c r="I203"/>
  <c r="H203"/>
  <c r="G203"/>
  <c r="F203"/>
  <c r="E203"/>
  <c r="D203"/>
  <c r="Q202"/>
  <c r="P202"/>
  <c r="O202"/>
  <c r="N202"/>
  <c r="M202"/>
  <c r="L202"/>
  <c r="K202"/>
  <c r="J202"/>
  <c r="I202"/>
  <c r="H202"/>
  <c r="G202"/>
  <c r="F202"/>
  <c r="E202"/>
  <c r="D202"/>
  <c r="Q201"/>
  <c r="P201"/>
  <c r="O201"/>
  <c r="N201"/>
  <c r="M201"/>
  <c r="L201"/>
  <c r="K201"/>
  <c r="J201"/>
  <c r="I201"/>
  <c r="H201"/>
  <c r="G201"/>
  <c r="F201"/>
  <c r="E201"/>
  <c r="D201"/>
  <c r="Q200"/>
  <c r="P200"/>
  <c r="O200"/>
  <c r="N200"/>
  <c r="M200"/>
  <c r="L200"/>
  <c r="K200"/>
  <c r="J200"/>
  <c r="I200"/>
  <c r="H200"/>
  <c r="G200"/>
  <c r="F200"/>
  <c r="E200"/>
  <c r="D200"/>
  <c r="Q199"/>
  <c r="P199"/>
  <c r="O199"/>
  <c r="N199"/>
  <c r="M199"/>
  <c r="L199"/>
  <c r="K199"/>
  <c r="J199"/>
  <c r="I199"/>
  <c r="H199"/>
  <c r="G199"/>
  <c r="F199"/>
  <c r="E199"/>
  <c r="D199"/>
  <c r="Q198"/>
  <c r="P198"/>
  <c r="O198"/>
  <c r="N198"/>
  <c r="M198"/>
  <c r="L198"/>
  <c r="K198"/>
  <c r="J198"/>
  <c r="I198"/>
  <c r="H198"/>
  <c r="G198"/>
  <c r="F198"/>
  <c r="E198"/>
  <c r="D198"/>
  <c r="Q197"/>
  <c r="P197"/>
  <c r="O197"/>
  <c r="N197"/>
  <c r="M197"/>
  <c r="L197"/>
  <c r="K197"/>
  <c r="J197"/>
  <c r="I197"/>
  <c r="H197"/>
  <c r="G197"/>
  <c r="F197"/>
  <c r="E197"/>
  <c r="D197"/>
  <c r="Q191"/>
  <c r="P191"/>
  <c r="O191"/>
  <c r="N191"/>
  <c r="M191"/>
  <c r="L191"/>
  <c r="K191"/>
  <c r="J191"/>
  <c r="I191"/>
  <c r="H191"/>
  <c r="G191"/>
  <c r="F191"/>
  <c r="E191"/>
  <c r="D191"/>
  <c r="Q190"/>
  <c r="P190"/>
  <c r="O190"/>
  <c r="N190"/>
  <c r="M190"/>
  <c r="L190"/>
  <c r="K190"/>
  <c r="J190"/>
  <c r="I190"/>
  <c r="H190"/>
  <c r="G190"/>
  <c r="F190"/>
  <c r="E190"/>
  <c r="D190"/>
  <c r="Q189"/>
  <c r="P189"/>
  <c r="O189"/>
  <c r="N189"/>
  <c r="M189"/>
  <c r="L189"/>
  <c r="K189"/>
  <c r="J189"/>
  <c r="I189"/>
  <c r="H189"/>
  <c r="G189"/>
  <c r="F189"/>
  <c r="E189"/>
  <c r="D189"/>
  <c r="Q188"/>
  <c r="P188"/>
  <c r="O188"/>
  <c r="N188"/>
  <c r="M188"/>
  <c r="L188"/>
  <c r="K188"/>
  <c r="J188"/>
  <c r="I188"/>
  <c r="H188"/>
  <c r="G188"/>
  <c r="F188"/>
  <c r="E188"/>
  <c r="D188"/>
  <c r="Q187"/>
  <c r="P187"/>
  <c r="O187"/>
  <c r="N187"/>
  <c r="M187"/>
  <c r="L187"/>
  <c r="K187"/>
  <c r="J187"/>
  <c r="I187"/>
  <c r="H187"/>
  <c r="G187"/>
  <c r="F187"/>
  <c r="E187"/>
  <c r="D187"/>
  <c r="Q186"/>
  <c r="P186"/>
  <c r="O186"/>
  <c r="N186"/>
  <c r="M186"/>
  <c r="L186"/>
  <c r="K186"/>
  <c r="J186"/>
  <c r="I186"/>
  <c r="H186"/>
  <c r="G186"/>
  <c r="F186"/>
  <c r="E186"/>
  <c r="D186"/>
  <c r="Q185"/>
  <c r="P185"/>
  <c r="O185"/>
  <c r="N185"/>
  <c r="M185"/>
  <c r="L185"/>
  <c r="K185"/>
  <c r="J185"/>
  <c r="I185"/>
  <c r="H185"/>
  <c r="G185"/>
  <c r="F185"/>
  <c r="E185"/>
  <c r="D185"/>
  <c r="Q184"/>
  <c r="P184"/>
  <c r="O184"/>
  <c r="N184"/>
  <c r="M184"/>
  <c r="L184"/>
  <c r="K184"/>
  <c r="J184"/>
  <c r="I184"/>
  <c r="H184"/>
  <c r="G184"/>
  <c r="F184"/>
  <c r="E184"/>
  <c r="D184"/>
  <c r="Q183"/>
  <c r="P183"/>
  <c r="O183"/>
  <c r="N183"/>
  <c r="M183"/>
  <c r="L183"/>
  <c r="K183"/>
  <c r="J183"/>
  <c r="I183"/>
  <c r="H183"/>
  <c r="G183"/>
  <c r="F183"/>
  <c r="E183"/>
  <c r="D183"/>
  <c r="Q182"/>
  <c r="P182"/>
  <c r="O182"/>
  <c r="N182"/>
  <c r="M182"/>
  <c r="L182"/>
  <c r="K182"/>
  <c r="J182"/>
  <c r="I182"/>
  <c r="H182"/>
  <c r="G182"/>
  <c r="F182"/>
  <c r="E182"/>
  <c r="D182"/>
  <c r="Q181"/>
  <c r="P181"/>
  <c r="O181"/>
  <c r="N181"/>
  <c r="M181"/>
  <c r="K181"/>
  <c r="J181"/>
  <c r="I181"/>
  <c r="H181"/>
  <c r="G181"/>
  <c r="F181"/>
  <c r="E181"/>
  <c r="Q180"/>
  <c r="P180"/>
  <c r="O180"/>
  <c r="N180"/>
  <c r="M180"/>
  <c r="L180"/>
  <c r="K180"/>
  <c r="J180"/>
  <c r="I180"/>
  <c r="H180"/>
  <c r="G180"/>
  <c r="F180"/>
  <c r="E180"/>
  <c r="D180"/>
  <c r="Q179"/>
  <c r="P179"/>
  <c r="O179"/>
  <c r="N179"/>
  <c r="M179"/>
  <c r="L179"/>
  <c r="K179"/>
  <c r="J179"/>
  <c r="I179"/>
  <c r="H179"/>
  <c r="G179"/>
  <c r="F179"/>
  <c r="E179"/>
  <c r="D179"/>
  <c r="Q178"/>
  <c r="P178"/>
  <c r="O178"/>
  <c r="N178"/>
  <c r="M178"/>
  <c r="L178"/>
  <c r="K178"/>
  <c r="J178"/>
  <c r="I178"/>
  <c r="H178"/>
  <c r="G178"/>
  <c r="F178"/>
  <c r="E178"/>
  <c r="D178"/>
  <c r="Q177"/>
  <c r="P177"/>
  <c r="O177"/>
  <c r="N177"/>
  <c r="M177"/>
  <c r="L177"/>
  <c r="K177"/>
  <c r="J177"/>
  <c r="I177"/>
  <c r="H177"/>
  <c r="G177"/>
  <c r="F177"/>
  <c r="E177"/>
  <c r="D177"/>
  <c r="Q176"/>
  <c r="P176"/>
  <c r="O176"/>
  <c r="N176"/>
  <c r="M176"/>
  <c r="L176"/>
  <c r="K176"/>
  <c r="J176"/>
  <c r="I176"/>
  <c r="H176"/>
  <c r="G176"/>
  <c r="F176"/>
  <c r="E176"/>
  <c r="D176"/>
  <c r="Q175"/>
  <c r="P175"/>
  <c r="O175"/>
  <c r="N175"/>
  <c r="M175"/>
  <c r="L175"/>
  <c r="K175"/>
  <c r="J175"/>
  <c r="I175"/>
  <c r="H175"/>
  <c r="G175"/>
  <c r="F175"/>
  <c r="E175"/>
  <c r="D175"/>
  <c r="Q174"/>
  <c r="P174"/>
  <c r="O174"/>
  <c r="N174"/>
  <c r="M174"/>
  <c r="L174"/>
  <c r="K174"/>
  <c r="J174"/>
  <c r="I174"/>
  <c r="H174"/>
  <c r="G174"/>
  <c r="F174"/>
  <c r="E174"/>
  <c r="D174"/>
  <c r="Q173"/>
  <c r="P173"/>
  <c r="O173"/>
  <c r="N173"/>
  <c r="M173"/>
  <c r="L173"/>
  <c r="K173"/>
  <c r="J173"/>
  <c r="I173"/>
  <c r="H173"/>
  <c r="G173"/>
  <c r="F173"/>
  <c r="E173"/>
  <c r="D173"/>
  <c r="Q172"/>
  <c r="P172"/>
  <c r="O172"/>
  <c r="N172"/>
  <c r="M172"/>
  <c r="L172"/>
  <c r="K172"/>
  <c r="J172"/>
  <c r="I172"/>
  <c r="H172"/>
  <c r="G172"/>
  <c r="F172"/>
  <c r="E172"/>
  <c r="D172"/>
  <c r="Q171"/>
  <c r="P171"/>
  <c r="O171"/>
  <c r="N171"/>
  <c r="M171"/>
  <c r="L171"/>
  <c r="K171"/>
  <c r="J171"/>
  <c r="I171"/>
  <c r="H171"/>
  <c r="G171"/>
  <c r="F171"/>
  <c r="E171"/>
  <c r="D171"/>
  <c r="Q170"/>
  <c r="P170"/>
  <c r="O170"/>
  <c r="N170"/>
  <c r="M170"/>
  <c r="L170"/>
  <c r="K170"/>
  <c r="J170"/>
  <c r="I170"/>
  <c r="H170"/>
  <c r="G170"/>
  <c r="F170"/>
  <c r="E170"/>
  <c r="D170"/>
  <c r="Q169"/>
  <c r="P169"/>
  <c r="O169"/>
  <c r="N169"/>
  <c r="M169"/>
  <c r="L169"/>
  <c r="K169"/>
  <c r="J169"/>
  <c r="I169"/>
  <c r="H169"/>
  <c r="G169"/>
  <c r="F169"/>
  <c r="E169"/>
  <c r="D169"/>
  <c r="C166" l="1"/>
  <c r="G107"/>
  <c r="E57"/>
  <c r="C194"/>
  <c r="G135"/>
  <c r="I56"/>
  <c r="E268"/>
  <c r="E163"/>
  <c r="E221"/>
  <c r="E104"/>
  <c r="E55"/>
</calcChain>
</file>

<file path=xl/sharedStrings.xml><?xml version="1.0" encoding="utf-8"?>
<sst xmlns="http://schemas.openxmlformats.org/spreadsheetml/2006/main" count="548" uniqueCount="112">
  <si>
    <t xml:space="preserve">Mes </t>
  </si>
  <si>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</si>
  <si>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</si>
  <si>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</si>
  <si>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</si>
  <si>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</si>
  <si>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</si>
  <si>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</si>
  <si>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</si>
  <si>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</si>
  <si>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</si>
  <si>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</si>
  <si>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</si>
  <si>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</si>
  <si>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</si>
  <si>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</si>
  <si>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</si>
  <si>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</si>
  <si>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</si>
  <si>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</si>
  <si>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</si>
  <si>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</si>
  <si>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</si>
  <si>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</si>
  <si>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</si>
  <si>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</si>
  <si>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</si>
  <si>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</si>
  <si>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</si>
  <si>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</si>
  <si>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</si>
  <si>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</si>
  <si>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</si>
  <si>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</si>
  <si>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</si>
  <si>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</si>
  <si>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</si>
  <si>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</si>
  <si>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</si>
  <si>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</si>
  <si>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</si>
  <si>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</si>
  <si>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</si>
  <si>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</si>
  <si>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</si>
  <si>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</si>
  <si>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</si>
  <si>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</si>
  <si>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</si>
  <si>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</si>
  <si>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</si>
  <si>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</si>
  <si>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</si>
  <si>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</si>
  <si>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</si>
  <si>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</si>
  <si>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</si>
  <si>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</si>
  <si>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</si>
  <si>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</si>
  <si>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</si>
  <si>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</si>
  <si>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</si>
  <si>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</si>
  <si>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</si>
  <si>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total hotelero</t>
  </si>
  <si>
    <t>extrahotelero</t>
  </si>
  <si>
    <t>CUOTAS DE NACIONALIDAD TOTAL Y POR ZONAS, PARA EL MES ACTUAL Y ACUMULADO ANUAL</t>
  </si>
  <si>
    <t>cuota
mes</t>
  </si>
  <si>
    <t>cuota
periodo acumulado</t>
  </si>
  <si>
    <t xml:space="preserve">GASTO TURÍSTICO </t>
  </si>
  <si>
    <t>Gasto total por turista</t>
  </si>
  <si>
    <t>Gasto en origen por turista</t>
  </si>
  <si>
    <t>Gasto en destino por turista</t>
  </si>
  <si>
    <t>Gasto total por turista y día</t>
  </si>
  <si>
    <t>Gasto en origen por turista y día</t>
  </si>
  <si>
    <t>Gasto en destino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</si>
  <si>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</si>
  <si>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</si>
  <si>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</si>
  <si>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</si>
  <si>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</si>
  <si>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</si>
  <si>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</si>
  <si>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</si>
  <si>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</si>
  <si>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</si>
  <si>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</si>
  <si>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</si>
  <si>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</si>
  <si>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INDICADORES TURÍSTICOS DE TENERIFE (definitivo 63,2%)</t>
  </si>
  <si>
    <t>diciembre 2011</t>
  </si>
  <si>
    <t>año 2011</t>
  </si>
  <si>
    <t>El gasto medio total por turista en el año 2011 ha ascendido a 1.021,9€ . Se incrementa  un 1,3% respecto al mismo periodo del año anterior.</t>
  </si>
  <si>
    <t>El gasto medio por turista en origen se situó en 673,0€, un 3,0% más que en el año 2010.</t>
  </si>
  <si>
    <t>El gasto total diario por turista se situó en 108,5€, un 4,0% más que en el año 2010.</t>
  </si>
  <si>
    <t>El gasto medio en Tenerife, por turista y día  fue de 37,6€, experimentando un incremento del 0,7% respecto a el año 2010.</t>
  </si>
  <si>
    <t>El número de plazas autorizadas por Policía Turística a fecha de diciembre 2011 asciendían a 134.186 plazas, registrando un descenso del -0,2% respecto al cierre del año 2010.</t>
  </si>
  <si>
    <t>Las plazas hoteleras autorizadas ascienden a 81.929 y representan el 61% del total. Con respecto al año 2010, las plazas hoteleras se reducen un -0,5%.</t>
  </si>
  <si>
    <t>Las plazas extrahoteleras autorizadas, el 38% del total, ascienden a  50.899 (no incluye oferta rural). Aumentan un +0,2% respecto al mismo mes de 2010.</t>
  </si>
  <si>
    <t>Las plazas de hoteles rurales autorizadas por Policía Turística ascienden a 541, con un incremento del 5,9% respecto al mismo mes de 2010.</t>
  </si>
  <si>
    <t>Las plazas de casas rurales autorizadas por Policía Turística ascienden a 817, registrando un incremento del 3,9% respecto a diciembre de 2010.</t>
  </si>
  <si>
    <t>año 2011 
Encuesta al Turismo Receptivo del Cabildo de Tenerife</t>
  </si>
  <si>
    <t>Las plazas estimadas por el STDE del Cabildo de Tenerife en el II semestre de 2011 ascienden a 172.391. Se reducen un -1,6% respecto al mismo período del año anterior.</t>
  </si>
  <si>
    <t>La oferta extrahotelera estimada por el STDE del Cabildo de Tenerife en el II semestre de 2011, asciende a 83.801 plazas, incluyendo oferta rural. Supone el 48,6% del total de las plazas turísticas, registrando un descenso del -6,0%.</t>
  </si>
  <si>
    <t>Las plazas estimadas para la zona de La Laguna, Bajamar, La Punta ascienden a 1.176 en el II semestre de 2011, registrando un descenso respecto al mismo periodo del año anterior del -16,5%.</t>
  </si>
  <si>
    <t>Las plazas extrahoteleras se estiman en 799, registrándose un descenso del -10,7% respecto al II semestre del año anterior.</t>
  </si>
  <si>
    <t>Las plazas totales estimadas para la zona Norte se sitúan en las 28.450 plazas,  registrándose un descenso del -3,7% con respecto al descenso del -10,7% respecto al II semestre del año anterior.</t>
  </si>
  <si>
    <t>Las plazas extrahoteleras estimadas se sitúan en las 73.377 en el II semestre del  2011, con un descenso del -5,2%  respecto al II semestre del año anterior.</t>
  </si>
  <si>
    <t>Por el Puerto de Santa Cruz de Tenerife han pasado en el año 2011, 607.343 cruceristas, un 13,2% más en comparación al mismo período del año 2010</t>
  </si>
  <si>
    <t>El número de buques de crucero en el Puerto de Santa Cruz de Tenerife hasta diciembre 2011 ascienden a un total de 288 cruceros, cifra que se incrementa un +13,8% respecto al mismo período del año anterior.</t>
  </si>
  <si>
    <t>año 2011
FUENTE: Autoridad Portuaria de S/C de Tenerife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</si>
</sst>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5">
    <font>
      <sz val="10"/>
      <name val="Arial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17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17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0" fontId="4" fillId="3" borderId="15" xfId="0" applyFont="1" applyFill="1" applyBorder="1" applyAlignment="1" applyProtection="1">
      <alignment horizontal="left" vertical="center" wrapText="1"/>
      <protection hidden="1"/>
    </xf>
    <xf numFmtId="0" fontId="10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3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17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 applyProtection="1">
      <alignment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15" xfId="0" applyFont="1" applyFill="1" applyBorder="1" applyAlignment="1" applyProtection="1">
      <alignment horizontal="right" vertical="center" wrapText="1"/>
      <protection hidden="1"/>
    </xf>
    <xf numFmtId="3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justify" vertical="center" wrapText="1"/>
      <protection hidden="1"/>
    </xf>
    <xf numFmtId="0" fontId="5" fillId="3" borderId="4" xfId="0" applyFont="1" applyFill="1" applyBorder="1" applyAlignment="1" applyProtection="1">
      <alignment horizontal="justify" vertical="center" wrapText="1"/>
      <protection hidden="1"/>
    </xf>
    <xf numFmtId="0" fontId="5" fillId="3" borderId="5" xfId="0" applyFont="1" applyFill="1" applyBorder="1" applyAlignment="1" applyProtection="1">
      <alignment horizontal="justify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0" fontId="12" fillId="3" borderId="14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12" fillId="3" borderId="13" xfId="0" applyFont="1" applyFill="1" applyBorder="1" applyAlignment="1" applyProtection="1">
      <alignment horizontal="center" vertical="center" wrapText="1"/>
      <protection hidden="1"/>
    </xf>
    <xf numFmtId="0" fontId="5" fillId="0" borderId="0" xfId="2"/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justify" vertical="center" wrapText="1"/>
      <protection hidden="1"/>
    </xf>
    <xf numFmtId="0" fontId="5" fillId="3" borderId="2" xfId="0" applyFont="1" applyFill="1" applyBorder="1" applyAlignment="1" applyProtection="1">
      <alignment horizontal="justify" vertical="center" wrapText="1"/>
      <protection hidden="1"/>
    </xf>
    <xf numFmtId="0" fontId="5" fillId="3" borderId="6" xfId="0" applyFont="1" applyFill="1" applyBorder="1" applyAlignment="1" applyProtection="1">
      <alignment horizontal="justify" vertical="center" wrapText="1"/>
      <protection hidden="1"/>
    </xf>
    <xf numFmtId="0" fontId="5" fillId="3" borderId="9" xfId="0" applyFont="1" applyFill="1" applyBorder="1" applyAlignment="1" applyProtection="1">
      <alignment horizontal="justify" vertical="center" wrapText="1"/>
      <protection hidden="1"/>
    </xf>
    <xf numFmtId="0" fontId="5" fillId="3" borderId="10" xfId="0" applyFont="1" applyFill="1" applyBorder="1" applyAlignment="1" applyProtection="1">
      <alignment horizontal="justify" vertical="center" wrapText="1"/>
      <protection hidden="1"/>
    </xf>
    <xf numFmtId="0" fontId="5" fillId="3" borderId="11" xfId="0" applyFont="1" applyFill="1" applyBorder="1" applyAlignment="1" applyProtection="1">
      <alignment horizontal="justify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ual" xfId="1" builtinId="5"/>
    <cellStyle name="Porcentual 2" xfId="4"/>
    <cellStyle name="Porcentual 4" xfId="5"/>
  </cellStyles>
  <dxfs count="6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58202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58202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58202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265</xdr:row>
      <xdr:rowOff>0</xdr:rowOff>
    </xdr:from>
    <xdr:to>
      <xdr:col>10</xdr:col>
      <xdr:colOff>647700</xdr:colOff>
      <xdr:row>266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85820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65835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65835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65835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5820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265</xdr:row>
      <xdr:rowOff>0</xdr:rowOff>
    </xdr:from>
    <xdr:to>
      <xdr:col>10</xdr:col>
      <xdr:colOff>647700</xdr:colOff>
      <xdr:row>266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5820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58202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252</xdr:row>
      <xdr:rowOff>0</xdr:rowOff>
    </xdr:from>
    <xdr:to>
      <xdr:col>10</xdr:col>
      <xdr:colOff>647700</xdr:colOff>
      <xdr:row>252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582025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65835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65835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65835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965835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265</xdr:row>
      <xdr:rowOff>0</xdr:rowOff>
    </xdr:from>
    <xdr:to>
      <xdr:col>11</xdr:col>
      <xdr:colOff>0</xdr:colOff>
      <xdr:row>266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65835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65835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65835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65835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265</xdr:row>
      <xdr:rowOff>0</xdr:rowOff>
    </xdr:from>
    <xdr:to>
      <xdr:col>11</xdr:col>
      <xdr:colOff>0</xdr:colOff>
      <xdr:row>266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65835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252</xdr:row>
      <xdr:rowOff>0</xdr:rowOff>
    </xdr:from>
    <xdr:to>
      <xdr:col>11</xdr:col>
      <xdr:colOff>0</xdr:colOff>
      <xdr:row>252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658350" y="615696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965835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265</xdr:row>
      <xdr:rowOff>0</xdr:rowOff>
    </xdr:from>
    <xdr:to>
      <xdr:col>11</xdr:col>
      <xdr:colOff>0</xdr:colOff>
      <xdr:row>266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265</xdr:row>
      <xdr:rowOff>0</xdr:rowOff>
    </xdr:from>
    <xdr:to>
      <xdr:col>11</xdr:col>
      <xdr:colOff>0</xdr:colOff>
      <xdr:row>266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21812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1812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1" name="AutoShape 270"/>
        <xdr:cNvSpPr>
          <a:spLocks noRot="1" noMove="1" noResize="1" noChangeArrowheads="1"/>
        </xdr:cNvSpPr>
      </xdr:nvSpPr>
      <xdr:spPr bwMode="auto">
        <a:xfrm>
          <a:off x="21812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2" name="AutoShape 271"/>
        <xdr:cNvSpPr>
          <a:spLocks noRot="1" noChangeAspect="1" noMove="1" noResize="1" noChangeArrowheads="1"/>
        </xdr:cNvSpPr>
      </xdr:nvSpPr>
      <xdr:spPr bwMode="auto">
        <a:xfrm>
          <a:off x="21812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3" name="AutoShape 272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4" name="AutoShape 273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5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56" name="AutoShape 27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7" name="AutoShape 277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8" name="AutoShape 278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9"/>
        <xdr:cNvSpPr>
          <a:spLocks noRo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252</xdr:row>
      <xdr:rowOff>0</xdr:rowOff>
    </xdr:from>
    <xdr:to>
      <xdr:col>2</xdr:col>
      <xdr:colOff>647700</xdr:colOff>
      <xdr:row>252</xdr:row>
      <xdr:rowOff>9525</xdr:rowOff>
    </xdr:to>
    <xdr:sp macro="" textlink="">
      <xdr:nvSpPr>
        <xdr:cNvPr id="60" name="AutoShape 280"/>
        <xdr:cNvSpPr>
          <a:spLocks noRot="1" noChangeAspect="1" noMove="1" noResize="1" noChangeArrowheads="1"/>
        </xdr:cNvSpPr>
      </xdr:nvSpPr>
      <xdr:spPr bwMode="auto">
        <a:xfrm>
          <a:off x="381000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81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2" name="AutoShape 282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63" name="AutoShape 283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64" name="AutoShape 28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65" name="AutoShape 28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6" name="AutoShape 287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7" name="AutoShape 288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9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9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0" name="AutoShape 291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1" name="AutoShape 292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3"/>
        <xdr:cNvSpPr>
          <a:spLocks noRo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3" name="AutoShape 29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4" name="AutoShape 295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5" name="AutoShape 296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7"/>
        <xdr:cNvSpPr>
          <a:spLocks noRo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8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8" name="AutoShape 299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9" name="AutoShape 30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301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2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82" name="AutoShape 305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83" name="AutoShape 306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84" name="AutoShape 30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85" name="AutoShape 309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86" name="AutoShape 310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7" name="AutoShape 311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8" name="AutoShape 312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9" name="AutoShape 313"/>
        <xdr:cNvSpPr>
          <a:spLocks noRo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0" name="AutoShape 314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1" name="AutoShape 315"/>
        <xdr:cNvSpPr>
          <a:spLocks noRot="1" noChangeAspect="1" noMove="1" noResize="1" noChangeArrowheads="1"/>
        </xdr:cNvSpPr>
      </xdr:nvSpPr>
      <xdr:spPr bwMode="auto">
        <a:xfrm>
          <a:off x="965835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2" name="AutoShape 316"/>
        <xdr:cNvSpPr>
          <a:spLocks noRot="1" noChangeAspect="1" noMove="1" noResize="1" noChangeArrowheads="1"/>
        </xdr:cNvSpPr>
      </xdr:nvSpPr>
      <xdr:spPr bwMode="auto">
        <a:xfrm>
          <a:off x="965835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3" name="AutoShape 317"/>
        <xdr:cNvSpPr>
          <a:spLocks noRot="1" noMove="1" noResize="1" noChangeArrowheads="1"/>
        </xdr:cNvSpPr>
      </xdr:nvSpPr>
      <xdr:spPr bwMode="auto">
        <a:xfrm>
          <a:off x="965835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4" name="AutoShape 318"/>
        <xdr:cNvSpPr>
          <a:spLocks noRot="1" noChangeAspect="1" noMove="1" noResize="1" noChangeArrowheads="1"/>
        </xdr:cNvSpPr>
      </xdr:nvSpPr>
      <xdr:spPr bwMode="auto">
        <a:xfrm>
          <a:off x="965835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5" name="AutoShape 319"/>
        <xdr:cNvSpPr>
          <a:spLocks noRot="1" noChangeAspect="1" noMove="1" noResize="1" noChangeArrowheads="1"/>
        </xdr:cNvSpPr>
      </xdr:nvSpPr>
      <xdr:spPr bwMode="auto">
        <a:xfrm>
          <a:off x="21812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6" name="AutoShape 320"/>
        <xdr:cNvSpPr>
          <a:spLocks noRot="1" noChangeAspect="1" noMove="1" noResize="1" noChangeArrowheads="1"/>
        </xdr:cNvSpPr>
      </xdr:nvSpPr>
      <xdr:spPr bwMode="auto">
        <a:xfrm>
          <a:off x="21812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7" name="AutoShape 321"/>
        <xdr:cNvSpPr>
          <a:spLocks noRot="1" noMove="1" noResize="1" noChangeArrowheads="1"/>
        </xdr:cNvSpPr>
      </xdr:nvSpPr>
      <xdr:spPr bwMode="auto">
        <a:xfrm>
          <a:off x="21812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8" name="AutoShape 322"/>
        <xdr:cNvSpPr>
          <a:spLocks noRot="1" noChangeAspect="1" noMove="1" noResize="1" noChangeArrowheads="1"/>
        </xdr:cNvSpPr>
      </xdr:nvSpPr>
      <xdr:spPr bwMode="auto">
        <a:xfrm>
          <a:off x="21812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99" name="AutoShape 323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0" name="AutoShape 324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1" name="AutoShape 325"/>
        <xdr:cNvSpPr>
          <a:spLocks noRo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2" name="AutoShape 326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3" name="AutoShape 327"/>
        <xdr:cNvSpPr>
          <a:spLocks noRot="1" noChangeAspect="1" noMove="1" noResize="1" noChangeArrowheads="1"/>
        </xdr:cNvSpPr>
      </xdr:nvSpPr>
      <xdr:spPr bwMode="auto">
        <a:xfrm>
          <a:off x="965835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4" name="AutoShape 328"/>
        <xdr:cNvSpPr>
          <a:spLocks noRot="1" noChangeAspect="1" noMove="1" noResize="1" noChangeArrowheads="1"/>
        </xdr:cNvSpPr>
      </xdr:nvSpPr>
      <xdr:spPr bwMode="auto">
        <a:xfrm>
          <a:off x="965835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5" name="AutoShape 329"/>
        <xdr:cNvSpPr>
          <a:spLocks noRot="1" noMove="1" noResize="1" noChangeArrowheads="1"/>
        </xdr:cNvSpPr>
      </xdr:nvSpPr>
      <xdr:spPr bwMode="auto">
        <a:xfrm>
          <a:off x="965835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6" name="AutoShape 330"/>
        <xdr:cNvSpPr>
          <a:spLocks noRot="1" noChangeAspect="1" noMove="1" noResize="1" noChangeArrowheads="1"/>
        </xdr:cNvSpPr>
      </xdr:nvSpPr>
      <xdr:spPr bwMode="auto">
        <a:xfrm>
          <a:off x="965835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7" name="AutoShape 331"/>
        <xdr:cNvSpPr>
          <a:spLocks noRot="1" noChangeAspect="1" noMove="1" noResize="1" noChangeArrowheads="1"/>
        </xdr:cNvSpPr>
      </xdr:nvSpPr>
      <xdr:spPr bwMode="auto">
        <a:xfrm>
          <a:off x="21812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08" name="AutoShape 333"/>
        <xdr:cNvSpPr>
          <a:spLocks noRot="1" noMove="1" noResize="1" noChangeArrowheads="1"/>
        </xdr:cNvSpPr>
      </xdr:nvSpPr>
      <xdr:spPr bwMode="auto">
        <a:xfrm>
          <a:off x="21812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9" name="AutoShape 334"/>
        <xdr:cNvSpPr>
          <a:spLocks noRot="1" noChangeAspect="1" noMove="1" noResize="1" noChangeArrowheads="1"/>
        </xdr:cNvSpPr>
      </xdr:nvSpPr>
      <xdr:spPr bwMode="auto">
        <a:xfrm>
          <a:off x="21812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0" name="AutoShape 335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1" name="AutoShape 336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2" name="AutoShape 337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3" name="AutoShape 338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4" name="AutoShape 339"/>
        <xdr:cNvSpPr>
          <a:spLocks noRot="1" noChangeAspect="1" noMove="1" noResize="1" noChangeArrowheads="1"/>
        </xdr:cNvSpPr>
      </xdr:nvSpPr>
      <xdr:spPr bwMode="auto">
        <a:xfrm>
          <a:off x="965835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5" name="AutoShape 340"/>
        <xdr:cNvSpPr>
          <a:spLocks noRot="1" noChangeAspect="1" noMove="1" noResize="1" noChangeArrowheads="1"/>
        </xdr:cNvSpPr>
      </xdr:nvSpPr>
      <xdr:spPr bwMode="auto">
        <a:xfrm>
          <a:off x="965835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6" name="AutoShape 341"/>
        <xdr:cNvSpPr>
          <a:spLocks noRot="1" noMove="1" noResize="1" noChangeArrowheads="1"/>
        </xdr:cNvSpPr>
      </xdr:nvSpPr>
      <xdr:spPr bwMode="auto">
        <a:xfrm>
          <a:off x="965835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17" name="AutoShape 342"/>
        <xdr:cNvSpPr>
          <a:spLocks noRot="1" noChangeAspect="1" noMove="1" noResize="1" noChangeArrowheads="1"/>
        </xdr:cNvSpPr>
      </xdr:nvSpPr>
      <xdr:spPr bwMode="auto">
        <a:xfrm>
          <a:off x="965835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18" name="AutoShape 343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9" name="AutoShape 344"/>
        <xdr:cNvSpPr>
          <a:spLocks noRot="1" noChangeAspect="1" noMove="1" noResize="1" noChangeArrowheads="1"/>
        </xdr:cNvSpPr>
      </xdr:nvSpPr>
      <xdr:spPr bwMode="auto">
        <a:xfrm>
          <a:off x="21812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0" name="AutoShape 345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1" name="AutoShape 346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267</xdr:row>
      <xdr:rowOff>0</xdr:rowOff>
    </xdr:from>
    <xdr:to>
      <xdr:col>11</xdr:col>
      <xdr:colOff>647700</xdr:colOff>
      <xdr:row>267</xdr:row>
      <xdr:rowOff>0</xdr:rowOff>
    </xdr:to>
    <xdr:sp macro="" textlink="">
      <xdr:nvSpPr>
        <xdr:cNvPr id="122" name="AutoShape 390"/>
        <xdr:cNvSpPr>
          <a:spLocks noRot="1" noChangeAspect="1" noMove="1" noResize="1" noChangeArrowheads="1"/>
        </xdr:cNvSpPr>
      </xdr:nvSpPr>
      <xdr:spPr bwMode="auto">
        <a:xfrm>
          <a:off x="965835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267</xdr:row>
      <xdr:rowOff>0</xdr:rowOff>
    </xdr:from>
    <xdr:to>
      <xdr:col>11</xdr:col>
      <xdr:colOff>647700</xdr:colOff>
      <xdr:row>267</xdr:row>
      <xdr:rowOff>0</xdr:rowOff>
    </xdr:to>
    <xdr:sp macro="" textlink="">
      <xdr:nvSpPr>
        <xdr:cNvPr id="123" name="AutoShape 391"/>
        <xdr:cNvSpPr>
          <a:spLocks noRot="1" noChangeAspect="1" noMove="1" noResize="1" noChangeArrowheads="1"/>
        </xdr:cNvSpPr>
      </xdr:nvSpPr>
      <xdr:spPr bwMode="auto">
        <a:xfrm>
          <a:off x="965835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4" name="AutoShape 392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5" name="AutoShape 393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6" name="AutoShape 394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7" name="AutoShape 395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28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129" name="AutoShape 431"/>
        <xdr:cNvSpPr>
          <a:spLocks noRot="1" noChangeAspect="1" noMove="1" noResize="1" noChangeArrowheads="1"/>
        </xdr:cNvSpPr>
      </xdr:nvSpPr>
      <xdr:spPr bwMode="auto">
        <a:xfrm>
          <a:off x="858202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130" name="AutoShape 432"/>
        <xdr:cNvSpPr>
          <a:spLocks noRot="1" noChangeAspect="1" noMove="1" noResize="1" noChangeArrowheads="1"/>
        </xdr:cNvSpPr>
      </xdr:nvSpPr>
      <xdr:spPr bwMode="auto">
        <a:xfrm>
          <a:off x="965835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31" name="AutoShape 433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132" name="AutoShape 43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3" name="AutoShape 43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34" name="AutoShape 436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135" name="AutoShape 43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6" name="AutoShape 438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37" name="AutoShape 439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138" name="AutoShape 440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9" name="AutoShape 441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40" name="AutoShape 442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0</xdr:rowOff>
    </xdr:to>
    <xdr:sp macro="" textlink="">
      <xdr:nvSpPr>
        <xdr:cNvPr id="141" name="AutoShape 443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42" name="AutoShape 44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3" name="AutoShape 205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4" name="AutoShape 206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5" name="AutoShape 207"/>
        <xdr:cNvSpPr>
          <a:spLocks noRo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6" name="AutoShape 209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7" name="AutoShape 210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48" name="AutoShape 229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49" name="AutoShape 230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0" name="AutoShape 231"/>
        <xdr:cNvSpPr>
          <a:spLocks noRo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1" name="AutoShape 233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2" name="AutoShape 234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3" name="AutoShape 277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4" name="AutoShape 278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5" name="AutoShape 279"/>
        <xdr:cNvSpPr>
          <a:spLocks noRo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6" name="AutoShape 281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7" name="AutoShape 282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0</xdr:rowOff>
    </xdr:from>
    <xdr:to>
      <xdr:col>10</xdr:col>
      <xdr:colOff>647700</xdr:colOff>
      <xdr:row>161</xdr:row>
      <xdr:rowOff>9525</xdr:rowOff>
    </xdr:to>
    <xdr:sp macro="" textlink="">
      <xdr:nvSpPr>
        <xdr:cNvPr id="158" name="AutoShape 326"/>
        <xdr:cNvSpPr>
          <a:spLocks noRot="1" noChangeAspect="1" noMove="1" noResize="1" noChangeArrowheads="1"/>
        </xdr:cNvSpPr>
      </xdr:nvSpPr>
      <xdr:spPr bwMode="auto">
        <a:xfrm>
          <a:off x="858202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0</xdr:colOff>
      <xdr:row>161</xdr:row>
      <xdr:rowOff>9525</xdr:rowOff>
    </xdr:to>
    <xdr:sp macro="" textlink="">
      <xdr:nvSpPr>
        <xdr:cNvPr id="159" name="AutoShape 330"/>
        <xdr:cNvSpPr>
          <a:spLocks noRot="1" noChangeAspect="1" noMove="1" noResize="1" noChangeArrowheads="1"/>
        </xdr:cNvSpPr>
      </xdr:nvSpPr>
      <xdr:spPr bwMode="auto">
        <a:xfrm>
          <a:off x="9658350" y="524922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0</xdr:rowOff>
    </xdr:from>
    <xdr:to>
      <xdr:col>4</xdr:col>
      <xdr:colOff>647700</xdr:colOff>
      <xdr:row>161</xdr:row>
      <xdr:rowOff>9525</xdr:rowOff>
    </xdr:to>
    <xdr:sp macro="" textlink="">
      <xdr:nvSpPr>
        <xdr:cNvPr id="160" name="AutoShape 334"/>
        <xdr:cNvSpPr>
          <a:spLocks noRot="1" noChangeAspect="1" noMove="1" noResize="1" noChangeArrowheads="1"/>
        </xdr:cNvSpPr>
      </xdr:nvSpPr>
      <xdr:spPr bwMode="auto">
        <a:xfrm>
          <a:off x="218122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1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2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264</xdr:row>
      <xdr:rowOff>590550</xdr:rowOff>
    </xdr:from>
    <xdr:to>
      <xdr:col>10</xdr:col>
      <xdr:colOff>657225</xdr:colOff>
      <xdr:row>266</xdr:row>
      <xdr:rowOff>9525</xdr:rowOff>
    </xdr:to>
    <xdr:pic>
      <xdr:nvPicPr>
        <xdr:cNvPr id="16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4" name="AutoShape 62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65" name="AutoShape 60"/>
        <xdr:cNvSpPr>
          <a:spLocks noRot="1" noChangeAspect="1" noMove="1" noResize="1" noChangeArrowheads="1"/>
        </xdr:cNvSpPr>
      </xdr:nvSpPr>
      <xdr:spPr bwMode="auto">
        <a:xfrm>
          <a:off x="965835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66" name="AutoShape 58"/>
        <xdr:cNvSpPr>
          <a:spLocks noRot="1" noChangeAspect="1" noMove="1" noResize="1" noChangeArrowheads="1"/>
        </xdr:cNvSpPr>
      </xdr:nvSpPr>
      <xdr:spPr bwMode="auto">
        <a:xfrm>
          <a:off x="965835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67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68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69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0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1" name="AutoShape 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2" name="AutoShape 91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270</xdr:row>
      <xdr:rowOff>342900</xdr:rowOff>
    </xdr:from>
    <xdr:to>
      <xdr:col>10</xdr:col>
      <xdr:colOff>657225</xdr:colOff>
      <xdr:row>272</xdr:row>
      <xdr:rowOff>0</xdr:rowOff>
    </xdr:to>
    <xdr:pic>
      <xdr:nvPicPr>
        <xdr:cNvPr id="17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74" name="AutoShape 205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75" name="AutoShape 206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76" name="AutoShape 207"/>
        <xdr:cNvSpPr>
          <a:spLocks noRo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251</xdr:row>
      <xdr:rowOff>161925</xdr:rowOff>
    </xdr:from>
    <xdr:to>
      <xdr:col>10</xdr:col>
      <xdr:colOff>657225</xdr:colOff>
      <xdr:row>252</xdr:row>
      <xdr:rowOff>19050</xdr:rowOff>
    </xdr:to>
    <xdr:pic>
      <xdr:nvPicPr>
        <xdr:cNvPr id="177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615600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78" name="AutoShape 209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79" name="AutoShape 210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0" name="AutoShape 214"/>
        <xdr:cNvSpPr>
          <a:spLocks noRot="1" noChangeAspect="1" noMove="1" noResize="1" noChangeArrowheads="1"/>
        </xdr:cNvSpPr>
      </xdr:nvSpPr>
      <xdr:spPr bwMode="auto">
        <a:xfrm>
          <a:off x="965835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1" name="AutoShape 215"/>
        <xdr:cNvSpPr>
          <a:spLocks noRot="1" noChangeAspect="1" noMove="1" noResize="1" noChangeArrowheads="1"/>
        </xdr:cNvSpPr>
      </xdr:nvSpPr>
      <xdr:spPr bwMode="auto">
        <a:xfrm>
          <a:off x="965835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2" name="AutoShape 216"/>
        <xdr:cNvSpPr>
          <a:spLocks noRot="1" noChangeAspect="1" noMove="1" noResize="1" noChangeArrowheads="1"/>
        </xdr:cNvSpPr>
      </xdr:nvSpPr>
      <xdr:spPr bwMode="auto">
        <a:xfrm>
          <a:off x="965835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3" name="AutoShape 217"/>
        <xdr:cNvSpPr>
          <a:spLocks noRot="1" noChangeAspect="1" noMove="1" noResize="1" noChangeArrowheads="1"/>
        </xdr:cNvSpPr>
      </xdr:nvSpPr>
      <xdr:spPr bwMode="auto">
        <a:xfrm>
          <a:off x="965835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104775</xdr:rowOff>
    </xdr:from>
    <xdr:to>
      <xdr:col>11</xdr:col>
      <xdr:colOff>0</xdr:colOff>
      <xdr:row>288</xdr:row>
      <xdr:rowOff>0</xdr:rowOff>
    </xdr:to>
    <xdr:sp macro="" textlink="">
      <xdr:nvSpPr>
        <xdr:cNvPr id="184" name="AutoShape 218"/>
        <xdr:cNvSpPr>
          <a:spLocks noRot="1" noChangeAspect="1" noMove="1" noResize="1" noChangeArrowheads="1"/>
        </xdr:cNvSpPr>
      </xdr:nvSpPr>
      <xdr:spPr bwMode="auto">
        <a:xfrm>
          <a:off x="965835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76200</xdr:rowOff>
    </xdr:to>
    <xdr:sp macro="" textlink="">
      <xdr:nvSpPr>
        <xdr:cNvPr id="185" name="AutoShape 219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86" name="AutoShape 220"/>
        <xdr:cNvSpPr>
          <a:spLocks noRot="1" noChangeAspect="1" noMove="1" noResize="1" noChangeArrowheads="1"/>
        </xdr:cNvSpPr>
      </xdr:nvSpPr>
      <xdr:spPr bwMode="auto">
        <a:xfrm>
          <a:off x="965835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87" name="AutoShape 221"/>
        <xdr:cNvSpPr>
          <a:spLocks noRot="1" noChangeAspect="1" noMove="1" noResize="1" noChangeArrowheads="1"/>
        </xdr:cNvSpPr>
      </xdr:nvSpPr>
      <xdr:spPr bwMode="auto">
        <a:xfrm>
          <a:off x="965835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88" name="AutoShape 222"/>
        <xdr:cNvSpPr>
          <a:spLocks noRot="1" noMove="1" noResize="1" noChangeArrowheads="1"/>
        </xdr:cNvSpPr>
      </xdr:nvSpPr>
      <xdr:spPr bwMode="auto">
        <a:xfrm>
          <a:off x="965835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89" name="AutoShape 223"/>
        <xdr:cNvSpPr>
          <a:spLocks noRot="1" noChangeAspect="1" noMove="1" noResize="1" noChangeArrowheads="1"/>
        </xdr:cNvSpPr>
      </xdr:nvSpPr>
      <xdr:spPr bwMode="auto">
        <a:xfrm>
          <a:off x="965835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0" name="AutoShape 22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1" name="AutoShape 225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85725</xdr:rowOff>
    </xdr:to>
    <xdr:sp macro="" textlink="">
      <xdr:nvSpPr>
        <xdr:cNvPr id="192" name="AutoShape 227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304</xdr:row>
      <xdr:rowOff>133350</xdr:rowOff>
    </xdr:from>
    <xdr:to>
      <xdr:col>11</xdr:col>
      <xdr:colOff>0</xdr:colOff>
      <xdr:row>307</xdr:row>
      <xdr:rowOff>85725</xdr:rowOff>
    </xdr:to>
    <xdr:sp macro="" textlink="">
      <xdr:nvSpPr>
        <xdr:cNvPr id="193" name="AutoShape 228"/>
        <xdr:cNvSpPr>
          <a:spLocks noRot="1" noChangeAspect="1" noMove="1" noResize="1" noChangeArrowheads="1"/>
        </xdr:cNvSpPr>
      </xdr:nvSpPr>
      <xdr:spPr bwMode="auto">
        <a:xfrm>
          <a:off x="965835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194" name="AutoShape 229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195" name="AutoShape 230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196" name="AutoShape 231"/>
        <xdr:cNvSpPr>
          <a:spLocks noRo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272</xdr:row>
      <xdr:rowOff>428625</xdr:rowOff>
    </xdr:from>
    <xdr:to>
      <xdr:col>11</xdr:col>
      <xdr:colOff>0</xdr:colOff>
      <xdr:row>272</xdr:row>
      <xdr:rowOff>438150</xdr:rowOff>
    </xdr:to>
    <xdr:sp macro="" textlink="">
      <xdr:nvSpPr>
        <xdr:cNvPr id="197" name="AutoShape 232"/>
        <xdr:cNvSpPr>
          <a:spLocks noRot="1" noChangeAspect="1" noMove="1" noResize="1" noChangeArrowheads="1"/>
        </xdr:cNvSpPr>
      </xdr:nvSpPr>
      <xdr:spPr bwMode="auto">
        <a:xfrm>
          <a:off x="9658350" y="7120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198" name="AutoShape 233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199" name="AutoShape 234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104775</xdr:rowOff>
    </xdr:from>
    <xdr:to>
      <xdr:col>11</xdr:col>
      <xdr:colOff>0</xdr:colOff>
      <xdr:row>288</xdr:row>
      <xdr:rowOff>0</xdr:rowOff>
    </xdr:to>
    <xdr:sp macro="" textlink="">
      <xdr:nvSpPr>
        <xdr:cNvPr id="200" name="AutoShape 235"/>
        <xdr:cNvSpPr>
          <a:spLocks noRot="1" noChangeAspect="1" noMove="1" noResize="1" noChangeArrowheads="1"/>
        </xdr:cNvSpPr>
      </xdr:nvSpPr>
      <xdr:spPr bwMode="auto">
        <a:xfrm>
          <a:off x="965835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76200</xdr:rowOff>
    </xdr:to>
    <xdr:sp macro="" textlink="">
      <xdr:nvSpPr>
        <xdr:cNvPr id="201" name="AutoShape 236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85725</xdr:rowOff>
    </xdr:to>
    <xdr:sp macro="" textlink="">
      <xdr:nvSpPr>
        <xdr:cNvPr id="202" name="AutoShape 237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3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717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04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05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0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07" name="AutoShape 272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08" name="AutoShape 273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09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4777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10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11" name="AutoShape 277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12" name="AutoShape 278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13" name="AutoShape 279"/>
        <xdr:cNvSpPr>
          <a:spLocks noRo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251</xdr:row>
      <xdr:rowOff>161925</xdr:rowOff>
    </xdr:from>
    <xdr:to>
      <xdr:col>2</xdr:col>
      <xdr:colOff>657225</xdr:colOff>
      <xdr:row>252</xdr:row>
      <xdr:rowOff>19050</xdr:rowOff>
    </xdr:to>
    <xdr:pic>
      <xdr:nvPicPr>
        <xdr:cNvPr id="21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615600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15" name="AutoShape 281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16" name="AutoShape 282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1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1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1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287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28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289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3" name="AutoShape 29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4" name="AutoShape 291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5" name="AutoShape 292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6" name="AutoShape 293"/>
        <xdr:cNvSpPr>
          <a:spLocks noRo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27" name="AutoShape 29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8" name="AutoShape 295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9" name="AutoShape 296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0" name="AutoShape 297"/>
        <xdr:cNvSpPr>
          <a:spLocks noRo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1" name="AutoShape 298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99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30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4" name="AutoShape 301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5" name="AutoShape 30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36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37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38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39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40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41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42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43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44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119</xdr:row>
      <xdr:rowOff>295275</xdr:rowOff>
    </xdr:from>
    <xdr:to>
      <xdr:col>11</xdr:col>
      <xdr:colOff>0</xdr:colOff>
      <xdr:row>121</xdr:row>
      <xdr:rowOff>123825</xdr:rowOff>
    </xdr:to>
    <xdr:sp macro="" textlink="">
      <xdr:nvSpPr>
        <xdr:cNvPr id="245" name="AutoShape 315"/>
        <xdr:cNvSpPr>
          <a:spLocks noRot="1" noChangeAspect="1" noMove="1" noResize="1" noChangeArrowheads="1"/>
        </xdr:cNvSpPr>
      </xdr:nvSpPr>
      <xdr:spPr bwMode="auto">
        <a:xfrm>
          <a:off x="9658350" y="3950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121</xdr:row>
      <xdr:rowOff>114300</xdr:rowOff>
    </xdr:from>
    <xdr:to>
      <xdr:col>11</xdr:col>
      <xdr:colOff>0</xdr:colOff>
      <xdr:row>122</xdr:row>
      <xdr:rowOff>247650</xdr:rowOff>
    </xdr:to>
    <xdr:sp macro="" textlink="">
      <xdr:nvSpPr>
        <xdr:cNvPr id="246" name="AutoShape 316"/>
        <xdr:cNvSpPr>
          <a:spLocks noRot="1" noChangeAspect="1" noMove="1" noResize="1" noChangeArrowheads="1"/>
        </xdr:cNvSpPr>
      </xdr:nvSpPr>
      <xdr:spPr bwMode="auto">
        <a:xfrm>
          <a:off x="9658350" y="3992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238125</xdr:rowOff>
    </xdr:from>
    <xdr:to>
      <xdr:col>11</xdr:col>
      <xdr:colOff>0</xdr:colOff>
      <xdr:row>124</xdr:row>
      <xdr:rowOff>66675</xdr:rowOff>
    </xdr:to>
    <xdr:sp macro="" textlink="">
      <xdr:nvSpPr>
        <xdr:cNvPr id="247" name="AutoShape 317"/>
        <xdr:cNvSpPr>
          <a:spLocks noRot="1" noMove="1" noResize="1" noChangeArrowheads="1"/>
        </xdr:cNvSpPr>
      </xdr:nvSpPr>
      <xdr:spPr bwMode="auto">
        <a:xfrm>
          <a:off x="9658350" y="403574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57150</xdr:rowOff>
    </xdr:from>
    <xdr:to>
      <xdr:col>11</xdr:col>
      <xdr:colOff>0</xdr:colOff>
      <xdr:row>125</xdr:row>
      <xdr:rowOff>190500</xdr:rowOff>
    </xdr:to>
    <xdr:sp macro="" textlink="">
      <xdr:nvSpPr>
        <xdr:cNvPr id="248" name="AutoShape 318"/>
        <xdr:cNvSpPr>
          <a:spLocks noRot="1" noChangeAspect="1" noMove="1" noResize="1" noChangeArrowheads="1"/>
        </xdr:cNvSpPr>
      </xdr:nvSpPr>
      <xdr:spPr bwMode="auto">
        <a:xfrm>
          <a:off x="9658350" y="40786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97</xdr:row>
      <xdr:rowOff>419100</xdr:rowOff>
    </xdr:from>
    <xdr:to>
      <xdr:col>10</xdr:col>
      <xdr:colOff>657225</xdr:colOff>
      <xdr:row>99</xdr:row>
      <xdr:rowOff>19050</xdr:rowOff>
    </xdr:to>
    <xdr:pic>
      <xdr:nvPicPr>
        <xdr:cNvPr id="249" name="AutoShape 32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3563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50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51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52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128</xdr:row>
      <xdr:rowOff>114300</xdr:rowOff>
    </xdr:from>
    <xdr:to>
      <xdr:col>11</xdr:col>
      <xdr:colOff>0</xdr:colOff>
      <xdr:row>129</xdr:row>
      <xdr:rowOff>247650</xdr:rowOff>
    </xdr:to>
    <xdr:sp macro="" textlink="">
      <xdr:nvSpPr>
        <xdr:cNvPr id="253" name="AutoShape 327"/>
        <xdr:cNvSpPr>
          <a:spLocks noRot="1" noChangeAspect="1" noMove="1" noResize="1" noChangeArrowheads="1"/>
        </xdr:cNvSpPr>
      </xdr:nvSpPr>
      <xdr:spPr bwMode="auto">
        <a:xfrm>
          <a:off x="9658350" y="4206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129</xdr:row>
      <xdr:rowOff>238125</xdr:rowOff>
    </xdr:from>
    <xdr:to>
      <xdr:col>11</xdr:col>
      <xdr:colOff>0</xdr:colOff>
      <xdr:row>131</xdr:row>
      <xdr:rowOff>66675</xdr:rowOff>
    </xdr:to>
    <xdr:sp macro="" textlink="">
      <xdr:nvSpPr>
        <xdr:cNvPr id="254" name="AutoShape 328"/>
        <xdr:cNvSpPr>
          <a:spLocks noRot="1" noChangeAspect="1" noMove="1" noResize="1" noChangeArrowheads="1"/>
        </xdr:cNvSpPr>
      </xdr:nvSpPr>
      <xdr:spPr bwMode="auto">
        <a:xfrm>
          <a:off x="9658350" y="4249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131</xdr:row>
      <xdr:rowOff>57150</xdr:rowOff>
    </xdr:from>
    <xdr:to>
      <xdr:col>11</xdr:col>
      <xdr:colOff>0</xdr:colOff>
      <xdr:row>133</xdr:row>
      <xdr:rowOff>19050</xdr:rowOff>
    </xdr:to>
    <xdr:sp macro="" textlink="">
      <xdr:nvSpPr>
        <xdr:cNvPr id="255" name="AutoShape 329"/>
        <xdr:cNvSpPr>
          <a:spLocks noRot="1" noMove="1" noResize="1" noChangeArrowheads="1"/>
        </xdr:cNvSpPr>
      </xdr:nvSpPr>
      <xdr:spPr bwMode="auto">
        <a:xfrm>
          <a:off x="9658350" y="429196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133</xdr:row>
      <xdr:rowOff>9525</xdr:rowOff>
    </xdr:from>
    <xdr:to>
      <xdr:col>11</xdr:col>
      <xdr:colOff>0</xdr:colOff>
      <xdr:row>134</xdr:row>
      <xdr:rowOff>0</xdr:rowOff>
    </xdr:to>
    <xdr:sp macro="" textlink="">
      <xdr:nvSpPr>
        <xdr:cNvPr id="256" name="AutoShape 330"/>
        <xdr:cNvSpPr>
          <a:spLocks noRot="1" noChangeAspect="1" noMove="1" noResize="1" noChangeArrowheads="1"/>
        </xdr:cNvSpPr>
      </xdr:nvSpPr>
      <xdr:spPr bwMode="auto">
        <a:xfrm>
          <a:off x="9658350" y="433482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57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58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59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60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111</xdr:row>
      <xdr:rowOff>171450</xdr:rowOff>
    </xdr:from>
    <xdr:to>
      <xdr:col>11</xdr:col>
      <xdr:colOff>0</xdr:colOff>
      <xdr:row>113</xdr:row>
      <xdr:rowOff>0</xdr:rowOff>
    </xdr:to>
    <xdr:sp macro="" textlink="">
      <xdr:nvSpPr>
        <xdr:cNvPr id="261" name="AutoShape 339"/>
        <xdr:cNvSpPr>
          <a:spLocks noRot="1" noChangeAspect="1" noMove="1" noResize="1" noChangeArrowheads="1"/>
        </xdr:cNvSpPr>
      </xdr:nvSpPr>
      <xdr:spPr bwMode="auto">
        <a:xfrm>
          <a:off x="9658350" y="369379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112</xdr:row>
      <xdr:rowOff>295275</xdr:rowOff>
    </xdr:from>
    <xdr:to>
      <xdr:col>11</xdr:col>
      <xdr:colOff>0</xdr:colOff>
      <xdr:row>114</xdr:row>
      <xdr:rowOff>123825</xdr:rowOff>
    </xdr:to>
    <xdr:sp macro="" textlink="">
      <xdr:nvSpPr>
        <xdr:cNvPr id="262" name="AutoShape 340"/>
        <xdr:cNvSpPr>
          <a:spLocks noRot="1" noChangeAspect="1" noMove="1" noResize="1" noChangeArrowheads="1"/>
        </xdr:cNvSpPr>
      </xdr:nvSpPr>
      <xdr:spPr bwMode="auto">
        <a:xfrm>
          <a:off x="9658350" y="373665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114</xdr:row>
      <xdr:rowOff>114300</xdr:rowOff>
    </xdr:from>
    <xdr:to>
      <xdr:col>11</xdr:col>
      <xdr:colOff>0</xdr:colOff>
      <xdr:row>115</xdr:row>
      <xdr:rowOff>247650</xdr:rowOff>
    </xdr:to>
    <xdr:sp macro="" textlink="">
      <xdr:nvSpPr>
        <xdr:cNvPr id="263" name="AutoShape 341"/>
        <xdr:cNvSpPr>
          <a:spLocks noRot="1" noMove="1" noResize="1" noChangeArrowheads="1"/>
        </xdr:cNvSpPr>
      </xdr:nvSpPr>
      <xdr:spPr bwMode="auto">
        <a:xfrm>
          <a:off x="9658350" y="377952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238125</xdr:rowOff>
    </xdr:from>
    <xdr:to>
      <xdr:col>11</xdr:col>
      <xdr:colOff>0</xdr:colOff>
      <xdr:row>117</xdr:row>
      <xdr:rowOff>66675</xdr:rowOff>
    </xdr:to>
    <xdr:sp macro="" textlink="">
      <xdr:nvSpPr>
        <xdr:cNvPr id="264" name="AutoShape 342"/>
        <xdr:cNvSpPr>
          <a:spLocks noRot="1" noChangeAspect="1" noMove="1" noResize="1" noChangeArrowheads="1"/>
        </xdr:cNvSpPr>
      </xdr:nvSpPr>
      <xdr:spPr bwMode="auto">
        <a:xfrm>
          <a:off x="9658350" y="38223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65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66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67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68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297</xdr:row>
      <xdr:rowOff>85725</xdr:rowOff>
    </xdr:from>
    <xdr:to>
      <xdr:col>11</xdr:col>
      <xdr:colOff>647700</xdr:colOff>
      <xdr:row>297</xdr:row>
      <xdr:rowOff>85725</xdr:rowOff>
    </xdr:to>
    <xdr:sp macro="" textlink="">
      <xdr:nvSpPr>
        <xdr:cNvPr id="269" name="AutoShape 390"/>
        <xdr:cNvSpPr>
          <a:spLocks noRot="1" noChangeAspect="1" noMove="1" noResize="1" noChangeArrowheads="1"/>
        </xdr:cNvSpPr>
      </xdr:nvSpPr>
      <xdr:spPr bwMode="auto">
        <a:xfrm>
          <a:off x="965835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297</xdr:row>
      <xdr:rowOff>85725</xdr:rowOff>
    </xdr:from>
    <xdr:to>
      <xdr:col>11</xdr:col>
      <xdr:colOff>647700</xdr:colOff>
      <xdr:row>297</xdr:row>
      <xdr:rowOff>85725</xdr:rowOff>
    </xdr:to>
    <xdr:sp macro="" textlink="">
      <xdr:nvSpPr>
        <xdr:cNvPr id="270" name="AutoShape 391"/>
        <xdr:cNvSpPr>
          <a:spLocks noRot="1" noChangeAspect="1" noMove="1" noResize="1" noChangeArrowheads="1"/>
        </xdr:cNvSpPr>
      </xdr:nvSpPr>
      <xdr:spPr bwMode="auto">
        <a:xfrm>
          <a:off x="965835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1" name="AutoShape 392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2" name="AutoShape 393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3" name="AutoShape 394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4" name="AutoShape 395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75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288</xdr:row>
      <xdr:rowOff>38100</xdr:rowOff>
    </xdr:from>
    <xdr:to>
      <xdr:col>13</xdr:col>
      <xdr:colOff>0</xdr:colOff>
      <xdr:row>292</xdr:row>
      <xdr:rowOff>133350</xdr:rowOff>
    </xdr:to>
    <xdr:pic>
      <xdr:nvPicPr>
        <xdr:cNvPr id="276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7789545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342900</xdr:rowOff>
    </xdr:from>
    <xdr:to>
      <xdr:col>10</xdr:col>
      <xdr:colOff>657225</xdr:colOff>
      <xdr:row>272</xdr:row>
      <xdr:rowOff>0</xdr:rowOff>
    </xdr:to>
    <xdr:pic>
      <xdr:nvPicPr>
        <xdr:cNvPr id="277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304</xdr:row>
      <xdr:rowOff>133350</xdr:rowOff>
    </xdr:from>
    <xdr:to>
      <xdr:col>11</xdr:col>
      <xdr:colOff>0</xdr:colOff>
      <xdr:row>307</xdr:row>
      <xdr:rowOff>85725</xdr:rowOff>
    </xdr:to>
    <xdr:sp macro="" textlink="">
      <xdr:nvSpPr>
        <xdr:cNvPr id="278" name="AutoShape 432"/>
        <xdr:cNvSpPr>
          <a:spLocks noRot="1" noChangeAspect="1" noMove="1" noResize="1" noChangeArrowheads="1"/>
        </xdr:cNvSpPr>
      </xdr:nvSpPr>
      <xdr:spPr bwMode="auto">
        <a:xfrm>
          <a:off x="965835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79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80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81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82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83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84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85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86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87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262</xdr:row>
      <xdr:rowOff>0</xdr:rowOff>
    </xdr:from>
    <xdr:to>
      <xdr:col>4</xdr:col>
      <xdr:colOff>657225</xdr:colOff>
      <xdr:row>263</xdr:row>
      <xdr:rowOff>9525</xdr:rowOff>
    </xdr:to>
    <xdr:pic>
      <xdr:nvPicPr>
        <xdr:cNvPr id="288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9525</xdr:rowOff>
    </xdr:to>
    <xdr:pic>
      <xdr:nvPicPr>
        <xdr:cNvPr id="289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264</xdr:row>
      <xdr:rowOff>590550</xdr:rowOff>
    </xdr:from>
    <xdr:to>
      <xdr:col>4</xdr:col>
      <xdr:colOff>657225</xdr:colOff>
      <xdr:row>266</xdr:row>
      <xdr:rowOff>19050</xdr:rowOff>
    </xdr:to>
    <xdr:pic>
      <xdr:nvPicPr>
        <xdr:cNvPr id="290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291" name="AutoShape 205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292" name="AutoShape 206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293" name="AutoShape 207"/>
        <xdr:cNvSpPr>
          <a:spLocks noRo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294" name="AutoShape 209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295" name="AutoShape 210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296" name="AutoShape 229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297" name="AutoShape 230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298" name="AutoShape 231"/>
        <xdr:cNvSpPr>
          <a:spLocks noRo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299" name="AutoShape 233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00" name="AutoShape 234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01" name="AutoShape 277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02" name="AutoShape 278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03" name="AutoShape 279"/>
        <xdr:cNvSpPr>
          <a:spLocks noRo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04" name="AutoShape 281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05" name="AutoShape 282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159</xdr:row>
      <xdr:rowOff>295275</xdr:rowOff>
    </xdr:from>
    <xdr:to>
      <xdr:col>10</xdr:col>
      <xdr:colOff>657225</xdr:colOff>
      <xdr:row>161</xdr:row>
      <xdr:rowOff>0</xdr:rowOff>
    </xdr:to>
    <xdr:pic>
      <xdr:nvPicPr>
        <xdr:cNvPr id="306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7250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253</xdr:row>
      <xdr:rowOff>180975</xdr:rowOff>
    </xdr:from>
    <xdr:to>
      <xdr:col>11</xdr:col>
      <xdr:colOff>0</xdr:colOff>
      <xdr:row>253</xdr:row>
      <xdr:rowOff>409575</xdr:rowOff>
    </xdr:to>
    <xdr:sp macro="" textlink="">
      <xdr:nvSpPr>
        <xdr:cNvPr id="307" name="AutoShape 330"/>
        <xdr:cNvSpPr>
          <a:spLocks noRot="1" noChangeAspect="1" noMove="1" noResize="1" noChangeArrowheads="1"/>
        </xdr:cNvSpPr>
      </xdr:nvSpPr>
      <xdr:spPr bwMode="auto">
        <a:xfrm>
          <a:off x="965835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159</xdr:row>
      <xdr:rowOff>295275</xdr:rowOff>
    </xdr:from>
    <xdr:to>
      <xdr:col>4</xdr:col>
      <xdr:colOff>657225</xdr:colOff>
      <xdr:row>161</xdr:row>
      <xdr:rowOff>0</xdr:rowOff>
    </xdr:to>
    <xdr:pic>
      <xdr:nvPicPr>
        <xdr:cNvPr id="308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7170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309" name="AutoShape 205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310" name="AutoShape 206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311" name="AutoShape 207"/>
        <xdr:cNvSpPr>
          <a:spLocks noRo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312" name="AutoShape 209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253</xdr:row>
      <xdr:rowOff>409575</xdr:rowOff>
    </xdr:from>
    <xdr:to>
      <xdr:col>10</xdr:col>
      <xdr:colOff>647700</xdr:colOff>
      <xdr:row>253</xdr:row>
      <xdr:rowOff>409575</xdr:rowOff>
    </xdr:to>
    <xdr:sp macro="" textlink="">
      <xdr:nvSpPr>
        <xdr:cNvPr id="313" name="AutoShape 210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14" name="AutoShape 229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15" name="AutoShape 230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16" name="AutoShape 231"/>
        <xdr:cNvSpPr>
          <a:spLocks noRo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17" name="AutoShape 233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409575</xdr:rowOff>
    </xdr:from>
    <xdr:to>
      <xdr:col>11</xdr:col>
      <xdr:colOff>0</xdr:colOff>
      <xdr:row>253</xdr:row>
      <xdr:rowOff>409575</xdr:rowOff>
    </xdr:to>
    <xdr:sp macro="" textlink="">
      <xdr:nvSpPr>
        <xdr:cNvPr id="318" name="AutoShape 234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19" name="AutoShape 277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20" name="AutoShape 278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21" name="AutoShape 279"/>
        <xdr:cNvSpPr>
          <a:spLocks noRo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22" name="AutoShape 281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253</xdr:row>
      <xdr:rowOff>409575</xdr:rowOff>
    </xdr:from>
    <xdr:to>
      <xdr:col>4</xdr:col>
      <xdr:colOff>647700</xdr:colOff>
      <xdr:row>253</xdr:row>
      <xdr:rowOff>409575</xdr:rowOff>
    </xdr:to>
    <xdr:sp macro="" textlink="">
      <xdr:nvSpPr>
        <xdr:cNvPr id="323" name="AutoShape 282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253</xdr:row>
      <xdr:rowOff>180975</xdr:rowOff>
    </xdr:from>
    <xdr:to>
      <xdr:col>11</xdr:col>
      <xdr:colOff>0</xdr:colOff>
      <xdr:row>253</xdr:row>
      <xdr:rowOff>409575</xdr:rowOff>
    </xdr:to>
    <xdr:sp macro="" textlink="">
      <xdr:nvSpPr>
        <xdr:cNvPr id="324" name="AutoShape 330"/>
        <xdr:cNvSpPr>
          <a:spLocks noRot="1" noChangeAspect="1" noMove="1" noResize="1" noChangeArrowheads="1"/>
        </xdr:cNvSpPr>
      </xdr:nvSpPr>
      <xdr:spPr bwMode="auto">
        <a:xfrm>
          <a:off x="965835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287</xdr:row>
      <xdr:rowOff>0</xdr:rowOff>
    </xdr:from>
    <xdr:to>
      <xdr:col>10</xdr:col>
      <xdr:colOff>647700</xdr:colOff>
      <xdr:row>288</xdr:row>
      <xdr:rowOff>0</xdr:rowOff>
    </xdr:to>
    <xdr:sp macro="" textlink="">
      <xdr:nvSpPr>
        <xdr:cNvPr id="325" name="AutoShape 41"/>
        <xdr:cNvSpPr>
          <a:spLocks noRot="1" noChangeAspect="1" noMove="1" noResize="1" noChangeArrowheads="1"/>
        </xdr:cNvSpPr>
      </xdr:nvSpPr>
      <xdr:spPr bwMode="auto">
        <a:xfrm>
          <a:off x="858202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288</xdr:row>
      <xdr:rowOff>0</xdr:rowOff>
    </xdr:from>
    <xdr:to>
      <xdr:col>10</xdr:col>
      <xdr:colOff>647700</xdr:colOff>
      <xdr:row>288</xdr:row>
      <xdr:rowOff>9525</xdr:rowOff>
    </xdr:to>
    <xdr:sp macro="" textlink="">
      <xdr:nvSpPr>
        <xdr:cNvPr id="326" name="AutoShape 144"/>
        <xdr:cNvSpPr>
          <a:spLocks noRot="1" noChangeAspect="1" noMove="1" noResize="1" noChangeArrowheads="1"/>
        </xdr:cNvSpPr>
      </xdr:nvSpPr>
      <xdr:spPr bwMode="auto">
        <a:xfrm>
          <a:off x="85820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27" name="AutoShape 218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288</xdr:row>
      <xdr:rowOff>0</xdr:rowOff>
    </xdr:from>
    <xdr:to>
      <xdr:col>11</xdr:col>
      <xdr:colOff>0</xdr:colOff>
      <xdr:row>288</xdr:row>
      <xdr:rowOff>9525</xdr:rowOff>
    </xdr:to>
    <xdr:sp macro="" textlink="">
      <xdr:nvSpPr>
        <xdr:cNvPr id="328" name="AutoShape 227"/>
        <xdr:cNvSpPr>
          <a:spLocks noRot="1" noChangeAspect="1" noMove="1" noResize="1" noChangeArrowheads="1"/>
        </xdr:cNvSpPr>
      </xdr:nvSpPr>
      <xdr:spPr bwMode="auto">
        <a:xfrm>
          <a:off x="965835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29" name="AutoShape 235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288</xdr:row>
      <xdr:rowOff>0</xdr:rowOff>
    </xdr:from>
    <xdr:to>
      <xdr:col>11</xdr:col>
      <xdr:colOff>0</xdr:colOff>
      <xdr:row>288</xdr:row>
      <xdr:rowOff>9525</xdr:rowOff>
    </xdr:to>
    <xdr:sp macro="" textlink="">
      <xdr:nvSpPr>
        <xdr:cNvPr id="330" name="AutoShape 237"/>
        <xdr:cNvSpPr>
          <a:spLocks noRot="1" noChangeAspect="1" noMove="1" noResize="1" noChangeArrowheads="1"/>
        </xdr:cNvSpPr>
      </xdr:nvSpPr>
      <xdr:spPr bwMode="auto">
        <a:xfrm>
          <a:off x="965835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1" name="AutoShape 27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2" name="AutoShape 28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3" name="AutoShape 307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4" name="AutoShape 310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5" name="AutoShape 43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6" name="AutoShape 438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7" name="AutoShape 441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8" name="AutoShape 444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287</xdr:row>
      <xdr:rowOff>0</xdr:rowOff>
    </xdr:from>
    <xdr:to>
      <xdr:col>10</xdr:col>
      <xdr:colOff>657225</xdr:colOff>
      <xdr:row>287</xdr:row>
      <xdr:rowOff>171450</xdr:rowOff>
    </xdr:to>
    <xdr:pic>
      <xdr:nvPicPr>
        <xdr:cNvPr id="339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288</xdr:row>
      <xdr:rowOff>0</xdr:rowOff>
    </xdr:from>
    <xdr:to>
      <xdr:col>10</xdr:col>
      <xdr:colOff>657225</xdr:colOff>
      <xdr:row>289</xdr:row>
      <xdr:rowOff>9525</xdr:rowOff>
    </xdr:to>
    <xdr:pic>
      <xdr:nvPicPr>
        <xdr:cNvPr id="340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288</xdr:row>
      <xdr:rowOff>0</xdr:rowOff>
    </xdr:from>
    <xdr:to>
      <xdr:col>10</xdr:col>
      <xdr:colOff>657225</xdr:colOff>
      <xdr:row>289</xdr:row>
      <xdr:rowOff>19050</xdr:rowOff>
    </xdr:to>
    <xdr:pic>
      <xdr:nvPicPr>
        <xdr:cNvPr id="341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5725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42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3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4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45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6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7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48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9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0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1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2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3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4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5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6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7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8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9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60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61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2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63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64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287</xdr:row>
      <xdr:rowOff>0</xdr:rowOff>
    </xdr:from>
    <xdr:to>
      <xdr:col>10</xdr:col>
      <xdr:colOff>647700</xdr:colOff>
      <xdr:row>288</xdr:row>
      <xdr:rowOff>0</xdr:rowOff>
    </xdr:to>
    <xdr:sp macro="" textlink="">
      <xdr:nvSpPr>
        <xdr:cNvPr id="365" name="AutoShape 41"/>
        <xdr:cNvSpPr>
          <a:spLocks noRot="1" noChangeAspect="1" noMove="1" noResize="1" noChangeArrowheads="1"/>
        </xdr:cNvSpPr>
      </xdr:nvSpPr>
      <xdr:spPr bwMode="auto">
        <a:xfrm>
          <a:off x="858202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66" name="AutoShape 218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67" name="AutoShape 235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287</xdr:row>
      <xdr:rowOff>0</xdr:rowOff>
    </xdr:from>
    <xdr:to>
      <xdr:col>10</xdr:col>
      <xdr:colOff>657225</xdr:colOff>
      <xdr:row>287</xdr:row>
      <xdr:rowOff>171450</xdr:rowOff>
    </xdr:to>
    <xdr:pic>
      <xdr:nvPicPr>
        <xdr:cNvPr id="368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9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0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1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2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3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4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75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76" name="AutoShape 264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377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96300" y="18745200"/>
          <a:ext cx="742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78" name="AutoShape 268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79" name="AutoShape 270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80" name="AutoShape 271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81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96300" y="2453640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82" name="AutoShape 268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83" name="AutoShape 270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84" name="AutoShape 271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85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6" name="AutoShape 80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87" name="AutoShape 78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8" name="AutoShape 76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89" name="AutoShape 74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19050</xdr:rowOff>
    </xdr:to>
    <xdr:pic>
      <xdr:nvPicPr>
        <xdr:cNvPr id="390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91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2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93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94" name="AutoShape 268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95" name="AutoShape 270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96" name="AutoShape 271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7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9630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98" name="AutoShape 55"/>
        <xdr:cNvSpPr>
          <a:spLocks noRot="1" noChangeAspect="1" noMove="1" noResize="1" noChangeArrowheads="1"/>
        </xdr:cNvSpPr>
      </xdr:nvSpPr>
      <xdr:spPr bwMode="auto">
        <a:xfrm>
          <a:off x="8582025" y="283749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99" name="AutoShape 55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400" name="AutoShape 55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401" name="AutoShape 55"/>
        <xdr:cNvSpPr>
          <a:spLocks noRot="1" noChangeAspec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402" name="AutoShape 55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647700</xdr:colOff>
      <xdr:row>98</xdr:row>
      <xdr:rowOff>9525</xdr:rowOff>
    </xdr:to>
    <xdr:sp macro="" textlink="">
      <xdr:nvSpPr>
        <xdr:cNvPr id="403" name="AutoShape 49"/>
        <xdr:cNvSpPr>
          <a:spLocks noRot="1" noChangeAspect="1" noMove="1" noResize="1" noChangeArrowheads="1"/>
        </xdr:cNvSpPr>
      </xdr:nvSpPr>
      <xdr:spPr bwMode="auto">
        <a:xfrm>
          <a:off x="8582025" y="309372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404" name="AutoShape 49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405" name="AutoShape 49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406" name="AutoShape 49"/>
        <xdr:cNvSpPr>
          <a:spLocks noRot="1" noChangeAspec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407" name="AutoShape 49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619125</xdr:colOff>
      <xdr:row>110</xdr:row>
      <xdr:rowOff>104775</xdr:rowOff>
    </xdr:to>
    <xdr:sp macro="" textlink="">
      <xdr:nvSpPr>
        <xdr:cNvPr id="426" name="AutoShape 272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27" name="AutoShape 273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28" name="AutoShape 295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29" name="AutoShape 296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30" name="AutoShape 297"/>
        <xdr:cNvSpPr>
          <a:spLocks noRo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31" name="AutoShape 298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432" name="AutoShape 272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33" name="AutoShape 273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34" name="AutoShape 295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35" name="AutoShape 296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36" name="AutoShape 297"/>
        <xdr:cNvSpPr>
          <a:spLocks noRo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37" name="AutoShape 298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438" name="AutoShape 272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39" name="AutoShape 273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40" name="AutoShape 295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41" name="AutoShape 296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42" name="AutoShape 297"/>
        <xdr:cNvSpPr>
          <a:spLocks noRo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43" name="AutoShape 298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44" name="AutoShape 272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45" name="AutoShape 273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46" name="AutoShape 295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47" name="AutoShape 296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48" name="AutoShape 297"/>
        <xdr:cNvSpPr>
          <a:spLocks noRo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49" name="AutoShape 298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50" name="AutoShape 272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51" name="AutoShape 273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52" name="AutoShape 295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53" name="AutoShape 296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54" name="AutoShape 297"/>
        <xdr:cNvSpPr>
          <a:spLocks noRo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55" name="AutoShape 298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56" name="AutoShape 272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57" name="AutoShape 273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58" name="AutoShape 295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59" name="AutoShape 296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60" name="AutoShape 297"/>
        <xdr:cNvSpPr>
          <a:spLocks noRo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61" name="AutoShape 298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62" name="AutoShape 272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63" name="AutoShape 273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64" name="AutoShape 295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65" name="AutoShape 296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66" name="AutoShape 297"/>
        <xdr:cNvSpPr>
          <a:spLocks noRo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67" name="AutoShape 298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68" name="AutoShape 272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69" name="AutoShape 273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70" name="AutoShape 295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71" name="AutoShape 296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72" name="AutoShape 297"/>
        <xdr:cNvSpPr>
          <a:spLocks noRo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73" name="AutoShape 298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74" name="AutoShape 272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75" name="AutoShape 273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76" name="AutoShape 295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77" name="AutoShape 296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78" name="AutoShape 297"/>
        <xdr:cNvSpPr>
          <a:spLocks noRo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79" name="AutoShape 298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80" name="AutoShape 272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81" name="AutoShape 273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82" name="AutoShape 295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83" name="AutoShape 296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84" name="AutoShape 297"/>
        <xdr:cNvSpPr>
          <a:spLocks noRo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85" name="AutoShape 298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86" name="AutoShape 272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87" name="AutoShape 273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88" name="AutoShape 295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89" name="AutoShape 296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90" name="AutoShape 297"/>
        <xdr:cNvSpPr>
          <a:spLocks noRo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91" name="AutoShape 298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92" name="AutoShape 272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93" name="AutoShape 273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94" name="AutoShape 295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95" name="AutoShape 296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96" name="AutoShape 297"/>
        <xdr:cNvSpPr>
          <a:spLocks noRo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97" name="AutoShape 298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98" name="AutoShape 272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99" name="AutoShape 273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500" name="AutoShape 295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501" name="AutoShape 296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502" name="AutoShape 297"/>
        <xdr:cNvSpPr>
          <a:spLocks noRo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503" name="AutoShape 298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504" name="AutoShape 272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505" name="AutoShape 273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506" name="AutoShape 295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507" name="AutoShape 296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508" name="AutoShape 297"/>
        <xdr:cNvSpPr>
          <a:spLocks noRo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509" name="AutoShape 298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510" name="AutoShape 272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511" name="AutoShape 273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512" name="AutoShape 295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513" name="AutoShape 296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514" name="AutoShape 297"/>
        <xdr:cNvSpPr>
          <a:spLocks noRo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515" name="AutoShape 298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516" name="AutoShape 272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17" name="AutoShape 273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18" name="AutoShape 295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19" name="AutoShape 296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20" name="AutoShape 297"/>
        <xdr:cNvSpPr>
          <a:spLocks noRo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21" name="AutoShape 298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522" name="AutoShape 272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23" name="AutoShape 273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24" name="AutoShape 295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25" name="AutoShape 296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26" name="AutoShape 297"/>
        <xdr:cNvSpPr>
          <a:spLocks noRo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27" name="AutoShape 298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528" name="AutoShape 272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29" name="AutoShape 273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30" name="AutoShape 295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31" name="AutoShape 296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32" name="AutoShape 297"/>
        <xdr:cNvSpPr>
          <a:spLocks noRo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33" name="AutoShape 298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534" name="AutoShape 272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35" name="AutoShape 273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36" name="AutoShape 295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37" name="AutoShape 296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38" name="AutoShape 297"/>
        <xdr:cNvSpPr>
          <a:spLocks noRo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39" name="AutoShape 298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540" name="AutoShape 272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41" name="AutoShape 273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42" name="AutoShape 295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43" name="AutoShape 296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44" name="AutoShape 297"/>
        <xdr:cNvSpPr>
          <a:spLocks noRo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45" name="AutoShape 298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46" name="AutoShape 272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47" name="AutoShape 273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48" name="AutoShape 295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49" name="AutoShape 296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50" name="AutoShape 297"/>
        <xdr:cNvSpPr>
          <a:spLocks noRo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51" name="AutoShape 298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52" name="AutoShape 272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53" name="AutoShape 273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54" name="AutoShape 295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55" name="AutoShape 296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56" name="AutoShape 297"/>
        <xdr:cNvSpPr>
          <a:spLocks noRo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57" name="AutoShape 298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58" name="AutoShape 272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59" name="AutoShape 273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60" name="AutoShape 295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61" name="AutoShape 296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62" name="AutoShape 297"/>
        <xdr:cNvSpPr>
          <a:spLocks noRo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63" name="AutoShape 298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64" name="AutoShape 272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5" name="AutoShape 273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6" name="AutoShape 295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7" name="AutoShape 296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8" name="AutoShape 297"/>
        <xdr:cNvSpPr>
          <a:spLocks noRo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9" name="AutoShape 298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88" name="AutoShape 272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89" name="AutoShape 273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90" name="AutoShape 295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91" name="AutoShape 296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92" name="AutoShape 297"/>
        <xdr:cNvSpPr>
          <a:spLocks noRo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93" name="AutoShape 298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94" name="AutoShape 272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95" name="AutoShape 273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96" name="AutoShape 295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97" name="AutoShape 296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98" name="AutoShape 297"/>
        <xdr:cNvSpPr>
          <a:spLocks noRo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99" name="AutoShape 298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600" name="AutoShape 272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601" name="AutoShape 273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602" name="AutoShape 295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603" name="AutoShape 296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604" name="AutoShape 297"/>
        <xdr:cNvSpPr>
          <a:spLocks noRo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605" name="AutoShape 298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606" name="AutoShape 272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607" name="AutoShape 273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608" name="AutoShape 295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609" name="AutoShape 296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610" name="AutoShape 297"/>
        <xdr:cNvSpPr>
          <a:spLocks noRo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611" name="AutoShape 298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612" name="AutoShape 272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613" name="AutoShape 273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614" name="AutoShape 295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615" name="AutoShape 296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616" name="AutoShape 297"/>
        <xdr:cNvSpPr>
          <a:spLocks noRo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617" name="AutoShape 298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618" name="AutoShape 272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19" name="AutoShape 273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20" name="AutoShape 295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21" name="AutoShape 296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22" name="AutoShape 297"/>
        <xdr:cNvSpPr>
          <a:spLocks noRo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23" name="AutoShape 298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624" name="AutoShape 272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25" name="AutoShape 273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26" name="AutoShape 295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27" name="AutoShape 296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28" name="AutoShape 297"/>
        <xdr:cNvSpPr>
          <a:spLocks noRo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29" name="AutoShape 298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630" name="AutoShape 272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31" name="AutoShape 273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32" name="AutoShape 295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33" name="AutoShape 296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34" name="AutoShape 297"/>
        <xdr:cNvSpPr>
          <a:spLocks noRo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35" name="AutoShape 298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636" name="AutoShape 272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37" name="AutoShape 273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38" name="AutoShape 295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39" name="AutoShape 296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40" name="AutoShape 297"/>
        <xdr:cNvSpPr>
          <a:spLocks noRo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41" name="AutoShape 298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42" name="AutoShape 272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43" name="AutoShape 273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44" name="AutoShape 295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45" name="AutoShape 296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46" name="AutoShape 297"/>
        <xdr:cNvSpPr>
          <a:spLocks noRo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47" name="AutoShape 298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48" name="AutoShape 272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49" name="AutoShape 273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50" name="AutoShape 295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51" name="AutoShape 296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52" name="AutoShape 297"/>
        <xdr:cNvSpPr>
          <a:spLocks noRo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53" name="AutoShape 298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54" name="AutoShape 272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55" name="AutoShape 273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56" name="AutoShape 295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57" name="AutoShape 296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58" name="AutoShape 297"/>
        <xdr:cNvSpPr>
          <a:spLocks noRo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59" name="AutoShape 298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60" name="AutoShape 272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61" name="AutoShape 273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62" name="AutoShape 295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63" name="AutoShape 296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64" name="AutoShape 297"/>
        <xdr:cNvSpPr>
          <a:spLocks noRo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65" name="AutoShape 298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66" name="AutoShape 272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67" name="AutoShape 273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68" name="AutoShape 295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69" name="AutoShape 296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70" name="AutoShape 297"/>
        <xdr:cNvSpPr>
          <a:spLocks noRo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71" name="AutoShape 298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72" name="AutoShape 272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73" name="AutoShape 273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74" name="AutoShape 295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75" name="AutoShape 296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76" name="AutoShape 297"/>
        <xdr:cNvSpPr>
          <a:spLocks noRo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77" name="AutoShape 298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78" name="AutoShape 272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79" name="AutoShape 273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80" name="AutoShape 295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81" name="AutoShape 296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82" name="AutoShape 297"/>
        <xdr:cNvSpPr>
          <a:spLocks noRo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83" name="AutoShape 298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84" name="AutoShape 272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85" name="AutoShape 273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86" name="AutoShape 295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87" name="AutoShape 296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88" name="AutoShape 297"/>
        <xdr:cNvSpPr>
          <a:spLocks noRo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89" name="AutoShape 298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90" name="AutoShape 272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91" name="AutoShape 273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92" name="AutoShape 295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93" name="AutoShape 296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94" name="AutoShape 297"/>
        <xdr:cNvSpPr>
          <a:spLocks noRo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95" name="AutoShape 298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96" name="AutoShape 272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97" name="AutoShape 273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98" name="AutoShape 295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99" name="AutoShape 296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700" name="AutoShape 297"/>
        <xdr:cNvSpPr>
          <a:spLocks noRo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701" name="AutoShape 298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702" name="AutoShape 272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703" name="AutoShape 273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704" name="AutoShape 295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705" name="AutoShape 296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706" name="AutoShape 297"/>
        <xdr:cNvSpPr>
          <a:spLocks noRo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707" name="AutoShape 298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708" name="AutoShape 272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09" name="AutoShape 273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10" name="AutoShape 295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11" name="AutoShape 296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12" name="AutoShape 297"/>
        <xdr:cNvSpPr>
          <a:spLocks noRo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13" name="AutoShape 298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714" name="AutoShape 272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15" name="AutoShape 273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16" name="AutoShape 295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17" name="AutoShape 296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18" name="AutoShape 297"/>
        <xdr:cNvSpPr>
          <a:spLocks noRo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19" name="AutoShape 298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720" name="AutoShape 272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21" name="AutoShape 273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22" name="AutoShape 295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23" name="AutoShape 296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24" name="AutoShape 297"/>
        <xdr:cNvSpPr>
          <a:spLocks noRo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725" name="AutoShape 298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26" name="AutoShape 272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7" name="AutoShape 273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8" name="AutoShape 295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9" name="AutoShape 296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30" name="AutoShape 297"/>
        <xdr:cNvSpPr>
          <a:spLocks noRo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31" name="AutoShape 298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50" name="AutoShape 272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51" name="AutoShape 273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52" name="AutoShape 295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53" name="AutoShape 296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54" name="AutoShape 297"/>
        <xdr:cNvSpPr>
          <a:spLocks noRo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55" name="AutoShape 298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56" name="AutoShape 272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57" name="AutoShape 273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58" name="AutoShape 295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59" name="AutoShape 296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60" name="AutoShape 297"/>
        <xdr:cNvSpPr>
          <a:spLocks noRo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61" name="AutoShape 298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62" name="AutoShape 272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63" name="AutoShape 273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64" name="AutoShape 295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65" name="AutoShape 296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66" name="AutoShape 297"/>
        <xdr:cNvSpPr>
          <a:spLocks noRo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67" name="AutoShape 298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68" name="AutoShape 272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69" name="AutoShape 273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70" name="AutoShape 295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71" name="AutoShape 296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72" name="AutoShape 297"/>
        <xdr:cNvSpPr>
          <a:spLocks noRo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73" name="AutoShape 298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74" name="AutoShape 272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75" name="AutoShape 273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76" name="AutoShape 295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77" name="AutoShape 296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78" name="AutoShape 297"/>
        <xdr:cNvSpPr>
          <a:spLocks noRo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79" name="AutoShape 298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80" name="AutoShape 272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81" name="AutoShape 273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82" name="AutoShape 295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83" name="AutoShape 296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84" name="AutoShape 297"/>
        <xdr:cNvSpPr>
          <a:spLocks noRo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85" name="AutoShape 298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86" name="AutoShape 272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87" name="AutoShape 273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88" name="AutoShape 295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89" name="AutoShape 296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90" name="AutoShape 297"/>
        <xdr:cNvSpPr>
          <a:spLocks noRo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91" name="AutoShape 298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92" name="AutoShape 272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93" name="AutoShape 273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94" name="AutoShape 295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95" name="AutoShape 296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96" name="AutoShape 297"/>
        <xdr:cNvSpPr>
          <a:spLocks noRo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97" name="AutoShape 298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98" name="AutoShape 272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99" name="AutoShape 273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800" name="AutoShape 295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801" name="AutoShape 296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802" name="AutoShape 297"/>
        <xdr:cNvSpPr>
          <a:spLocks noRo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803" name="AutoShape 298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804" name="AutoShape 272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805" name="AutoShape 273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806" name="AutoShape 295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807" name="AutoShape 296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808" name="AutoShape 297"/>
        <xdr:cNvSpPr>
          <a:spLocks noRo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809" name="AutoShape 298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810" name="AutoShape 272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811" name="AutoShape 273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812" name="AutoShape 295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813" name="AutoShape 296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814" name="AutoShape 297"/>
        <xdr:cNvSpPr>
          <a:spLocks noRo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815" name="AutoShape 298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816" name="AutoShape 272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17" name="AutoShape 273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18" name="AutoShape 295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19" name="AutoShape 296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20" name="AutoShape 297"/>
        <xdr:cNvSpPr>
          <a:spLocks noRo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21" name="AutoShape 298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822" name="AutoShape 272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23" name="AutoShape 273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24" name="AutoShape 295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25" name="AutoShape 296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26" name="AutoShape 297"/>
        <xdr:cNvSpPr>
          <a:spLocks noRo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27" name="AutoShape 298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828" name="AutoShape 272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29" name="AutoShape 273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30" name="AutoShape 295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31" name="AutoShape 296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32" name="AutoShape 297"/>
        <xdr:cNvSpPr>
          <a:spLocks noRo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33" name="AutoShape 298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834" name="AutoShape 272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35" name="AutoShape 273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36" name="AutoShape 295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37" name="AutoShape 296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38" name="AutoShape 297"/>
        <xdr:cNvSpPr>
          <a:spLocks noRo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39" name="AutoShape 298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840" name="AutoShape 272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41" name="AutoShape 273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42" name="AutoShape 295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43" name="AutoShape 296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44" name="AutoShape 297"/>
        <xdr:cNvSpPr>
          <a:spLocks noRo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45" name="AutoShape 298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46" name="AutoShape 272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47" name="AutoShape 273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48" name="AutoShape 295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49" name="AutoShape 296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50" name="AutoShape 297"/>
        <xdr:cNvSpPr>
          <a:spLocks noRo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51" name="AutoShape 298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52" name="AutoShape 272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53" name="AutoShape 273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54" name="AutoShape 295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55" name="AutoShape 296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56" name="AutoShape 297"/>
        <xdr:cNvSpPr>
          <a:spLocks noRo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57" name="AutoShape 298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58" name="AutoShape 272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59" name="AutoShape 273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60" name="AutoShape 295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61" name="AutoShape 296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62" name="AutoShape 297"/>
        <xdr:cNvSpPr>
          <a:spLocks noRo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63" name="AutoShape 298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64" name="AutoShape 272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65" name="AutoShape 273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66" name="AutoShape 295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67" name="AutoShape 296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68" name="AutoShape 297"/>
        <xdr:cNvSpPr>
          <a:spLocks noRo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69" name="AutoShape 298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70" name="AutoShape 272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71" name="AutoShape 273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72" name="AutoShape 295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73" name="AutoShape 296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74" name="AutoShape 297"/>
        <xdr:cNvSpPr>
          <a:spLocks noRo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75" name="AutoShape 298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76" name="AutoShape 272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77" name="AutoShape 273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78" name="AutoShape 295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79" name="AutoShape 296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80" name="AutoShape 297"/>
        <xdr:cNvSpPr>
          <a:spLocks noRo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81" name="AutoShape 298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82" name="AutoShape 272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83" name="AutoShape 273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84" name="AutoShape 295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85" name="AutoShape 296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86" name="AutoShape 297"/>
        <xdr:cNvSpPr>
          <a:spLocks noRo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87" name="AutoShape 298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88" name="AutoShape 27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9" name="AutoShape 273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0" name="AutoShape 2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1" name="AutoShape 296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2" name="AutoShape 297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3" name="AutoShape 29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912" name="AutoShape 272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913" name="AutoShape 273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914" name="AutoShape 295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915" name="AutoShape 296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916" name="AutoShape 297"/>
        <xdr:cNvSpPr>
          <a:spLocks noRo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917" name="AutoShape 298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918" name="AutoShape 272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19" name="AutoShape 273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20" name="AutoShape 295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21" name="AutoShape 296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22" name="AutoShape 297"/>
        <xdr:cNvSpPr>
          <a:spLocks noRo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23" name="AutoShape 298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924" name="AutoShape 272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25" name="AutoShape 273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26" name="AutoShape 295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27" name="AutoShape 296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28" name="AutoShape 297"/>
        <xdr:cNvSpPr>
          <a:spLocks noRo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29" name="AutoShape 298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930" name="AutoShape 272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31" name="AutoShape 273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32" name="AutoShape 295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33" name="AutoShape 296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34" name="AutoShape 297"/>
        <xdr:cNvSpPr>
          <a:spLocks noRo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35" name="AutoShape 298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936" name="AutoShape 272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37" name="AutoShape 273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38" name="AutoShape 295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39" name="AutoShape 296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40" name="AutoShape 297"/>
        <xdr:cNvSpPr>
          <a:spLocks noRo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41" name="AutoShape 298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42" name="AutoShape 272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43" name="AutoShape 273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44" name="AutoShape 295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45" name="AutoShape 296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46" name="AutoShape 297"/>
        <xdr:cNvSpPr>
          <a:spLocks noRo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47" name="AutoShape 298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48" name="AutoShape 272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49" name="AutoShape 273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50" name="AutoShape 295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51" name="AutoShape 296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52" name="AutoShape 297"/>
        <xdr:cNvSpPr>
          <a:spLocks noRo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53" name="AutoShape 298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54" name="AutoShape 272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55" name="AutoShape 273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56" name="AutoShape 295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57" name="AutoShape 296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58" name="AutoShape 297"/>
        <xdr:cNvSpPr>
          <a:spLocks noRo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59" name="AutoShape 298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60" name="AutoShape 272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61" name="AutoShape 273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62" name="AutoShape 295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63" name="AutoShape 296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64" name="AutoShape 297"/>
        <xdr:cNvSpPr>
          <a:spLocks noRo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65" name="AutoShape 298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66" name="AutoShape 272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67" name="AutoShape 273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68" name="AutoShape 295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69" name="AutoShape 296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70" name="AutoShape 297"/>
        <xdr:cNvSpPr>
          <a:spLocks noRo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71" name="AutoShape 298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72" name="AutoShape 272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73" name="AutoShape 273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74" name="AutoShape 295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75" name="AutoShape 296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76" name="AutoShape 297"/>
        <xdr:cNvSpPr>
          <a:spLocks noRo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77" name="AutoShape 298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78" name="AutoShape 272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79" name="AutoShape 273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80" name="AutoShape 295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81" name="AutoShape 296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82" name="AutoShape 297"/>
        <xdr:cNvSpPr>
          <a:spLocks noRo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83" name="AutoShape 298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84" name="AutoShape 272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85" name="AutoShape 273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86" name="AutoShape 295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87" name="AutoShape 296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88" name="AutoShape 297"/>
        <xdr:cNvSpPr>
          <a:spLocks noRo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89" name="AutoShape 298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90" name="AutoShape 272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91" name="AutoShape 273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92" name="AutoShape 295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93" name="AutoShape 296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94" name="AutoShape 297"/>
        <xdr:cNvSpPr>
          <a:spLocks noRo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95" name="AutoShape 298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96" name="AutoShape 272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97" name="AutoShape 273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98" name="AutoShape 295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99" name="AutoShape 296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1000" name="AutoShape 297"/>
        <xdr:cNvSpPr>
          <a:spLocks noRo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1001" name="AutoShape 298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1002" name="AutoShape 272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1003" name="AutoShape 273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1004" name="AutoShape 295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1005" name="AutoShape 296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1006" name="AutoShape 297"/>
        <xdr:cNvSpPr>
          <a:spLocks noRo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1007" name="AutoShape 298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1008" name="AutoShape 272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1009" name="AutoShape 273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1010" name="AutoShape 295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1011" name="AutoShape 296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1012" name="AutoShape 297"/>
        <xdr:cNvSpPr>
          <a:spLocks noRo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1013" name="AutoShape 298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1014" name="AutoShape 272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15" name="AutoShape 273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16" name="AutoShape 295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17" name="AutoShape 296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18" name="AutoShape 297"/>
        <xdr:cNvSpPr>
          <a:spLocks noRo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19" name="AutoShape 298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1020" name="AutoShape 272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21" name="AutoShape 273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22" name="AutoShape 295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23" name="AutoShape 296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24" name="AutoShape 297"/>
        <xdr:cNvSpPr>
          <a:spLocks noRo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25" name="AutoShape 298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1026" name="AutoShape 272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27" name="AutoShape 273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28" name="AutoShape 295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29" name="AutoShape 296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30" name="AutoShape 297"/>
        <xdr:cNvSpPr>
          <a:spLocks noRo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31" name="AutoShape 298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32" name="AutoShape 272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33" name="AutoShape 273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34" name="AutoShape 295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35" name="AutoShape 296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36" name="AutoShape 297"/>
        <xdr:cNvSpPr>
          <a:spLocks noRo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37" name="AutoShape 298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1038" name="AutoShape 272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39" name="AutoShape 273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40" name="AutoShape 295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41" name="AutoShape 296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42" name="AutoShape 297"/>
        <xdr:cNvSpPr>
          <a:spLocks noRo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43" name="AutoShape 298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44" name="AutoShape 272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45" name="AutoShape 273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46" name="AutoShape 295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47" name="AutoShape 296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48" name="AutoShape 297"/>
        <xdr:cNvSpPr>
          <a:spLocks noRo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49" name="AutoShape 298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50" name="AutoShape 272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1" name="AutoShape 273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2" name="AutoShape 295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3" name="AutoShape 296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4" name="AutoShape 297"/>
        <xdr:cNvSpPr>
          <a:spLocks noRo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5" name="AutoShape 298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74" name="AutoShape 272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75" name="AutoShape 273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76" name="AutoShape 295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77" name="AutoShape 296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78" name="AutoShape 297"/>
        <xdr:cNvSpPr>
          <a:spLocks noRo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79" name="AutoShape 298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80" name="AutoShape 272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81" name="AutoShape 273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82" name="AutoShape 295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83" name="AutoShape 296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84" name="AutoShape 297"/>
        <xdr:cNvSpPr>
          <a:spLocks noRo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85" name="AutoShape 298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86" name="AutoShape 272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87" name="AutoShape 273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88" name="AutoShape 295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89" name="AutoShape 296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90" name="AutoShape 297"/>
        <xdr:cNvSpPr>
          <a:spLocks noRo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91" name="AutoShape 298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92" name="AutoShape 272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93" name="AutoShape 273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94" name="AutoShape 295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95" name="AutoShape 296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96" name="AutoShape 297"/>
        <xdr:cNvSpPr>
          <a:spLocks noRo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97" name="AutoShape 298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98" name="AutoShape 272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99" name="AutoShape 273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100" name="AutoShape 295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101" name="AutoShape 296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102" name="AutoShape 297"/>
        <xdr:cNvSpPr>
          <a:spLocks noRo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103" name="AutoShape 298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104" name="AutoShape 272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105" name="AutoShape 273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106" name="AutoShape 295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107" name="AutoShape 296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108" name="AutoShape 297"/>
        <xdr:cNvSpPr>
          <a:spLocks noRo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109" name="AutoShape 298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110" name="AutoShape 272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111" name="AutoShape 273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112" name="AutoShape 295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113" name="AutoShape 296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114" name="AutoShape 297"/>
        <xdr:cNvSpPr>
          <a:spLocks noRo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115" name="AutoShape 298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116" name="AutoShape 272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17" name="AutoShape 273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18" name="AutoShape 295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19" name="AutoShape 296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20" name="AutoShape 297"/>
        <xdr:cNvSpPr>
          <a:spLocks noRo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21" name="AutoShape 298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122" name="AutoShape 272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23" name="AutoShape 273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24" name="AutoShape 295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25" name="AutoShape 296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26" name="AutoShape 297"/>
        <xdr:cNvSpPr>
          <a:spLocks noRo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27" name="AutoShape 298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128" name="AutoShape 272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29" name="AutoShape 273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30" name="AutoShape 295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31" name="AutoShape 296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32" name="AutoShape 297"/>
        <xdr:cNvSpPr>
          <a:spLocks noRo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33" name="AutoShape 298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134" name="AutoShape 272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35" name="AutoShape 273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36" name="AutoShape 295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37" name="AutoShape 296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38" name="AutoShape 297"/>
        <xdr:cNvSpPr>
          <a:spLocks noRo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39" name="AutoShape 298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140" name="AutoShape 272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41" name="AutoShape 273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42" name="AutoShape 295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43" name="AutoShape 296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44" name="AutoShape 297"/>
        <xdr:cNvSpPr>
          <a:spLocks noRo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45" name="AutoShape 298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46" name="AutoShape 272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47" name="AutoShape 273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48" name="AutoShape 295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49" name="AutoShape 296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50" name="AutoShape 297"/>
        <xdr:cNvSpPr>
          <a:spLocks noRo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51" name="AutoShape 298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52" name="AutoShape 272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53" name="AutoShape 273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54" name="AutoShape 295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55" name="AutoShape 296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56" name="AutoShape 297"/>
        <xdr:cNvSpPr>
          <a:spLocks noRo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57" name="AutoShape 298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58" name="AutoShape 272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59" name="AutoShape 273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60" name="AutoShape 295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61" name="AutoShape 296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62" name="AutoShape 297"/>
        <xdr:cNvSpPr>
          <a:spLocks noRo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63" name="AutoShape 298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64" name="AutoShape 272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65" name="AutoShape 273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66" name="AutoShape 295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67" name="AutoShape 296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68" name="AutoShape 297"/>
        <xdr:cNvSpPr>
          <a:spLocks noRo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69" name="AutoShape 298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70" name="AutoShape 272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71" name="AutoShape 273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72" name="AutoShape 295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73" name="AutoShape 296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74" name="AutoShape 297"/>
        <xdr:cNvSpPr>
          <a:spLocks noRo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75" name="AutoShape 298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76" name="AutoShape 272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77" name="AutoShape 273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78" name="AutoShape 295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79" name="AutoShape 296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80" name="AutoShape 297"/>
        <xdr:cNvSpPr>
          <a:spLocks noRo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81" name="AutoShape 298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82" name="AutoShape 272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83" name="AutoShape 273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84" name="AutoShape 295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85" name="AutoShape 296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86" name="AutoShape 297"/>
        <xdr:cNvSpPr>
          <a:spLocks noRo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87" name="AutoShape 298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88" name="AutoShape 272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89" name="AutoShape 273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90" name="AutoShape 295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91" name="AutoShape 296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92" name="AutoShape 297"/>
        <xdr:cNvSpPr>
          <a:spLocks noRo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93" name="AutoShape 298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94" name="AutoShape 272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95" name="AutoShape 273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96" name="AutoShape 295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97" name="AutoShape 296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98" name="AutoShape 297"/>
        <xdr:cNvSpPr>
          <a:spLocks noRo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99" name="AutoShape 298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200" name="AutoShape 272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201" name="AutoShape 273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202" name="AutoShape 295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203" name="AutoShape 296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204" name="AutoShape 297"/>
        <xdr:cNvSpPr>
          <a:spLocks noRo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205" name="AutoShape 298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206" name="AutoShape 272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207" name="AutoShape 273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208" name="AutoShape 295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209" name="AutoShape 296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210" name="AutoShape 297"/>
        <xdr:cNvSpPr>
          <a:spLocks noRo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211" name="AutoShape 298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619125</xdr:colOff>
      <xdr:row>137</xdr:row>
      <xdr:rowOff>104775</xdr:rowOff>
    </xdr:to>
    <xdr:sp macro="" textlink="">
      <xdr:nvSpPr>
        <xdr:cNvPr id="1212" name="AutoShape 95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13" name="AutoShape 91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104775</xdr:rowOff>
    </xdr:from>
    <xdr:to>
      <xdr:col>11</xdr:col>
      <xdr:colOff>0</xdr:colOff>
      <xdr:row>137</xdr:row>
      <xdr:rowOff>104775</xdr:rowOff>
    </xdr:to>
    <xdr:sp macro="" textlink="">
      <xdr:nvSpPr>
        <xdr:cNvPr id="1214" name="AutoShape 224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104775</xdr:rowOff>
    </xdr:from>
    <xdr:to>
      <xdr:col>11</xdr:col>
      <xdr:colOff>0</xdr:colOff>
      <xdr:row>137</xdr:row>
      <xdr:rowOff>104775</xdr:rowOff>
    </xdr:to>
    <xdr:sp macro="" textlink="">
      <xdr:nvSpPr>
        <xdr:cNvPr id="1215" name="AutoShape 225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619125</xdr:colOff>
      <xdr:row>137</xdr:row>
      <xdr:rowOff>104775</xdr:rowOff>
    </xdr:to>
    <xdr:sp macro="" textlink="">
      <xdr:nvSpPr>
        <xdr:cNvPr id="1216" name="AutoShape 272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647700</xdr:colOff>
      <xdr:row>137</xdr:row>
      <xdr:rowOff>104775</xdr:rowOff>
    </xdr:to>
    <xdr:sp macro="" textlink="">
      <xdr:nvSpPr>
        <xdr:cNvPr id="1217" name="AutoShape 273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18" name="AutoShape 287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19" name="AutoShape 288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20" name="AutoShape 289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21" name="AutoShape 290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137</xdr:row>
      <xdr:rowOff>104775</xdr:rowOff>
    </xdr:from>
    <xdr:to>
      <xdr:col>9</xdr:col>
      <xdr:colOff>0</xdr:colOff>
      <xdr:row>137</xdr:row>
      <xdr:rowOff>104775</xdr:rowOff>
    </xdr:to>
    <xdr:sp macro="" textlink="">
      <xdr:nvSpPr>
        <xdr:cNvPr id="1222" name="AutoShape 291"/>
        <xdr:cNvSpPr>
          <a:spLocks noRot="1" noChangeAspec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137</xdr:row>
      <xdr:rowOff>104775</xdr:rowOff>
    </xdr:from>
    <xdr:to>
      <xdr:col>9</xdr:col>
      <xdr:colOff>0</xdr:colOff>
      <xdr:row>137</xdr:row>
      <xdr:rowOff>104775</xdr:rowOff>
    </xdr:to>
    <xdr:sp macro="" textlink="">
      <xdr:nvSpPr>
        <xdr:cNvPr id="1223" name="AutoShape 292"/>
        <xdr:cNvSpPr>
          <a:spLocks noRot="1" noChangeAspec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137</xdr:row>
      <xdr:rowOff>104775</xdr:rowOff>
    </xdr:from>
    <xdr:to>
      <xdr:col>9</xdr:col>
      <xdr:colOff>0</xdr:colOff>
      <xdr:row>137</xdr:row>
      <xdr:rowOff>104775</xdr:rowOff>
    </xdr:to>
    <xdr:sp macro="" textlink="">
      <xdr:nvSpPr>
        <xdr:cNvPr id="1224" name="AutoShape 293"/>
        <xdr:cNvSpPr>
          <a:spLocks noRo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104775</xdr:rowOff>
    </xdr:from>
    <xdr:to>
      <xdr:col>11</xdr:col>
      <xdr:colOff>0</xdr:colOff>
      <xdr:row>137</xdr:row>
      <xdr:rowOff>104775</xdr:rowOff>
    </xdr:to>
    <xdr:sp macro="" textlink="">
      <xdr:nvSpPr>
        <xdr:cNvPr id="1225" name="AutoShape 294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647700</xdr:colOff>
      <xdr:row>137</xdr:row>
      <xdr:rowOff>104775</xdr:rowOff>
    </xdr:to>
    <xdr:sp macro="" textlink="">
      <xdr:nvSpPr>
        <xdr:cNvPr id="1226" name="AutoShape 295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647700</xdr:colOff>
      <xdr:row>137</xdr:row>
      <xdr:rowOff>104775</xdr:rowOff>
    </xdr:to>
    <xdr:sp macro="" textlink="">
      <xdr:nvSpPr>
        <xdr:cNvPr id="1227" name="AutoShape 296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647700</xdr:colOff>
      <xdr:row>137</xdr:row>
      <xdr:rowOff>104775</xdr:rowOff>
    </xdr:to>
    <xdr:sp macro="" textlink="">
      <xdr:nvSpPr>
        <xdr:cNvPr id="1228" name="AutoShape 297"/>
        <xdr:cNvSpPr>
          <a:spLocks noRo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104775</xdr:rowOff>
    </xdr:from>
    <xdr:to>
      <xdr:col>4</xdr:col>
      <xdr:colOff>647700</xdr:colOff>
      <xdr:row>137</xdr:row>
      <xdr:rowOff>104775</xdr:rowOff>
    </xdr:to>
    <xdr:sp macro="" textlink="">
      <xdr:nvSpPr>
        <xdr:cNvPr id="1229" name="AutoShape 298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30" name="AutoShape 299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31" name="AutoShape 300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32" name="AutoShape 301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233" name="AutoShape 302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147</xdr:row>
      <xdr:rowOff>295275</xdr:rowOff>
    </xdr:from>
    <xdr:to>
      <xdr:col>11</xdr:col>
      <xdr:colOff>0</xdr:colOff>
      <xdr:row>149</xdr:row>
      <xdr:rowOff>123825</xdr:rowOff>
    </xdr:to>
    <xdr:sp macro="" textlink="">
      <xdr:nvSpPr>
        <xdr:cNvPr id="1234" name="AutoShape 315"/>
        <xdr:cNvSpPr>
          <a:spLocks noRot="1" noChangeAspect="1" noMove="1" noResize="1" noChangeArrowheads="1"/>
        </xdr:cNvSpPr>
      </xdr:nvSpPr>
      <xdr:spPr bwMode="auto">
        <a:xfrm>
          <a:off x="9658350" y="48825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114300</xdr:rowOff>
    </xdr:from>
    <xdr:to>
      <xdr:col>11</xdr:col>
      <xdr:colOff>0</xdr:colOff>
      <xdr:row>150</xdr:row>
      <xdr:rowOff>247650</xdr:rowOff>
    </xdr:to>
    <xdr:sp macro="" textlink="">
      <xdr:nvSpPr>
        <xdr:cNvPr id="1235" name="AutoShape 316"/>
        <xdr:cNvSpPr>
          <a:spLocks noRot="1" noChangeAspect="1" noMove="1" noResize="1" noChangeArrowheads="1"/>
        </xdr:cNvSpPr>
      </xdr:nvSpPr>
      <xdr:spPr bwMode="auto">
        <a:xfrm>
          <a:off x="9658350" y="49253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150</xdr:row>
      <xdr:rowOff>238125</xdr:rowOff>
    </xdr:from>
    <xdr:to>
      <xdr:col>11</xdr:col>
      <xdr:colOff>0</xdr:colOff>
      <xdr:row>152</xdr:row>
      <xdr:rowOff>66675</xdr:rowOff>
    </xdr:to>
    <xdr:sp macro="" textlink="">
      <xdr:nvSpPr>
        <xdr:cNvPr id="1236" name="AutoShape 317"/>
        <xdr:cNvSpPr>
          <a:spLocks noRot="1" noMove="1" noResize="1" noChangeArrowheads="1"/>
        </xdr:cNvSpPr>
      </xdr:nvSpPr>
      <xdr:spPr bwMode="auto">
        <a:xfrm>
          <a:off x="9658350" y="4968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152</xdr:row>
      <xdr:rowOff>57150</xdr:rowOff>
    </xdr:from>
    <xdr:to>
      <xdr:col>11</xdr:col>
      <xdr:colOff>0</xdr:colOff>
      <xdr:row>153</xdr:row>
      <xdr:rowOff>190500</xdr:rowOff>
    </xdr:to>
    <xdr:sp macro="" textlink="">
      <xdr:nvSpPr>
        <xdr:cNvPr id="1237" name="AutoShape 318"/>
        <xdr:cNvSpPr>
          <a:spLocks noRot="1" noChangeAspect="1" noMove="1" noResize="1" noChangeArrowheads="1"/>
        </xdr:cNvSpPr>
      </xdr:nvSpPr>
      <xdr:spPr bwMode="auto">
        <a:xfrm>
          <a:off x="9658350" y="5011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114300</xdr:rowOff>
    </xdr:from>
    <xdr:to>
      <xdr:col>11</xdr:col>
      <xdr:colOff>0</xdr:colOff>
      <xdr:row>157</xdr:row>
      <xdr:rowOff>247650</xdr:rowOff>
    </xdr:to>
    <xdr:sp macro="" textlink="">
      <xdr:nvSpPr>
        <xdr:cNvPr id="1238" name="AutoShape 327"/>
        <xdr:cNvSpPr>
          <a:spLocks noRot="1" noChangeAspect="1" noMove="1" noResize="1" noChangeArrowheads="1"/>
        </xdr:cNvSpPr>
      </xdr:nvSpPr>
      <xdr:spPr bwMode="auto">
        <a:xfrm>
          <a:off x="9658350" y="51387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157</xdr:row>
      <xdr:rowOff>238125</xdr:rowOff>
    </xdr:from>
    <xdr:to>
      <xdr:col>11</xdr:col>
      <xdr:colOff>0</xdr:colOff>
      <xdr:row>159</xdr:row>
      <xdr:rowOff>66675</xdr:rowOff>
    </xdr:to>
    <xdr:sp macro="" textlink="">
      <xdr:nvSpPr>
        <xdr:cNvPr id="1239" name="AutoShape 328"/>
        <xdr:cNvSpPr>
          <a:spLocks noRot="1" noChangeAspect="1" noMove="1" noResize="1" noChangeArrowheads="1"/>
        </xdr:cNvSpPr>
      </xdr:nvSpPr>
      <xdr:spPr bwMode="auto">
        <a:xfrm>
          <a:off x="9658350" y="51816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139</xdr:row>
      <xdr:rowOff>171450</xdr:rowOff>
    </xdr:from>
    <xdr:to>
      <xdr:col>11</xdr:col>
      <xdr:colOff>0</xdr:colOff>
      <xdr:row>141</xdr:row>
      <xdr:rowOff>0</xdr:rowOff>
    </xdr:to>
    <xdr:sp macro="" textlink="">
      <xdr:nvSpPr>
        <xdr:cNvPr id="1240" name="AutoShape 339"/>
        <xdr:cNvSpPr>
          <a:spLocks noRot="1" noChangeAspect="1" noMove="1" noResize="1" noChangeArrowheads="1"/>
        </xdr:cNvSpPr>
      </xdr:nvSpPr>
      <xdr:spPr bwMode="auto">
        <a:xfrm>
          <a:off x="9658350" y="46262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295275</xdr:rowOff>
    </xdr:from>
    <xdr:to>
      <xdr:col>11</xdr:col>
      <xdr:colOff>0</xdr:colOff>
      <xdr:row>142</xdr:row>
      <xdr:rowOff>123825</xdr:rowOff>
    </xdr:to>
    <xdr:sp macro="" textlink="">
      <xdr:nvSpPr>
        <xdr:cNvPr id="1241" name="AutoShape 340"/>
        <xdr:cNvSpPr>
          <a:spLocks noRot="1" noChangeAspect="1" noMove="1" noResize="1" noChangeArrowheads="1"/>
        </xdr:cNvSpPr>
      </xdr:nvSpPr>
      <xdr:spPr bwMode="auto">
        <a:xfrm>
          <a:off x="9658350" y="46691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142</xdr:row>
      <xdr:rowOff>114300</xdr:rowOff>
    </xdr:from>
    <xdr:to>
      <xdr:col>11</xdr:col>
      <xdr:colOff>0</xdr:colOff>
      <xdr:row>143</xdr:row>
      <xdr:rowOff>247650</xdr:rowOff>
    </xdr:to>
    <xdr:sp macro="" textlink="">
      <xdr:nvSpPr>
        <xdr:cNvPr id="1242" name="AutoShape 341"/>
        <xdr:cNvSpPr>
          <a:spLocks noRot="1" noMove="1" noResize="1" noChangeArrowheads="1"/>
        </xdr:cNvSpPr>
      </xdr:nvSpPr>
      <xdr:spPr bwMode="auto">
        <a:xfrm>
          <a:off x="9658350" y="4712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143</xdr:row>
      <xdr:rowOff>238125</xdr:rowOff>
    </xdr:from>
    <xdr:to>
      <xdr:col>11</xdr:col>
      <xdr:colOff>0</xdr:colOff>
      <xdr:row>145</xdr:row>
      <xdr:rowOff>66675</xdr:rowOff>
    </xdr:to>
    <xdr:sp macro="" textlink="">
      <xdr:nvSpPr>
        <xdr:cNvPr id="1243" name="AutoShape 342"/>
        <xdr:cNvSpPr>
          <a:spLocks noRot="1" noChangeAspect="1" noMove="1" noResize="1" noChangeArrowheads="1"/>
        </xdr:cNvSpPr>
      </xdr:nvSpPr>
      <xdr:spPr bwMode="auto">
        <a:xfrm>
          <a:off x="9658350" y="4754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619125</xdr:colOff>
      <xdr:row>138</xdr:row>
      <xdr:rowOff>104775</xdr:rowOff>
    </xdr:to>
    <xdr:sp macro="" textlink="">
      <xdr:nvSpPr>
        <xdr:cNvPr id="1262" name="AutoShape 272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647700</xdr:colOff>
      <xdr:row>138</xdr:row>
      <xdr:rowOff>104775</xdr:rowOff>
    </xdr:to>
    <xdr:sp macro="" textlink="">
      <xdr:nvSpPr>
        <xdr:cNvPr id="1263" name="AutoShape 273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647700</xdr:colOff>
      <xdr:row>138</xdr:row>
      <xdr:rowOff>104775</xdr:rowOff>
    </xdr:to>
    <xdr:sp macro="" textlink="">
      <xdr:nvSpPr>
        <xdr:cNvPr id="1264" name="AutoShape 295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647700</xdr:colOff>
      <xdr:row>138</xdr:row>
      <xdr:rowOff>104775</xdr:rowOff>
    </xdr:to>
    <xdr:sp macro="" textlink="">
      <xdr:nvSpPr>
        <xdr:cNvPr id="1265" name="AutoShape 296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647700</xdr:colOff>
      <xdr:row>138</xdr:row>
      <xdr:rowOff>104775</xdr:rowOff>
    </xdr:to>
    <xdr:sp macro="" textlink="">
      <xdr:nvSpPr>
        <xdr:cNvPr id="1266" name="AutoShape 297"/>
        <xdr:cNvSpPr>
          <a:spLocks noRo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138</xdr:row>
      <xdr:rowOff>104775</xdr:rowOff>
    </xdr:from>
    <xdr:to>
      <xdr:col>4</xdr:col>
      <xdr:colOff>647700</xdr:colOff>
      <xdr:row>138</xdr:row>
      <xdr:rowOff>104775</xdr:rowOff>
    </xdr:to>
    <xdr:sp macro="" textlink="">
      <xdr:nvSpPr>
        <xdr:cNvPr id="1267" name="AutoShape 298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619125</xdr:colOff>
      <xdr:row>139</xdr:row>
      <xdr:rowOff>104775</xdr:rowOff>
    </xdr:to>
    <xdr:sp macro="" textlink="">
      <xdr:nvSpPr>
        <xdr:cNvPr id="1268" name="AutoShape 272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647700</xdr:colOff>
      <xdr:row>139</xdr:row>
      <xdr:rowOff>104775</xdr:rowOff>
    </xdr:to>
    <xdr:sp macro="" textlink="">
      <xdr:nvSpPr>
        <xdr:cNvPr id="1269" name="AutoShape 273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647700</xdr:colOff>
      <xdr:row>139</xdr:row>
      <xdr:rowOff>104775</xdr:rowOff>
    </xdr:to>
    <xdr:sp macro="" textlink="">
      <xdr:nvSpPr>
        <xdr:cNvPr id="1270" name="AutoShape 295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647700</xdr:colOff>
      <xdr:row>139</xdr:row>
      <xdr:rowOff>104775</xdr:rowOff>
    </xdr:to>
    <xdr:sp macro="" textlink="">
      <xdr:nvSpPr>
        <xdr:cNvPr id="1271" name="AutoShape 296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647700</xdr:colOff>
      <xdr:row>139</xdr:row>
      <xdr:rowOff>104775</xdr:rowOff>
    </xdr:to>
    <xdr:sp macro="" textlink="">
      <xdr:nvSpPr>
        <xdr:cNvPr id="1272" name="AutoShape 297"/>
        <xdr:cNvSpPr>
          <a:spLocks noRo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139</xdr:row>
      <xdr:rowOff>104775</xdr:rowOff>
    </xdr:from>
    <xdr:to>
      <xdr:col>4</xdr:col>
      <xdr:colOff>647700</xdr:colOff>
      <xdr:row>139</xdr:row>
      <xdr:rowOff>104775</xdr:rowOff>
    </xdr:to>
    <xdr:sp macro="" textlink="">
      <xdr:nvSpPr>
        <xdr:cNvPr id="1273" name="AutoShape 298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274" name="AutoShape 272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75" name="AutoShape 273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76" name="AutoShape 295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77" name="AutoShape 296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78" name="AutoShape 297"/>
        <xdr:cNvSpPr>
          <a:spLocks noRo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79" name="AutoShape 298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1280" name="AutoShape 272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81" name="AutoShape 273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82" name="AutoShape 295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83" name="AutoShape 296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84" name="AutoShape 297"/>
        <xdr:cNvSpPr>
          <a:spLocks noRo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85" name="AutoShape 298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86" name="AutoShape 272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87" name="AutoShape 273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88" name="AutoShape 295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89" name="AutoShape 296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90" name="AutoShape 297"/>
        <xdr:cNvSpPr>
          <a:spLocks noRo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91" name="AutoShape 298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92" name="AutoShape 272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93" name="AutoShape 273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94" name="AutoShape 295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95" name="AutoShape 296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96" name="AutoShape 297"/>
        <xdr:cNvSpPr>
          <a:spLocks noRo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97" name="AutoShape 298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98" name="AutoShape 272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99" name="AutoShape 273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300" name="AutoShape 295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301" name="AutoShape 296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302" name="AutoShape 297"/>
        <xdr:cNvSpPr>
          <a:spLocks noRo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303" name="AutoShape 298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304" name="AutoShape 272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305" name="AutoShape 273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306" name="AutoShape 295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307" name="AutoShape 296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308" name="AutoShape 297"/>
        <xdr:cNvSpPr>
          <a:spLocks noRo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309" name="AutoShape 298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310" name="AutoShape 272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311" name="AutoShape 273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312" name="AutoShape 295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313" name="AutoShape 296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314" name="AutoShape 297"/>
        <xdr:cNvSpPr>
          <a:spLocks noRo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315" name="AutoShape 298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316" name="AutoShape 272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317" name="AutoShape 273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318" name="AutoShape 295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319" name="AutoShape 296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320" name="AutoShape 297"/>
        <xdr:cNvSpPr>
          <a:spLocks noRo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321" name="AutoShape 298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322" name="AutoShape 272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323" name="AutoShape 273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324" name="AutoShape 295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325" name="AutoShape 296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326" name="AutoShape 297"/>
        <xdr:cNvSpPr>
          <a:spLocks noRo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327" name="AutoShape 298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328" name="AutoShape 272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329" name="AutoShape 273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330" name="AutoShape 295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331" name="AutoShape 296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332" name="AutoShape 297"/>
        <xdr:cNvSpPr>
          <a:spLocks noRo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333" name="AutoShape 298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334" name="AutoShape 272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35" name="AutoShape 273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36" name="AutoShape 295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37" name="AutoShape 296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38" name="AutoShape 297"/>
        <xdr:cNvSpPr>
          <a:spLocks noRo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39" name="AutoShape 298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340" name="AutoShape 272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41" name="AutoShape 273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42" name="AutoShape 295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43" name="AutoShape 296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44" name="AutoShape 297"/>
        <xdr:cNvSpPr>
          <a:spLocks noRo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45" name="AutoShape 298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346" name="AutoShape 272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47" name="AutoShape 273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48" name="AutoShape 295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49" name="AutoShape 296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50" name="AutoShape 297"/>
        <xdr:cNvSpPr>
          <a:spLocks noRo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51" name="AutoShape 298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352" name="AutoShape 272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53" name="AutoShape 273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54" name="AutoShape 295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55" name="AutoShape 296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56" name="AutoShape 297"/>
        <xdr:cNvSpPr>
          <a:spLocks noRo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57" name="AutoShape 298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358" name="AutoShape 272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59" name="AutoShape 273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60" name="AutoShape 295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61" name="AutoShape 296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62" name="AutoShape 297"/>
        <xdr:cNvSpPr>
          <a:spLocks noRo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63" name="AutoShape 298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64" name="AutoShape 272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65" name="AutoShape 273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66" name="AutoShape 295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67" name="AutoShape 296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68" name="AutoShape 297"/>
        <xdr:cNvSpPr>
          <a:spLocks noRo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69" name="AutoShape 298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70" name="AutoShape 272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71" name="AutoShape 273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72" name="AutoShape 295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73" name="AutoShape 296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74" name="AutoShape 297"/>
        <xdr:cNvSpPr>
          <a:spLocks noRo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75" name="AutoShape 298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76" name="AutoShape 272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77" name="AutoShape 273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78" name="AutoShape 295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79" name="AutoShape 296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80" name="AutoShape 297"/>
        <xdr:cNvSpPr>
          <a:spLocks noRo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81" name="AutoShape 298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82" name="AutoShape 272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83" name="AutoShape 273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84" name="AutoShape 295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85" name="AutoShape 296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86" name="AutoShape 297"/>
        <xdr:cNvSpPr>
          <a:spLocks noRo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87" name="AutoShape 298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88" name="AutoShape 272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89" name="AutoShape 273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90" name="AutoShape 295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91" name="AutoShape 296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92" name="AutoShape 297"/>
        <xdr:cNvSpPr>
          <a:spLocks noRo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93" name="AutoShape 298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94" name="AutoShape 272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95" name="AutoShape 273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96" name="AutoShape 295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97" name="AutoShape 296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98" name="AutoShape 297"/>
        <xdr:cNvSpPr>
          <a:spLocks noRo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99" name="AutoShape 298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619125</xdr:colOff>
      <xdr:row>137</xdr:row>
      <xdr:rowOff>104775</xdr:rowOff>
    </xdr:to>
    <xdr:sp macro="" textlink="">
      <xdr:nvSpPr>
        <xdr:cNvPr id="1400" name="AutoShape 272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647700</xdr:colOff>
      <xdr:row>137</xdr:row>
      <xdr:rowOff>104775</xdr:rowOff>
    </xdr:to>
    <xdr:sp macro="" textlink="">
      <xdr:nvSpPr>
        <xdr:cNvPr id="1401" name="AutoShape 273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647700</xdr:colOff>
      <xdr:row>137</xdr:row>
      <xdr:rowOff>104775</xdr:rowOff>
    </xdr:to>
    <xdr:sp macro="" textlink="">
      <xdr:nvSpPr>
        <xdr:cNvPr id="1402" name="AutoShape 295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647700</xdr:colOff>
      <xdr:row>137</xdr:row>
      <xdr:rowOff>104775</xdr:rowOff>
    </xdr:to>
    <xdr:sp macro="" textlink="">
      <xdr:nvSpPr>
        <xdr:cNvPr id="1403" name="AutoShape 296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647700</xdr:colOff>
      <xdr:row>137</xdr:row>
      <xdr:rowOff>104775</xdr:rowOff>
    </xdr:to>
    <xdr:sp macro="" textlink="">
      <xdr:nvSpPr>
        <xdr:cNvPr id="1404" name="AutoShape 297"/>
        <xdr:cNvSpPr>
          <a:spLocks noRo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137</xdr:row>
      <xdr:rowOff>104775</xdr:rowOff>
    </xdr:from>
    <xdr:to>
      <xdr:col>6</xdr:col>
      <xdr:colOff>647700</xdr:colOff>
      <xdr:row>137</xdr:row>
      <xdr:rowOff>104775</xdr:rowOff>
    </xdr:to>
    <xdr:sp macro="" textlink="">
      <xdr:nvSpPr>
        <xdr:cNvPr id="1405" name="AutoShape 298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619125</xdr:colOff>
      <xdr:row>138</xdr:row>
      <xdr:rowOff>104775</xdr:rowOff>
    </xdr:to>
    <xdr:sp macro="" textlink="">
      <xdr:nvSpPr>
        <xdr:cNvPr id="1424" name="AutoShape 272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647700</xdr:colOff>
      <xdr:row>138</xdr:row>
      <xdr:rowOff>104775</xdr:rowOff>
    </xdr:to>
    <xdr:sp macro="" textlink="">
      <xdr:nvSpPr>
        <xdr:cNvPr id="1425" name="AutoShape 273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647700</xdr:colOff>
      <xdr:row>138</xdr:row>
      <xdr:rowOff>104775</xdr:rowOff>
    </xdr:to>
    <xdr:sp macro="" textlink="">
      <xdr:nvSpPr>
        <xdr:cNvPr id="1426" name="AutoShape 295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647700</xdr:colOff>
      <xdr:row>138</xdr:row>
      <xdr:rowOff>104775</xdr:rowOff>
    </xdr:to>
    <xdr:sp macro="" textlink="">
      <xdr:nvSpPr>
        <xdr:cNvPr id="1427" name="AutoShape 296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647700</xdr:colOff>
      <xdr:row>138</xdr:row>
      <xdr:rowOff>104775</xdr:rowOff>
    </xdr:to>
    <xdr:sp macro="" textlink="">
      <xdr:nvSpPr>
        <xdr:cNvPr id="1428" name="AutoShape 297"/>
        <xdr:cNvSpPr>
          <a:spLocks noRo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138</xdr:row>
      <xdr:rowOff>104775</xdr:rowOff>
    </xdr:from>
    <xdr:to>
      <xdr:col>6</xdr:col>
      <xdr:colOff>647700</xdr:colOff>
      <xdr:row>138</xdr:row>
      <xdr:rowOff>104775</xdr:rowOff>
    </xdr:to>
    <xdr:sp macro="" textlink="">
      <xdr:nvSpPr>
        <xdr:cNvPr id="1429" name="AutoShape 298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619125</xdr:colOff>
      <xdr:row>139</xdr:row>
      <xdr:rowOff>104775</xdr:rowOff>
    </xdr:to>
    <xdr:sp macro="" textlink="">
      <xdr:nvSpPr>
        <xdr:cNvPr id="1430" name="AutoShape 272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647700</xdr:colOff>
      <xdr:row>139</xdr:row>
      <xdr:rowOff>104775</xdr:rowOff>
    </xdr:to>
    <xdr:sp macro="" textlink="">
      <xdr:nvSpPr>
        <xdr:cNvPr id="1431" name="AutoShape 273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647700</xdr:colOff>
      <xdr:row>139</xdr:row>
      <xdr:rowOff>104775</xdr:rowOff>
    </xdr:to>
    <xdr:sp macro="" textlink="">
      <xdr:nvSpPr>
        <xdr:cNvPr id="1432" name="AutoShape 295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647700</xdr:colOff>
      <xdr:row>139</xdr:row>
      <xdr:rowOff>104775</xdr:rowOff>
    </xdr:to>
    <xdr:sp macro="" textlink="">
      <xdr:nvSpPr>
        <xdr:cNvPr id="1433" name="AutoShape 296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647700</xdr:colOff>
      <xdr:row>139</xdr:row>
      <xdr:rowOff>104775</xdr:rowOff>
    </xdr:to>
    <xdr:sp macro="" textlink="">
      <xdr:nvSpPr>
        <xdr:cNvPr id="1434" name="AutoShape 297"/>
        <xdr:cNvSpPr>
          <a:spLocks noRo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104775</xdr:rowOff>
    </xdr:from>
    <xdr:to>
      <xdr:col>6</xdr:col>
      <xdr:colOff>647700</xdr:colOff>
      <xdr:row>139</xdr:row>
      <xdr:rowOff>104775</xdr:rowOff>
    </xdr:to>
    <xdr:sp macro="" textlink="">
      <xdr:nvSpPr>
        <xdr:cNvPr id="1435" name="AutoShape 298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436" name="AutoShape 272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37" name="AutoShape 273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38" name="AutoShape 295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39" name="AutoShape 296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40" name="AutoShape 297"/>
        <xdr:cNvSpPr>
          <a:spLocks noRo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41" name="AutoShape 298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442" name="AutoShape 272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43" name="AutoShape 273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44" name="AutoShape 295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45" name="AutoShape 296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46" name="AutoShape 297"/>
        <xdr:cNvSpPr>
          <a:spLocks noRo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47" name="AutoShape 298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448" name="AutoShape 272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49" name="AutoShape 273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50" name="AutoShape 295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51" name="AutoShape 296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52" name="AutoShape 297"/>
        <xdr:cNvSpPr>
          <a:spLocks noRo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53" name="AutoShape 298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454" name="AutoShape 272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55" name="AutoShape 273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56" name="AutoShape 295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57" name="AutoShape 296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58" name="AutoShape 297"/>
        <xdr:cNvSpPr>
          <a:spLocks noRo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59" name="AutoShape 298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460" name="AutoShape 272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61" name="AutoShape 273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62" name="AutoShape 295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63" name="AutoShape 296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64" name="AutoShape 297"/>
        <xdr:cNvSpPr>
          <a:spLocks noRo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65" name="AutoShape 298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66" name="AutoShape 272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67" name="AutoShape 273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68" name="AutoShape 295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69" name="AutoShape 296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70" name="AutoShape 297"/>
        <xdr:cNvSpPr>
          <a:spLocks noRo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71" name="AutoShape 298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72" name="AutoShape 272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73" name="AutoShape 273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74" name="AutoShape 295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75" name="AutoShape 296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76" name="AutoShape 297"/>
        <xdr:cNvSpPr>
          <a:spLocks noRo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77" name="AutoShape 298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78" name="AutoShape 272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79" name="AutoShape 273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80" name="AutoShape 295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81" name="AutoShape 296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82" name="AutoShape 297"/>
        <xdr:cNvSpPr>
          <a:spLocks noRo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83" name="AutoShape 298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84" name="AutoShape 272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85" name="AutoShape 273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86" name="AutoShape 295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87" name="AutoShape 296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88" name="AutoShape 297"/>
        <xdr:cNvSpPr>
          <a:spLocks noRo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89" name="AutoShape 298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90" name="AutoShape 272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91" name="AutoShape 273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92" name="AutoShape 295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93" name="AutoShape 296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94" name="AutoShape 297"/>
        <xdr:cNvSpPr>
          <a:spLocks noRo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95" name="AutoShape 298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96" name="AutoShape 272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97" name="AutoShape 273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98" name="AutoShape 295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99" name="AutoShape 296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500" name="AutoShape 297"/>
        <xdr:cNvSpPr>
          <a:spLocks noRo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501" name="AutoShape 298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502" name="AutoShape 272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503" name="AutoShape 273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504" name="AutoShape 295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505" name="AutoShape 296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506" name="AutoShape 297"/>
        <xdr:cNvSpPr>
          <a:spLocks noRo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507" name="AutoShape 298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508" name="AutoShape 272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509" name="AutoShape 273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510" name="AutoShape 295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511" name="AutoShape 296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512" name="AutoShape 297"/>
        <xdr:cNvSpPr>
          <a:spLocks noRo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513" name="AutoShape 298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514" name="AutoShape 272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515" name="AutoShape 273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516" name="AutoShape 295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517" name="AutoShape 296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518" name="AutoShape 297"/>
        <xdr:cNvSpPr>
          <a:spLocks noRo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519" name="AutoShape 298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520" name="AutoShape 272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521" name="AutoShape 273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522" name="AutoShape 295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523" name="AutoShape 296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524" name="AutoShape 297"/>
        <xdr:cNvSpPr>
          <a:spLocks noRo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525" name="AutoShape 298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526" name="AutoShape 272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527" name="AutoShape 273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528" name="AutoShape 295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529" name="AutoShape 296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530" name="AutoShape 297"/>
        <xdr:cNvSpPr>
          <a:spLocks noRo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531" name="AutoShape 298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532" name="AutoShape 272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33" name="AutoShape 273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34" name="AutoShape 295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35" name="AutoShape 296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36" name="AutoShape 297"/>
        <xdr:cNvSpPr>
          <a:spLocks noRo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37" name="AutoShape 298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538" name="AutoShape 272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39" name="AutoShape 273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40" name="AutoShape 295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41" name="AutoShape 296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42" name="AutoShape 297"/>
        <xdr:cNvSpPr>
          <a:spLocks noRo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43" name="AutoShape 298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44" name="AutoShape 272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45" name="AutoShape 273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46" name="AutoShape 295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47" name="AutoShape 296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48" name="AutoShape 297"/>
        <xdr:cNvSpPr>
          <a:spLocks noRo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49" name="AutoShape 298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550" name="AutoShape 272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51" name="AutoShape 273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52" name="AutoShape 295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53" name="AutoShape 296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54" name="AutoShape 297"/>
        <xdr:cNvSpPr>
          <a:spLocks noRo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55" name="AutoShape 298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56" name="AutoShape 272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57" name="AutoShape 273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58" name="AutoShape 295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59" name="AutoShape 296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60" name="AutoShape 297"/>
        <xdr:cNvSpPr>
          <a:spLocks noRo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61" name="AutoShape 298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619125</xdr:colOff>
      <xdr:row>137</xdr:row>
      <xdr:rowOff>104775</xdr:rowOff>
    </xdr:to>
    <xdr:sp macro="" textlink="">
      <xdr:nvSpPr>
        <xdr:cNvPr id="1562" name="AutoShape 272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647700</xdr:colOff>
      <xdr:row>137</xdr:row>
      <xdr:rowOff>104775</xdr:rowOff>
    </xdr:to>
    <xdr:sp macro="" textlink="">
      <xdr:nvSpPr>
        <xdr:cNvPr id="1563" name="AutoShape 273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647700</xdr:colOff>
      <xdr:row>137</xdr:row>
      <xdr:rowOff>104775</xdr:rowOff>
    </xdr:to>
    <xdr:sp macro="" textlink="">
      <xdr:nvSpPr>
        <xdr:cNvPr id="1564" name="AutoShape 295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647700</xdr:colOff>
      <xdr:row>137</xdr:row>
      <xdr:rowOff>104775</xdr:rowOff>
    </xdr:to>
    <xdr:sp macro="" textlink="">
      <xdr:nvSpPr>
        <xdr:cNvPr id="1565" name="AutoShape 296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647700</xdr:colOff>
      <xdr:row>137</xdr:row>
      <xdr:rowOff>104775</xdr:rowOff>
    </xdr:to>
    <xdr:sp macro="" textlink="">
      <xdr:nvSpPr>
        <xdr:cNvPr id="1566" name="AutoShape 297"/>
        <xdr:cNvSpPr>
          <a:spLocks noRo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137</xdr:row>
      <xdr:rowOff>104775</xdr:rowOff>
    </xdr:from>
    <xdr:to>
      <xdr:col>8</xdr:col>
      <xdr:colOff>647700</xdr:colOff>
      <xdr:row>137</xdr:row>
      <xdr:rowOff>104775</xdr:rowOff>
    </xdr:to>
    <xdr:sp macro="" textlink="">
      <xdr:nvSpPr>
        <xdr:cNvPr id="1567" name="AutoShape 298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619125</xdr:colOff>
      <xdr:row>138</xdr:row>
      <xdr:rowOff>104775</xdr:rowOff>
    </xdr:to>
    <xdr:sp macro="" textlink="">
      <xdr:nvSpPr>
        <xdr:cNvPr id="1586" name="AutoShape 272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647700</xdr:colOff>
      <xdr:row>138</xdr:row>
      <xdr:rowOff>104775</xdr:rowOff>
    </xdr:to>
    <xdr:sp macro="" textlink="">
      <xdr:nvSpPr>
        <xdr:cNvPr id="1587" name="AutoShape 273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647700</xdr:colOff>
      <xdr:row>138</xdr:row>
      <xdr:rowOff>104775</xdr:rowOff>
    </xdr:to>
    <xdr:sp macro="" textlink="">
      <xdr:nvSpPr>
        <xdr:cNvPr id="1588" name="AutoShape 295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647700</xdr:colOff>
      <xdr:row>138</xdr:row>
      <xdr:rowOff>104775</xdr:rowOff>
    </xdr:to>
    <xdr:sp macro="" textlink="">
      <xdr:nvSpPr>
        <xdr:cNvPr id="1589" name="AutoShape 296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647700</xdr:colOff>
      <xdr:row>138</xdr:row>
      <xdr:rowOff>104775</xdr:rowOff>
    </xdr:to>
    <xdr:sp macro="" textlink="">
      <xdr:nvSpPr>
        <xdr:cNvPr id="1590" name="AutoShape 297"/>
        <xdr:cNvSpPr>
          <a:spLocks noRo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138</xdr:row>
      <xdr:rowOff>104775</xdr:rowOff>
    </xdr:from>
    <xdr:to>
      <xdr:col>8</xdr:col>
      <xdr:colOff>647700</xdr:colOff>
      <xdr:row>138</xdr:row>
      <xdr:rowOff>104775</xdr:rowOff>
    </xdr:to>
    <xdr:sp macro="" textlink="">
      <xdr:nvSpPr>
        <xdr:cNvPr id="1591" name="AutoShape 298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619125</xdr:colOff>
      <xdr:row>139</xdr:row>
      <xdr:rowOff>104775</xdr:rowOff>
    </xdr:to>
    <xdr:sp macro="" textlink="">
      <xdr:nvSpPr>
        <xdr:cNvPr id="1592" name="AutoShape 272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647700</xdr:colOff>
      <xdr:row>139</xdr:row>
      <xdr:rowOff>104775</xdr:rowOff>
    </xdr:to>
    <xdr:sp macro="" textlink="">
      <xdr:nvSpPr>
        <xdr:cNvPr id="1593" name="AutoShape 273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647700</xdr:colOff>
      <xdr:row>139</xdr:row>
      <xdr:rowOff>104775</xdr:rowOff>
    </xdr:to>
    <xdr:sp macro="" textlink="">
      <xdr:nvSpPr>
        <xdr:cNvPr id="1594" name="AutoShape 295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647700</xdr:colOff>
      <xdr:row>139</xdr:row>
      <xdr:rowOff>104775</xdr:rowOff>
    </xdr:to>
    <xdr:sp macro="" textlink="">
      <xdr:nvSpPr>
        <xdr:cNvPr id="1595" name="AutoShape 296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647700</xdr:colOff>
      <xdr:row>139</xdr:row>
      <xdr:rowOff>104775</xdr:rowOff>
    </xdr:to>
    <xdr:sp macro="" textlink="">
      <xdr:nvSpPr>
        <xdr:cNvPr id="1596" name="AutoShape 297"/>
        <xdr:cNvSpPr>
          <a:spLocks noRo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139</xdr:row>
      <xdr:rowOff>104775</xdr:rowOff>
    </xdr:from>
    <xdr:to>
      <xdr:col>8</xdr:col>
      <xdr:colOff>647700</xdr:colOff>
      <xdr:row>139</xdr:row>
      <xdr:rowOff>104775</xdr:rowOff>
    </xdr:to>
    <xdr:sp macro="" textlink="">
      <xdr:nvSpPr>
        <xdr:cNvPr id="1597" name="AutoShape 298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98" name="AutoShape 272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99" name="AutoShape 273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600" name="AutoShape 295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601" name="AutoShape 296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602" name="AutoShape 297"/>
        <xdr:cNvSpPr>
          <a:spLocks noRo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603" name="AutoShape 298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604" name="AutoShape 272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605" name="AutoShape 273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606" name="AutoShape 295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607" name="AutoShape 296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608" name="AutoShape 297"/>
        <xdr:cNvSpPr>
          <a:spLocks noRo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609" name="AutoShape 298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610" name="AutoShape 272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611" name="AutoShape 273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612" name="AutoShape 295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613" name="AutoShape 296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614" name="AutoShape 297"/>
        <xdr:cNvSpPr>
          <a:spLocks noRo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615" name="AutoShape 298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616" name="AutoShape 272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617" name="AutoShape 273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618" name="AutoShape 295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619" name="AutoShape 296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620" name="AutoShape 297"/>
        <xdr:cNvSpPr>
          <a:spLocks noRo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621" name="AutoShape 298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622" name="AutoShape 272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623" name="AutoShape 273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624" name="AutoShape 295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625" name="AutoShape 296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626" name="AutoShape 297"/>
        <xdr:cNvSpPr>
          <a:spLocks noRo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627" name="AutoShape 298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628" name="AutoShape 272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629" name="AutoShape 273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630" name="AutoShape 295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631" name="AutoShape 296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632" name="AutoShape 297"/>
        <xdr:cNvSpPr>
          <a:spLocks noRo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633" name="AutoShape 298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634" name="AutoShape 272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35" name="AutoShape 273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36" name="AutoShape 295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37" name="AutoShape 296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38" name="AutoShape 297"/>
        <xdr:cNvSpPr>
          <a:spLocks noRo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39" name="AutoShape 298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640" name="AutoShape 272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41" name="AutoShape 273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42" name="AutoShape 295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43" name="AutoShape 296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44" name="AutoShape 297"/>
        <xdr:cNvSpPr>
          <a:spLocks noRo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45" name="AutoShape 298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646" name="AutoShape 272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47" name="AutoShape 273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48" name="AutoShape 295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49" name="AutoShape 296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50" name="AutoShape 297"/>
        <xdr:cNvSpPr>
          <a:spLocks noRo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51" name="AutoShape 298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652" name="AutoShape 272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53" name="AutoShape 273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54" name="AutoShape 295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55" name="AutoShape 296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56" name="AutoShape 297"/>
        <xdr:cNvSpPr>
          <a:spLocks noRo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57" name="AutoShape 298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658" name="AutoShape 272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59" name="AutoShape 273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60" name="AutoShape 295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61" name="AutoShape 296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62" name="AutoShape 297"/>
        <xdr:cNvSpPr>
          <a:spLocks noRo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63" name="AutoShape 298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64" name="AutoShape 272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65" name="AutoShape 273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66" name="AutoShape 295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67" name="AutoShape 296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68" name="AutoShape 297"/>
        <xdr:cNvSpPr>
          <a:spLocks noRo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69" name="AutoShape 298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70" name="AutoShape 272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71" name="AutoShape 273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72" name="AutoShape 295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73" name="AutoShape 296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74" name="AutoShape 297"/>
        <xdr:cNvSpPr>
          <a:spLocks noRo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75" name="AutoShape 298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76" name="AutoShape 272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77" name="AutoShape 273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78" name="AutoShape 295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79" name="AutoShape 296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80" name="AutoShape 297"/>
        <xdr:cNvSpPr>
          <a:spLocks noRo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81" name="AutoShape 298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82" name="AutoShape 272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83" name="AutoShape 273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84" name="AutoShape 295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85" name="AutoShape 296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86" name="AutoShape 297"/>
        <xdr:cNvSpPr>
          <a:spLocks noRo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87" name="AutoShape 298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88" name="AutoShape 272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89" name="AutoShape 273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90" name="AutoShape 295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91" name="AutoShape 296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92" name="AutoShape 297"/>
        <xdr:cNvSpPr>
          <a:spLocks noRo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93" name="AutoShape 298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94" name="AutoShape 272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95" name="AutoShape 273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96" name="AutoShape 295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97" name="AutoShape 296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98" name="AutoShape 297"/>
        <xdr:cNvSpPr>
          <a:spLocks noRo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99" name="AutoShape 298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700" name="AutoShape 272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701" name="AutoShape 273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702" name="AutoShape 295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703" name="AutoShape 296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704" name="AutoShape 297"/>
        <xdr:cNvSpPr>
          <a:spLocks noRo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705" name="AutoShape 298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706" name="AutoShape 272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07" name="AutoShape 273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08" name="AutoShape 295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09" name="AutoShape 296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10" name="AutoShape 297"/>
        <xdr:cNvSpPr>
          <a:spLocks noRo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11" name="AutoShape 298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712" name="AutoShape 272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713" name="AutoShape 273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714" name="AutoShape 295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715" name="AutoShape 296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716" name="AutoShape 297"/>
        <xdr:cNvSpPr>
          <a:spLocks noRo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717" name="AutoShape 298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718" name="AutoShape 272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19" name="AutoShape 273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20" name="AutoShape 295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21" name="AutoShape 296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22" name="AutoShape 297"/>
        <xdr:cNvSpPr>
          <a:spLocks noRo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723" name="AutoShape 298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619125</xdr:colOff>
      <xdr:row>137</xdr:row>
      <xdr:rowOff>104775</xdr:rowOff>
    </xdr:to>
    <xdr:sp macro="" textlink="">
      <xdr:nvSpPr>
        <xdr:cNvPr id="1724" name="AutoShape 272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725" name="AutoShape 273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726" name="AutoShape 295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727" name="AutoShape 296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728" name="AutoShape 297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104775</xdr:rowOff>
    </xdr:from>
    <xdr:to>
      <xdr:col>10</xdr:col>
      <xdr:colOff>647700</xdr:colOff>
      <xdr:row>137</xdr:row>
      <xdr:rowOff>104775</xdr:rowOff>
    </xdr:to>
    <xdr:sp macro="" textlink="">
      <xdr:nvSpPr>
        <xdr:cNvPr id="1729" name="AutoShape 298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619125</xdr:colOff>
      <xdr:row>138</xdr:row>
      <xdr:rowOff>104775</xdr:rowOff>
    </xdr:to>
    <xdr:sp macro="" textlink="">
      <xdr:nvSpPr>
        <xdr:cNvPr id="1748" name="AutoShape 272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647700</xdr:colOff>
      <xdr:row>138</xdr:row>
      <xdr:rowOff>104775</xdr:rowOff>
    </xdr:to>
    <xdr:sp macro="" textlink="">
      <xdr:nvSpPr>
        <xdr:cNvPr id="1749" name="AutoShape 273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647700</xdr:colOff>
      <xdr:row>138</xdr:row>
      <xdr:rowOff>104775</xdr:rowOff>
    </xdr:to>
    <xdr:sp macro="" textlink="">
      <xdr:nvSpPr>
        <xdr:cNvPr id="1750" name="AutoShape 295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647700</xdr:colOff>
      <xdr:row>138</xdr:row>
      <xdr:rowOff>104775</xdr:rowOff>
    </xdr:to>
    <xdr:sp macro="" textlink="">
      <xdr:nvSpPr>
        <xdr:cNvPr id="1751" name="AutoShape 296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647700</xdr:colOff>
      <xdr:row>138</xdr:row>
      <xdr:rowOff>104775</xdr:rowOff>
    </xdr:to>
    <xdr:sp macro="" textlink="">
      <xdr:nvSpPr>
        <xdr:cNvPr id="1752" name="AutoShape 297"/>
        <xdr:cNvSpPr>
          <a:spLocks noRo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138</xdr:row>
      <xdr:rowOff>104775</xdr:rowOff>
    </xdr:from>
    <xdr:to>
      <xdr:col>10</xdr:col>
      <xdr:colOff>647700</xdr:colOff>
      <xdr:row>138</xdr:row>
      <xdr:rowOff>104775</xdr:rowOff>
    </xdr:to>
    <xdr:sp macro="" textlink="">
      <xdr:nvSpPr>
        <xdr:cNvPr id="1753" name="AutoShape 298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619125</xdr:colOff>
      <xdr:row>139</xdr:row>
      <xdr:rowOff>104775</xdr:rowOff>
    </xdr:to>
    <xdr:sp macro="" textlink="">
      <xdr:nvSpPr>
        <xdr:cNvPr id="1754" name="AutoShape 272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647700</xdr:colOff>
      <xdr:row>139</xdr:row>
      <xdr:rowOff>104775</xdr:rowOff>
    </xdr:to>
    <xdr:sp macro="" textlink="">
      <xdr:nvSpPr>
        <xdr:cNvPr id="1755" name="AutoShape 273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647700</xdr:colOff>
      <xdr:row>139</xdr:row>
      <xdr:rowOff>104775</xdr:rowOff>
    </xdr:to>
    <xdr:sp macro="" textlink="">
      <xdr:nvSpPr>
        <xdr:cNvPr id="1756" name="AutoShape 295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647700</xdr:colOff>
      <xdr:row>139</xdr:row>
      <xdr:rowOff>104775</xdr:rowOff>
    </xdr:to>
    <xdr:sp macro="" textlink="">
      <xdr:nvSpPr>
        <xdr:cNvPr id="1757" name="AutoShape 296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647700</xdr:colOff>
      <xdr:row>139</xdr:row>
      <xdr:rowOff>104775</xdr:rowOff>
    </xdr:to>
    <xdr:sp macro="" textlink="">
      <xdr:nvSpPr>
        <xdr:cNvPr id="1758" name="AutoShape 297"/>
        <xdr:cNvSpPr>
          <a:spLocks noRo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139</xdr:row>
      <xdr:rowOff>104775</xdr:rowOff>
    </xdr:from>
    <xdr:to>
      <xdr:col>10</xdr:col>
      <xdr:colOff>647700</xdr:colOff>
      <xdr:row>139</xdr:row>
      <xdr:rowOff>104775</xdr:rowOff>
    </xdr:to>
    <xdr:sp macro="" textlink="">
      <xdr:nvSpPr>
        <xdr:cNvPr id="1759" name="AutoShape 298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760" name="AutoShape 272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61" name="AutoShape 273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62" name="AutoShape 295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63" name="AutoShape 296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64" name="AutoShape 297"/>
        <xdr:cNvSpPr>
          <a:spLocks noRo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65" name="AutoShape 298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66" name="AutoShape 272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67" name="AutoShape 273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68" name="AutoShape 295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69" name="AutoShape 296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70" name="AutoShape 297"/>
        <xdr:cNvSpPr>
          <a:spLocks noRo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71" name="AutoShape 298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72" name="AutoShape 272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73" name="AutoShape 273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74" name="AutoShape 295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75" name="AutoShape 296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76" name="AutoShape 297"/>
        <xdr:cNvSpPr>
          <a:spLocks noRo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77" name="AutoShape 298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78" name="AutoShape 272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79" name="AutoShape 273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80" name="AutoShape 295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81" name="AutoShape 296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82" name="AutoShape 297"/>
        <xdr:cNvSpPr>
          <a:spLocks noRo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83" name="AutoShape 298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84" name="AutoShape 272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85" name="AutoShape 273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86" name="AutoShape 295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87" name="AutoShape 296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88" name="AutoShape 297"/>
        <xdr:cNvSpPr>
          <a:spLocks noRo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89" name="AutoShape 298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90" name="AutoShape 272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91" name="AutoShape 273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92" name="AutoShape 295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93" name="AutoShape 296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94" name="AutoShape 297"/>
        <xdr:cNvSpPr>
          <a:spLocks noRo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95" name="AutoShape 298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96" name="AutoShape 272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97" name="AutoShape 273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98" name="AutoShape 295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99" name="AutoShape 296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800" name="AutoShape 297"/>
        <xdr:cNvSpPr>
          <a:spLocks noRo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801" name="AutoShape 298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802" name="AutoShape 272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803" name="AutoShape 273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804" name="AutoShape 295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805" name="AutoShape 296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806" name="AutoShape 297"/>
        <xdr:cNvSpPr>
          <a:spLocks noRo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807" name="AutoShape 298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808" name="AutoShape 272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809" name="AutoShape 273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810" name="AutoShape 295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811" name="AutoShape 296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812" name="AutoShape 297"/>
        <xdr:cNvSpPr>
          <a:spLocks noRo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813" name="AutoShape 298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814" name="AutoShape 272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815" name="AutoShape 273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816" name="AutoShape 295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817" name="AutoShape 296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818" name="AutoShape 297"/>
        <xdr:cNvSpPr>
          <a:spLocks noRo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819" name="AutoShape 298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820" name="AutoShape 272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821" name="AutoShape 273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822" name="AutoShape 295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823" name="AutoShape 296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824" name="AutoShape 297"/>
        <xdr:cNvSpPr>
          <a:spLocks noRo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825" name="AutoShape 298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826" name="AutoShape 272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827" name="AutoShape 273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828" name="AutoShape 295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829" name="AutoShape 296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830" name="AutoShape 297"/>
        <xdr:cNvSpPr>
          <a:spLocks noRo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831" name="AutoShape 298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832" name="AutoShape 272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33" name="AutoShape 273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34" name="AutoShape 295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35" name="AutoShape 296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36" name="AutoShape 297"/>
        <xdr:cNvSpPr>
          <a:spLocks noRo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37" name="AutoShape 298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838" name="AutoShape 272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39" name="AutoShape 273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40" name="AutoShape 295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41" name="AutoShape 296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42" name="AutoShape 297"/>
        <xdr:cNvSpPr>
          <a:spLocks noRo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43" name="AutoShape 298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844" name="AutoShape 272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45" name="AutoShape 273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46" name="AutoShape 295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47" name="AutoShape 296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48" name="AutoShape 297"/>
        <xdr:cNvSpPr>
          <a:spLocks noRo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49" name="AutoShape 298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850" name="AutoShape 272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51" name="AutoShape 273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52" name="AutoShape 295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53" name="AutoShape 296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54" name="AutoShape 297"/>
        <xdr:cNvSpPr>
          <a:spLocks noRo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55" name="AutoShape 298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856" name="AutoShape 272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57" name="AutoShape 273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58" name="AutoShape 295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59" name="AutoShape 296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60" name="AutoShape 297"/>
        <xdr:cNvSpPr>
          <a:spLocks noRo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61" name="AutoShape 298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62" name="AutoShape 272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63" name="AutoShape 273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64" name="AutoShape 295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65" name="AutoShape 296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66" name="AutoShape 297"/>
        <xdr:cNvSpPr>
          <a:spLocks noRo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67" name="AutoShape 298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68" name="AutoShape 272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69" name="AutoShape 273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70" name="AutoShape 295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71" name="AutoShape 296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72" name="AutoShape 297"/>
        <xdr:cNvSpPr>
          <a:spLocks noRo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73" name="AutoShape 298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74" name="AutoShape 272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75" name="AutoShape 273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76" name="AutoShape 295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77" name="AutoShape 296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78" name="AutoShape 297"/>
        <xdr:cNvSpPr>
          <a:spLocks noRo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79" name="AutoShape 298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80" name="AutoShape 272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81" name="AutoShape 273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82" name="AutoShape 295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83" name="AutoShape 296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84" name="AutoShape 297"/>
        <xdr:cNvSpPr>
          <a:spLocks noRo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85" name="AutoShape 298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619125</xdr:colOff>
      <xdr:row>137</xdr:row>
      <xdr:rowOff>104775</xdr:rowOff>
    </xdr:to>
    <xdr:sp macro="" textlink="">
      <xdr:nvSpPr>
        <xdr:cNvPr id="1886" name="AutoShape 272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647700</xdr:colOff>
      <xdr:row>137</xdr:row>
      <xdr:rowOff>104775</xdr:rowOff>
    </xdr:to>
    <xdr:sp macro="" textlink="">
      <xdr:nvSpPr>
        <xdr:cNvPr id="1887" name="AutoShape 273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647700</xdr:colOff>
      <xdr:row>137</xdr:row>
      <xdr:rowOff>104775</xdr:rowOff>
    </xdr:to>
    <xdr:sp macro="" textlink="">
      <xdr:nvSpPr>
        <xdr:cNvPr id="1888" name="AutoShape 295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647700</xdr:colOff>
      <xdr:row>137</xdr:row>
      <xdr:rowOff>104775</xdr:rowOff>
    </xdr:to>
    <xdr:sp macro="" textlink="">
      <xdr:nvSpPr>
        <xdr:cNvPr id="1889" name="AutoShape 296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647700</xdr:colOff>
      <xdr:row>137</xdr:row>
      <xdr:rowOff>104775</xdr:rowOff>
    </xdr:to>
    <xdr:sp macro="" textlink="">
      <xdr:nvSpPr>
        <xdr:cNvPr id="1890" name="AutoShape 297"/>
        <xdr:cNvSpPr>
          <a:spLocks noRo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137</xdr:row>
      <xdr:rowOff>104775</xdr:rowOff>
    </xdr:from>
    <xdr:to>
      <xdr:col>12</xdr:col>
      <xdr:colOff>647700</xdr:colOff>
      <xdr:row>137</xdr:row>
      <xdr:rowOff>104775</xdr:rowOff>
    </xdr:to>
    <xdr:sp macro="" textlink="">
      <xdr:nvSpPr>
        <xdr:cNvPr id="1891" name="AutoShape 298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619125</xdr:colOff>
      <xdr:row>138</xdr:row>
      <xdr:rowOff>104775</xdr:rowOff>
    </xdr:to>
    <xdr:sp macro="" textlink="">
      <xdr:nvSpPr>
        <xdr:cNvPr id="1910" name="AutoShape 272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647700</xdr:colOff>
      <xdr:row>138</xdr:row>
      <xdr:rowOff>104775</xdr:rowOff>
    </xdr:to>
    <xdr:sp macro="" textlink="">
      <xdr:nvSpPr>
        <xdr:cNvPr id="1911" name="AutoShape 273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647700</xdr:colOff>
      <xdr:row>138</xdr:row>
      <xdr:rowOff>104775</xdr:rowOff>
    </xdr:to>
    <xdr:sp macro="" textlink="">
      <xdr:nvSpPr>
        <xdr:cNvPr id="1912" name="AutoShape 295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647700</xdr:colOff>
      <xdr:row>138</xdr:row>
      <xdr:rowOff>104775</xdr:rowOff>
    </xdr:to>
    <xdr:sp macro="" textlink="">
      <xdr:nvSpPr>
        <xdr:cNvPr id="1913" name="AutoShape 296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647700</xdr:colOff>
      <xdr:row>138</xdr:row>
      <xdr:rowOff>104775</xdr:rowOff>
    </xdr:to>
    <xdr:sp macro="" textlink="">
      <xdr:nvSpPr>
        <xdr:cNvPr id="1914" name="AutoShape 297"/>
        <xdr:cNvSpPr>
          <a:spLocks noRo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138</xdr:row>
      <xdr:rowOff>104775</xdr:rowOff>
    </xdr:from>
    <xdr:to>
      <xdr:col>12</xdr:col>
      <xdr:colOff>647700</xdr:colOff>
      <xdr:row>138</xdr:row>
      <xdr:rowOff>104775</xdr:rowOff>
    </xdr:to>
    <xdr:sp macro="" textlink="">
      <xdr:nvSpPr>
        <xdr:cNvPr id="1915" name="AutoShape 298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619125</xdr:colOff>
      <xdr:row>139</xdr:row>
      <xdr:rowOff>104775</xdr:rowOff>
    </xdr:to>
    <xdr:sp macro="" textlink="">
      <xdr:nvSpPr>
        <xdr:cNvPr id="1916" name="AutoShape 272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647700</xdr:colOff>
      <xdr:row>139</xdr:row>
      <xdr:rowOff>104775</xdr:rowOff>
    </xdr:to>
    <xdr:sp macro="" textlink="">
      <xdr:nvSpPr>
        <xdr:cNvPr id="1917" name="AutoShape 273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647700</xdr:colOff>
      <xdr:row>139</xdr:row>
      <xdr:rowOff>104775</xdr:rowOff>
    </xdr:to>
    <xdr:sp macro="" textlink="">
      <xdr:nvSpPr>
        <xdr:cNvPr id="1918" name="AutoShape 295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647700</xdr:colOff>
      <xdr:row>139</xdr:row>
      <xdr:rowOff>104775</xdr:rowOff>
    </xdr:to>
    <xdr:sp macro="" textlink="">
      <xdr:nvSpPr>
        <xdr:cNvPr id="1919" name="AutoShape 296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647700</xdr:colOff>
      <xdr:row>139</xdr:row>
      <xdr:rowOff>104775</xdr:rowOff>
    </xdr:to>
    <xdr:sp macro="" textlink="">
      <xdr:nvSpPr>
        <xdr:cNvPr id="1920" name="AutoShape 297"/>
        <xdr:cNvSpPr>
          <a:spLocks noRo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139</xdr:row>
      <xdr:rowOff>104775</xdr:rowOff>
    </xdr:from>
    <xdr:to>
      <xdr:col>12</xdr:col>
      <xdr:colOff>647700</xdr:colOff>
      <xdr:row>139</xdr:row>
      <xdr:rowOff>104775</xdr:rowOff>
    </xdr:to>
    <xdr:sp macro="" textlink="">
      <xdr:nvSpPr>
        <xdr:cNvPr id="1921" name="AutoShape 298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922" name="AutoShape 272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923" name="AutoShape 273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924" name="AutoShape 295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925" name="AutoShape 296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926" name="AutoShape 297"/>
        <xdr:cNvSpPr>
          <a:spLocks noRo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927" name="AutoShape 298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928" name="AutoShape 272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929" name="AutoShape 273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930" name="AutoShape 295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931" name="AutoShape 296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932" name="AutoShape 297"/>
        <xdr:cNvSpPr>
          <a:spLocks noRo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933" name="AutoShape 298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934" name="AutoShape 272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35" name="AutoShape 273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36" name="AutoShape 295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37" name="AutoShape 296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38" name="AutoShape 297"/>
        <xdr:cNvSpPr>
          <a:spLocks noRo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39" name="AutoShape 298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940" name="AutoShape 272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41" name="AutoShape 273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42" name="AutoShape 295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43" name="AutoShape 296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44" name="AutoShape 297"/>
        <xdr:cNvSpPr>
          <a:spLocks noRo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45" name="AutoShape 298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946" name="AutoShape 272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47" name="AutoShape 273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48" name="AutoShape 295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49" name="AutoShape 296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50" name="AutoShape 297"/>
        <xdr:cNvSpPr>
          <a:spLocks noRo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51" name="AutoShape 298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952" name="AutoShape 272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53" name="AutoShape 273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54" name="AutoShape 295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55" name="AutoShape 296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56" name="AutoShape 297"/>
        <xdr:cNvSpPr>
          <a:spLocks noRo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57" name="AutoShape 298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958" name="AutoShape 272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59" name="AutoShape 273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60" name="AutoShape 295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61" name="AutoShape 296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62" name="AutoShape 297"/>
        <xdr:cNvSpPr>
          <a:spLocks noRo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63" name="AutoShape 298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64" name="AutoShape 272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65" name="AutoShape 273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66" name="AutoShape 295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67" name="AutoShape 296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68" name="AutoShape 297"/>
        <xdr:cNvSpPr>
          <a:spLocks noRo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69" name="AutoShape 298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70" name="AutoShape 272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71" name="AutoShape 273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72" name="AutoShape 295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73" name="AutoShape 296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74" name="AutoShape 297"/>
        <xdr:cNvSpPr>
          <a:spLocks noRo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75" name="AutoShape 298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76" name="AutoShape 272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77" name="AutoShape 273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78" name="AutoShape 295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79" name="AutoShape 296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80" name="AutoShape 297"/>
        <xdr:cNvSpPr>
          <a:spLocks noRo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81" name="AutoShape 298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82" name="AutoShape 272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83" name="AutoShape 273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84" name="AutoShape 295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85" name="AutoShape 296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86" name="AutoShape 297"/>
        <xdr:cNvSpPr>
          <a:spLocks noRo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87" name="AutoShape 298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88" name="AutoShape 272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89" name="AutoShape 273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90" name="AutoShape 295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91" name="AutoShape 296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92" name="AutoShape 297"/>
        <xdr:cNvSpPr>
          <a:spLocks noRo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93" name="AutoShape 298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94" name="AutoShape 272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95" name="AutoShape 273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96" name="AutoShape 295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97" name="AutoShape 296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98" name="AutoShape 297"/>
        <xdr:cNvSpPr>
          <a:spLocks noRo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99" name="AutoShape 298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2000" name="AutoShape 272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001" name="AutoShape 273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002" name="AutoShape 295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003" name="AutoShape 296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004" name="AutoShape 297"/>
        <xdr:cNvSpPr>
          <a:spLocks noRo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005" name="AutoShape 298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2006" name="AutoShape 272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007" name="AutoShape 273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008" name="AutoShape 295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009" name="AutoShape 296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010" name="AutoShape 297"/>
        <xdr:cNvSpPr>
          <a:spLocks noRo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011" name="AutoShape 298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2012" name="AutoShape 272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013" name="AutoShape 273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014" name="AutoShape 295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015" name="AutoShape 296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016" name="AutoShape 297"/>
        <xdr:cNvSpPr>
          <a:spLocks noRo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017" name="AutoShape 298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2018" name="AutoShape 272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019" name="AutoShape 273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020" name="AutoShape 295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021" name="AutoShape 296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022" name="AutoShape 297"/>
        <xdr:cNvSpPr>
          <a:spLocks noRo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023" name="AutoShape 298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2024" name="AutoShape 272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025" name="AutoShape 273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026" name="AutoShape 295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027" name="AutoShape 296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028" name="AutoShape 297"/>
        <xdr:cNvSpPr>
          <a:spLocks noRo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029" name="AutoShape 298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2030" name="AutoShape 272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31" name="AutoShape 273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32" name="AutoShape 295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33" name="AutoShape 296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34" name="AutoShape 297"/>
        <xdr:cNvSpPr>
          <a:spLocks noRo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35" name="AutoShape 298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2036" name="AutoShape 272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37" name="AutoShape 273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38" name="AutoShape 295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39" name="AutoShape 296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40" name="AutoShape 297"/>
        <xdr:cNvSpPr>
          <a:spLocks noRo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41" name="AutoShape 298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2042" name="AutoShape 272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43" name="AutoShape 273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44" name="AutoShape 295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45" name="AutoShape 296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46" name="AutoShape 297"/>
        <xdr:cNvSpPr>
          <a:spLocks noRo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047" name="AutoShape 298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%20ESTAD&#205;STICO%20SPET/INDICADORES%20TURISTICOS%20DE%20TENERIFE/2012/Indicadores%20Tur&#237;sticos%20Plantilla%20201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UALIZACIÓN"/>
      <sheetName val="Ind turísticos (vinculo)"/>
      <sheetName val="TTDD DATOS"/>
      <sheetName val="Estimación Turismo nacional"/>
      <sheetName val="gasto"/>
      <sheetName val="Hoja1"/>
      <sheetName val="Hoja2"/>
      <sheetName val="plazas autorizadas"/>
      <sheetName val="cruceros"/>
    </sheetNames>
    <sheetDataSet>
      <sheetData sheetId="0">
        <row r="1">
          <cell r="R1" t="str">
            <v>enero</v>
          </cell>
        </row>
        <row r="2">
          <cell r="R2" t="str">
            <v>febrero</v>
          </cell>
        </row>
        <row r="3">
          <cell r="R3" t="str">
            <v>marzo</v>
          </cell>
        </row>
        <row r="4">
          <cell r="R4" t="str">
            <v>abril</v>
          </cell>
        </row>
        <row r="5">
          <cell r="R5" t="str">
            <v>mayo</v>
          </cell>
        </row>
        <row r="6">
          <cell r="R6" t="str">
            <v>junio</v>
          </cell>
        </row>
        <row r="7">
          <cell r="R7" t="str">
            <v>julio</v>
          </cell>
        </row>
        <row r="8">
          <cell r="R8" t="str">
            <v>agosto</v>
          </cell>
        </row>
        <row r="9">
          <cell r="R9" t="str">
            <v>septiembre</v>
          </cell>
        </row>
        <row r="10">
          <cell r="R10" t="str">
            <v>octubre</v>
          </cell>
        </row>
        <row r="11">
          <cell r="R11" t="str">
            <v>noviembre</v>
          </cell>
        </row>
        <row r="12">
          <cell r="R12" t="str">
            <v>diciembre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tabColor theme="5" tint="0.39997558519241921"/>
  </sheetPr>
  <dimension ref="B1:R299"/>
  <sheetViews>
    <sheetView showGridLines="0" tabSelected="1" showRuler="0" zoomScaleNormal="100" workbookViewId="0">
      <selection activeCell="A139" sqref="A139:XFD141"/>
    </sheetView>
  </sheetViews>
  <sheetFormatPr baseColWidth="10" defaultRowHeight="12.75"/>
  <cols>
    <col min="1" max="1" width="2.85546875" style="7" customWidth="1"/>
    <col min="2" max="2" width="2.85546875" style="57" customWidth="1"/>
    <col min="3" max="3" width="12" style="57" customWidth="1"/>
    <col min="4" max="4" width="15" style="7" customWidth="1"/>
    <col min="5" max="6" width="16.140625" style="7" customWidth="1"/>
    <col min="7" max="7" width="15.42578125" style="7" customWidth="1"/>
    <col min="8" max="8" width="16" style="7" customWidth="1"/>
    <col min="9" max="11" width="16.140625" style="7" customWidth="1"/>
    <col min="12" max="12" width="15.7109375" style="7" customWidth="1"/>
    <col min="13" max="13" width="18.7109375" style="7" customWidth="1"/>
    <col min="14" max="14" width="12.140625" style="7" bestFit="1" customWidth="1"/>
    <col min="15" max="17" width="8.85546875" style="7" customWidth="1"/>
    <col min="18" max="18" width="14.42578125" style="7" customWidth="1"/>
    <col min="19" max="16384" width="11.42578125" style="7"/>
  </cols>
  <sheetData>
    <row r="1" spans="3:13" ht="30.75" customHeight="1" thickBot="1">
      <c r="C1" s="1"/>
      <c r="D1" s="2"/>
      <c r="E1" s="3" t="s">
        <v>90</v>
      </c>
      <c r="F1" s="4"/>
      <c r="G1" s="4"/>
      <c r="H1" s="4"/>
      <c r="I1" s="4"/>
      <c r="J1" s="4"/>
      <c r="K1" s="5"/>
      <c r="L1" s="2"/>
      <c r="M1" s="6"/>
    </row>
    <row r="2" spans="3:13" ht="15" customHeight="1">
      <c r="C2" s="8"/>
      <c r="D2" s="9"/>
      <c r="E2" s="10" t="s">
        <v>0</v>
      </c>
      <c r="F2" s="10"/>
      <c r="G2" s="11"/>
      <c r="H2" s="12"/>
      <c r="I2" s="13" t="s">
        <v>92</v>
      </c>
      <c r="J2" s="13"/>
      <c r="K2" s="14"/>
      <c r="L2" s="8"/>
      <c r="M2" s="15"/>
    </row>
    <row r="3" spans="3:13" ht="16.5" customHeight="1" thickBot="1">
      <c r="C3" s="16"/>
      <c r="D3" s="17"/>
      <c r="E3" s="18" t="s">
        <v>91</v>
      </c>
      <c r="F3" s="18"/>
      <c r="G3" s="19"/>
      <c r="H3" s="12"/>
      <c r="I3" s="18"/>
      <c r="J3" s="18"/>
      <c r="K3" s="19"/>
      <c r="L3" s="16"/>
      <c r="M3" s="20"/>
    </row>
    <row r="4" spans="3:13" ht="64.5" thickBot="1">
      <c r="C4" s="21" t="s">
        <v>1</v>
      </c>
      <c r="D4" s="22"/>
      <c r="E4" s="23" t="s">
        <v>2</v>
      </c>
      <c r="F4" s="24" t="s">
        <v>3</v>
      </c>
      <c r="G4" s="24" t="s">
        <v>4</v>
      </c>
      <c r="H4" s="25"/>
      <c r="I4" s="26" t="s">
        <v>3</v>
      </c>
      <c r="J4" s="27" t="s">
        <v>5</v>
      </c>
      <c r="K4" s="27" t="s">
        <v>6</v>
      </c>
      <c r="L4" s="26" t="s">
        <v>1</v>
      </c>
      <c r="M4" s="27" t="s">
        <v>7</v>
      </c>
    </row>
    <row r="5" spans="3:13" ht="13.5" thickBot="1">
      <c r="C5" s="28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3:13" ht="20.100000000000001" customHeight="1" thickBot="1">
      <c r="C6" s="3" t="s">
        <v>8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spans="3:13" ht="24.75" customHeight="1" thickBot="1">
      <c r="C7" s="31" t="s">
        <v>9</v>
      </c>
      <c r="D7" s="32"/>
      <c r="E7" s="33">
        <v>2.541285420489392E-2</v>
      </c>
      <c r="F7" s="34" t="s">
        <v>10</v>
      </c>
      <c r="G7" s="35">
        <v>416333</v>
      </c>
      <c r="H7" s="36"/>
      <c r="I7" s="34" t="s">
        <v>10</v>
      </c>
      <c r="J7" s="35">
        <v>5160203</v>
      </c>
      <c r="K7" s="33">
        <v>6.8072009231421982E-2</v>
      </c>
      <c r="L7" s="37" t="s">
        <v>9</v>
      </c>
      <c r="M7" s="38" t="s">
        <v>11</v>
      </c>
    </row>
    <row r="8" spans="3:13" ht="24.75" customHeight="1" thickBot="1">
      <c r="C8" s="39"/>
      <c r="D8" s="37"/>
      <c r="E8" s="33">
        <v>3.2247198020419532E-2</v>
      </c>
      <c r="F8" s="40" t="s">
        <v>12</v>
      </c>
      <c r="G8" s="41">
        <v>248209</v>
      </c>
      <c r="H8" s="36"/>
      <c r="I8" s="40" t="s">
        <v>12</v>
      </c>
      <c r="J8" s="41">
        <v>3189953</v>
      </c>
      <c r="K8" s="33">
        <v>8.5679405379263329E-2</v>
      </c>
      <c r="L8" s="37"/>
      <c r="M8" s="38"/>
    </row>
    <row r="9" spans="3:13" ht="24.75" customHeight="1" thickBot="1">
      <c r="C9" s="42"/>
      <c r="D9" s="43"/>
      <c r="E9" s="33">
        <v>1.5486832568253117E-2</v>
      </c>
      <c r="F9" s="40" t="s">
        <v>13</v>
      </c>
      <c r="G9" s="41">
        <v>168124</v>
      </c>
      <c r="H9" s="36"/>
      <c r="I9" s="40" t="s">
        <v>13</v>
      </c>
      <c r="J9" s="41">
        <v>1970250</v>
      </c>
      <c r="K9" s="33">
        <v>4.0744465737968527E-2</v>
      </c>
      <c r="L9" s="43"/>
      <c r="M9" s="44"/>
    </row>
    <row r="10" spans="3:13" ht="24.75" customHeight="1" thickBot="1">
      <c r="C10" s="31" t="s">
        <v>14</v>
      </c>
      <c r="D10" s="32"/>
      <c r="E10" s="45">
        <v>-7.5252825698988723E-2</v>
      </c>
      <c r="F10" s="34" t="s">
        <v>10</v>
      </c>
      <c r="G10" s="41">
        <v>12436</v>
      </c>
      <c r="H10" s="36"/>
      <c r="I10" s="40" t="s">
        <v>10</v>
      </c>
      <c r="J10" s="41">
        <v>154803</v>
      </c>
      <c r="K10" s="45">
        <v>-4.1813281184667206E-3</v>
      </c>
      <c r="L10" s="32" t="s">
        <v>14</v>
      </c>
      <c r="M10" s="46" t="s">
        <v>11</v>
      </c>
    </row>
    <row r="11" spans="3:13" ht="24.75" customHeight="1" thickBot="1">
      <c r="C11" s="42"/>
      <c r="D11" s="43"/>
      <c r="E11" s="45">
        <v>-7.5252825698988723E-2</v>
      </c>
      <c r="F11" s="40" t="s">
        <v>12</v>
      </c>
      <c r="G11" s="41">
        <v>12436</v>
      </c>
      <c r="H11" s="36"/>
      <c r="I11" s="40" t="s">
        <v>12</v>
      </c>
      <c r="J11" s="41">
        <v>154803</v>
      </c>
      <c r="K11" s="45">
        <v>-4.1813281184667206E-3</v>
      </c>
      <c r="L11" s="43"/>
      <c r="M11" s="44"/>
    </row>
    <row r="12" spans="3:13" ht="24.75" customHeight="1" thickBot="1">
      <c r="C12" s="31" t="s">
        <v>15</v>
      </c>
      <c r="D12" s="32"/>
      <c r="E12" s="45">
        <v>-0.61965714285714291</v>
      </c>
      <c r="F12" s="34" t="s">
        <v>10</v>
      </c>
      <c r="G12" s="41">
        <v>1664</v>
      </c>
      <c r="H12" s="36"/>
      <c r="I12" s="40" t="s">
        <v>10</v>
      </c>
      <c r="J12" s="41">
        <v>32170</v>
      </c>
      <c r="K12" s="45">
        <v>-0.28021658388150539</v>
      </c>
      <c r="L12" s="32" t="s">
        <v>15</v>
      </c>
      <c r="M12" s="46" t="s">
        <v>11</v>
      </c>
    </row>
    <row r="13" spans="3:13" ht="24.75" customHeight="1" thickBot="1">
      <c r="C13" s="39"/>
      <c r="D13" s="37"/>
      <c r="E13" s="45">
        <v>-0.76336779911373709</v>
      </c>
      <c r="F13" s="40" t="s">
        <v>12</v>
      </c>
      <c r="G13" s="41">
        <v>801</v>
      </c>
      <c r="H13" s="36"/>
      <c r="I13" s="40" t="s">
        <v>12</v>
      </c>
      <c r="J13" s="41">
        <v>19796</v>
      </c>
      <c r="K13" s="45">
        <v>-0.41114878933904453</v>
      </c>
      <c r="L13" s="37"/>
      <c r="M13" s="38"/>
    </row>
    <row r="14" spans="3:13" ht="24.75" customHeight="1" thickBot="1">
      <c r="C14" s="42"/>
      <c r="D14" s="43"/>
      <c r="E14" s="45">
        <v>-0.12828282828282833</v>
      </c>
      <c r="F14" s="40" t="s">
        <v>13</v>
      </c>
      <c r="G14" s="41">
        <v>863</v>
      </c>
      <c r="H14" s="36"/>
      <c r="I14" s="40" t="s">
        <v>13</v>
      </c>
      <c r="J14" s="41">
        <v>12374</v>
      </c>
      <c r="K14" s="45">
        <v>0.11719032141567354</v>
      </c>
      <c r="L14" s="43"/>
      <c r="M14" s="44"/>
    </row>
    <row r="15" spans="3:13" ht="24.75" customHeight="1" thickBot="1">
      <c r="C15" s="31" t="s">
        <v>16</v>
      </c>
      <c r="D15" s="32"/>
      <c r="E15" s="45">
        <v>-3.033398472197546E-2</v>
      </c>
      <c r="F15" s="34" t="s">
        <v>10</v>
      </c>
      <c r="G15" s="41">
        <v>65499</v>
      </c>
      <c r="H15" s="36"/>
      <c r="I15" s="40" t="s">
        <v>10</v>
      </c>
      <c r="J15" s="41">
        <v>819800</v>
      </c>
      <c r="K15" s="45">
        <v>3.1737441824758239E-2</v>
      </c>
      <c r="L15" s="37" t="s">
        <v>16</v>
      </c>
      <c r="M15" s="46" t="s">
        <v>11</v>
      </c>
    </row>
    <row r="16" spans="3:13" ht="24.75" customHeight="1" thickBot="1">
      <c r="C16" s="39"/>
      <c r="D16" s="37"/>
      <c r="E16" s="45">
        <v>5.0755750273822509E-2</v>
      </c>
      <c r="F16" s="40" t="s">
        <v>12</v>
      </c>
      <c r="G16" s="41">
        <v>47967</v>
      </c>
      <c r="H16" s="36"/>
      <c r="I16" s="40" t="s">
        <v>12</v>
      </c>
      <c r="J16" s="41">
        <v>601893</v>
      </c>
      <c r="K16" s="45">
        <v>9.6951681805589995E-2</v>
      </c>
      <c r="L16" s="37"/>
      <c r="M16" s="38"/>
    </row>
    <row r="17" spans="3:13" ht="24.75" customHeight="1" thickBot="1">
      <c r="C17" s="42"/>
      <c r="D17" s="43"/>
      <c r="E17" s="45">
        <v>-0.19937893871586443</v>
      </c>
      <c r="F17" s="40" t="s">
        <v>13</v>
      </c>
      <c r="G17" s="41">
        <v>17532</v>
      </c>
      <c r="H17" s="36"/>
      <c r="I17" s="40" t="s">
        <v>13</v>
      </c>
      <c r="J17" s="41">
        <v>217907</v>
      </c>
      <c r="K17" s="45">
        <v>-0.11378850361549664</v>
      </c>
      <c r="L17" s="43"/>
      <c r="M17" s="44"/>
    </row>
    <row r="18" spans="3:13" ht="24.75" customHeight="1" thickBot="1">
      <c r="C18" s="31" t="s">
        <v>17</v>
      </c>
      <c r="D18" s="32"/>
      <c r="E18" s="45">
        <v>5.0180262222277561E-2</v>
      </c>
      <c r="F18" s="34" t="s">
        <v>10</v>
      </c>
      <c r="G18" s="41">
        <v>336734</v>
      </c>
      <c r="H18" s="36"/>
      <c r="I18" s="40" t="s">
        <v>10</v>
      </c>
      <c r="J18" s="41">
        <v>4153430</v>
      </c>
      <c r="K18" s="45">
        <v>8.2582059721690859E-2</v>
      </c>
      <c r="L18" s="37" t="s">
        <v>17</v>
      </c>
      <c r="M18" s="38" t="s">
        <v>11</v>
      </c>
    </row>
    <row r="19" spans="3:13" ht="24.75" customHeight="1" thickBot="1">
      <c r="C19" s="39"/>
      <c r="D19" s="37"/>
      <c r="E19" s="45">
        <v>5.0755174971343742E-2</v>
      </c>
      <c r="F19" s="40" t="s">
        <v>12</v>
      </c>
      <c r="G19" s="41">
        <v>187005</v>
      </c>
      <c r="H19" s="36"/>
      <c r="I19" s="40" t="s">
        <v>12</v>
      </c>
      <c r="J19" s="41">
        <v>2413461</v>
      </c>
      <c r="K19" s="45">
        <v>9.6807368701379071E-2</v>
      </c>
      <c r="L19" s="37"/>
      <c r="M19" s="38"/>
    </row>
    <row r="20" spans="3:13" ht="24.75" customHeight="1" thickBot="1">
      <c r="C20" s="42"/>
      <c r="D20" s="43"/>
      <c r="E20" s="45">
        <v>4.9463104183021134E-2</v>
      </c>
      <c r="F20" s="47" t="s">
        <v>13</v>
      </c>
      <c r="G20" s="41">
        <v>149729</v>
      </c>
      <c r="H20" s="36"/>
      <c r="I20" s="47" t="s">
        <v>13</v>
      </c>
      <c r="J20" s="41">
        <v>1739969</v>
      </c>
      <c r="K20" s="45">
        <v>6.3450628730547409E-2</v>
      </c>
      <c r="L20" s="37"/>
      <c r="M20" s="38"/>
    </row>
    <row r="21" spans="3:13" ht="13.5" thickBot="1">
      <c r="C21" s="48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3:13" ht="20.100000000000001" customHeight="1" thickBot="1">
      <c r="C22" s="3" t="s">
        <v>18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3:13" ht="24.95" customHeight="1" thickBot="1">
      <c r="C23" s="31" t="s">
        <v>9</v>
      </c>
      <c r="D23" s="32"/>
      <c r="E23" s="33">
        <v>7.8053742633071854E-2</v>
      </c>
      <c r="F23" s="34" t="s">
        <v>10</v>
      </c>
      <c r="G23" s="35">
        <v>3276850</v>
      </c>
      <c r="H23" s="36"/>
      <c r="I23" s="34" t="s">
        <v>10</v>
      </c>
      <c r="J23" s="35">
        <v>40230487</v>
      </c>
      <c r="K23" s="33">
        <v>0.11043781800147245</v>
      </c>
      <c r="L23" s="37" t="s">
        <v>9</v>
      </c>
      <c r="M23" s="38" t="s">
        <v>11</v>
      </c>
    </row>
    <row r="24" spans="3:13" ht="24.95" customHeight="1" thickBot="1">
      <c r="C24" s="39"/>
      <c r="D24" s="37"/>
      <c r="E24" s="33">
        <v>0.10997698671183698</v>
      </c>
      <c r="F24" s="40" t="s">
        <v>12</v>
      </c>
      <c r="G24" s="41">
        <v>1849215</v>
      </c>
      <c r="H24" s="36"/>
      <c r="I24" s="40" t="s">
        <v>12</v>
      </c>
      <c r="J24" s="41">
        <v>23545131</v>
      </c>
      <c r="K24" s="33">
        <v>0.14605770754201064</v>
      </c>
      <c r="L24" s="37"/>
      <c r="M24" s="38"/>
    </row>
    <row r="25" spans="3:13" ht="24.95" customHeight="1" thickBot="1">
      <c r="C25" s="42"/>
      <c r="D25" s="43"/>
      <c r="E25" s="33">
        <v>3.9335208691879231E-2</v>
      </c>
      <c r="F25" s="40" t="s">
        <v>13</v>
      </c>
      <c r="G25" s="41">
        <v>1427635</v>
      </c>
      <c r="H25" s="36"/>
      <c r="I25" s="40" t="s">
        <v>13</v>
      </c>
      <c r="J25" s="41">
        <v>16685356</v>
      </c>
      <c r="K25" s="33">
        <v>6.3782149714723069E-2</v>
      </c>
      <c r="L25" s="43"/>
      <c r="M25" s="44"/>
    </row>
    <row r="26" spans="3:13" ht="24.95" customHeight="1" thickBot="1">
      <c r="C26" s="39" t="s">
        <v>14</v>
      </c>
      <c r="D26" s="37"/>
      <c r="E26" s="45">
        <v>6.229875402491869E-3</v>
      </c>
      <c r="F26" s="40" t="s">
        <v>10</v>
      </c>
      <c r="G26" s="41">
        <v>28750</v>
      </c>
      <c r="H26" s="36"/>
      <c r="I26" s="40" t="s">
        <v>10</v>
      </c>
      <c r="J26" s="41">
        <v>329479</v>
      </c>
      <c r="K26" s="45">
        <v>1.1140129323705228E-2</v>
      </c>
      <c r="L26" s="32" t="s">
        <v>14</v>
      </c>
      <c r="M26" s="46" t="s">
        <v>11</v>
      </c>
    </row>
    <row r="27" spans="3:13" ht="24.95" customHeight="1" thickBot="1">
      <c r="C27" s="39"/>
      <c r="D27" s="37"/>
      <c r="E27" s="45">
        <v>6.229875402491869E-3</v>
      </c>
      <c r="F27" s="40" t="s">
        <v>12</v>
      </c>
      <c r="G27" s="41">
        <v>28750</v>
      </c>
      <c r="H27" s="36"/>
      <c r="I27" s="40" t="s">
        <v>12</v>
      </c>
      <c r="J27" s="41">
        <v>329479</v>
      </c>
      <c r="K27" s="45">
        <v>1.1140129323705228E-2</v>
      </c>
      <c r="L27" s="43"/>
      <c r="M27" s="38"/>
    </row>
    <row r="28" spans="3:13" ht="24.95" customHeight="1" thickBot="1">
      <c r="C28" s="31" t="s">
        <v>15</v>
      </c>
      <c r="D28" s="32"/>
      <c r="E28" s="45">
        <v>-0.37110676933685782</v>
      </c>
      <c r="F28" s="40" t="s">
        <v>10</v>
      </c>
      <c r="G28" s="41">
        <v>10944</v>
      </c>
      <c r="H28" s="36"/>
      <c r="I28" s="40" t="s">
        <v>10</v>
      </c>
      <c r="J28" s="41">
        <v>172976</v>
      </c>
      <c r="K28" s="45">
        <v>-0.14306379858709761</v>
      </c>
      <c r="L28" s="32" t="s">
        <v>15</v>
      </c>
      <c r="M28" s="46" t="s">
        <v>11</v>
      </c>
    </row>
    <row r="29" spans="3:13" ht="24.95" customHeight="1" thickBot="1">
      <c r="C29" s="39"/>
      <c r="D29" s="37"/>
      <c r="E29" s="45">
        <v>-0.71979307796526659</v>
      </c>
      <c r="F29" s="40" t="s">
        <v>12</v>
      </c>
      <c r="G29" s="41">
        <v>2275</v>
      </c>
      <c r="H29" s="36"/>
      <c r="I29" s="40" t="s">
        <v>12</v>
      </c>
      <c r="J29" s="41">
        <v>46771</v>
      </c>
      <c r="K29" s="45">
        <v>-0.46450120790922933</v>
      </c>
      <c r="L29" s="37"/>
      <c r="M29" s="38"/>
    </row>
    <row r="30" spans="3:13" ht="24.95" customHeight="1" thickBot="1">
      <c r="C30" s="42"/>
      <c r="D30" s="43"/>
      <c r="E30" s="45">
        <v>-6.6142410858558653E-2</v>
      </c>
      <c r="F30" s="40" t="s">
        <v>13</v>
      </c>
      <c r="G30" s="41">
        <v>8669</v>
      </c>
      <c r="H30" s="36"/>
      <c r="I30" s="40" t="s">
        <v>13</v>
      </c>
      <c r="J30" s="41">
        <v>126205</v>
      </c>
      <c r="K30" s="45">
        <v>0.10210194475736389</v>
      </c>
      <c r="L30" s="43"/>
      <c r="M30" s="44"/>
    </row>
    <row r="31" spans="3:13" ht="24.95" customHeight="1" thickBot="1">
      <c r="C31" s="31" t="s">
        <v>16</v>
      </c>
      <c r="D31" s="32"/>
      <c r="E31" s="45">
        <v>5.6532663316583021E-2</v>
      </c>
      <c r="F31" s="40" t="s">
        <v>10</v>
      </c>
      <c r="G31" s="41">
        <v>533194</v>
      </c>
      <c r="H31" s="36"/>
      <c r="I31" s="40" t="s">
        <v>10</v>
      </c>
      <c r="J31" s="41">
        <v>5980579</v>
      </c>
      <c r="K31" s="45">
        <v>6.4909190558624319E-2</v>
      </c>
      <c r="L31" s="37" t="s">
        <v>16</v>
      </c>
      <c r="M31" s="46" t="s">
        <v>11</v>
      </c>
    </row>
    <row r="32" spans="3:13" ht="24.95" customHeight="1" thickBot="1">
      <c r="C32" s="39"/>
      <c r="D32" s="37"/>
      <c r="E32" s="45">
        <v>0.13705933307159723</v>
      </c>
      <c r="F32" s="40" t="s">
        <v>12</v>
      </c>
      <c r="G32" s="41">
        <v>364921</v>
      </c>
      <c r="H32" s="36"/>
      <c r="I32" s="40" t="s">
        <v>12</v>
      </c>
      <c r="J32" s="41">
        <v>4282741</v>
      </c>
      <c r="K32" s="45">
        <v>0.13137593196223296</v>
      </c>
      <c r="L32" s="37"/>
      <c r="M32" s="38"/>
    </row>
    <row r="33" spans="3:13" ht="24.95" customHeight="1" thickBot="1">
      <c r="C33" s="42"/>
      <c r="D33" s="43"/>
      <c r="E33" s="45">
        <v>-8.412888477657432E-2</v>
      </c>
      <c r="F33" s="40" t="s">
        <v>13</v>
      </c>
      <c r="G33" s="41">
        <v>168273</v>
      </c>
      <c r="H33" s="36"/>
      <c r="I33" s="40" t="s">
        <v>13</v>
      </c>
      <c r="J33" s="41">
        <v>1697838</v>
      </c>
      <c r="K33" s="45">
        <v>-7.2533388979356128E-2</v>
      </c>
      <c r="L33" s="43"/>
      <c r="M33" s="44"/>
    </row>
    <row r="34" spans="3:13" ht="24.95" customHeight="1" thickBot="1">
      <c r="C34" s="31" t="s">
        <v>17</v>
      </c>
      <c r="D34" s="32"/>
      <c r="E34" s="45">
        <v>8.6382264078169291E-2</v>
      </c>
      <c r="F34" s="40" t="s">
        <v>10</v>
      </c>
      <c r="G34" s="41">
        <v>2703962</v>
      </c>
      <c r="H34" s="36"/>
      <c r="I34" s="40" t="s">
        <v>10</v>
      </c>
      <c r="J34" s="41">
        <v>33747453</v>
      </c>
      <c r="K34" s="45">
        <v>0.12171287148491383</v>
      </c>
      <c r="L34" s="37" t="s">
        <v>17</v>
      </c>
      <c r="M34" s="46" t="s">
        <v>11</v>
      </c>
    </row>
    <row r="35" spans="3:13" ht="24.95" customHeight="1" thickBot="1">
      <c r="C35" s="39"/>
      <c r="D35" s="37"/>
      <c r="E35" s="45">
        <v>0.11074857322360887</v>
      </c>
      <c r="F35" s="40" t="s">
        <v>12</v>
      </c>
      <c r="G35" s="41">
        <v>1453269</v>
      </c>
      <c r="H35" s="36"/>
      <c r="I35" s="40" t="s">
        <v>12</v>
      </c>
      <c r="J35" s="41">
        <v>18886140</v>
      </c>
      <c r="K35" s="45">
        <v>0.15540971346956933</v>
      </c>
      <c r="L35" s="37"/>
      <c r="M35" s="38"/>
    </row>
    <row r="36" spans="3:13" ht="24.95" customHeight="1" thickBot="1">
      <c r="C36" s="42"/>
      <c r="D36" s="43"/>
      <c r="E36" s="45">
        <v>5.9378734887865381E-2</v>
      </c>
      <c r="F36" s="40" t="s">
        <v>13</v>
      </c>
      <c r="G36" s="41">
        <v>1250693</v>
      </c>
      <c r="H36" s="36"/>
      <c r="I36" s="40" t="s">
        <v>13</v>
      </c>
      <c r="J36" s="41">
        <v>14861313</v>
      </c>
      <c r="K36" s="45">
        <v>8.1624739215731212E-2</v>
      </c>
      <c r="L36" s="37"/>
      <c r="M36" s="44"/>
    </row>
    <row r="37" spans="3:13" ht="13.5" thickBot="1">
      <c r="C37" s="48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3:13" ht="20.100000000000001" customHeight="1" thickBot="1">
      <c r="C38" s="3" t="s">
        <v>19</v>
      </c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3:13" ht="24.75" customHeight="1" thickBot="1">
      <c r="C39" s="31" t="s">
        <v>9</v>
      </c>
      <c r="D39" s="32"/>
      <c r="E39" s="49">
        <v>0.38432490142389142</v>
      </c>
      <c r="F39" s="34" t="s">
        <v>10</v>
      </c>
      <c r="G39" s="50">
        <v>7.8707428909070387</v>
      </c>
      <c r="H39" s="51"/>
      <c r="I39" s="34" t="s">
        <v>10</v>
      </c>
      <c r="J39" s="50">
        <v>7.7962992928766566</v>
      </c>
      <c r="K39" s="49">
        <v>0.297447114643977</v>
      </c>
      <c r="L39" s="37" t="s">
        <v>9</v>
      </c>
      <c r="M39" s="38" t="s">
        <v>11</v>
      </c>
    </row>
    <row r="40" spans="3:13" ht="24.75" customHeight="1" thickBot="1">
      <c r="C40" s="39"/>
      <c r="D40" s="37"/>
      <c r="E40" s="52">
        <v>0.5217270992638019</v>
      </c>
      <c r="F40" s="40" t="s">
        <v>12</v>
      </c>
      <c r="G40" s="53">
        <v>7.4502334725976898</v>
      </c>
      <c r="H40" s="51"/>
      <c r="I40" s="40" t="s">
        <v>12</v>
      </c>
      <c r="J40" s="53">
        <v>7.3810275574593103</v>
      </c>
      <c r="K40" s="52">
        <v>0.38885817808568479</v>
      </c>
      <c r="L40" s="37"/>
      <c r="M40" s="38"/>
    </row>
    <row r="41" spans="3:13" ht="24.75" customHeight="1" thickBot="1">
      <c r="C41" s="42"/>
      <c r="D41" s="43"/>
      <c r="E41" s="52">
        <v>0.19484561892958396</v>
      </c>
      <c r="F41" s="40" t="s">
        <v>13</v>
      </c>
      <c r="G41" s="53">
        <v>8.4915598010991893</v>
      </c>
      <c r="H41" s="51"/>
      <c r="I41" s="40" t="s">
        <v>13</v>
      </c>
      <c r="J41" s="53">
        <v>8.4686491561984525</v>
      </c>
      <c r="K41" s="52">
        <v>0.18340039172760214</v>
      </c>
      <c r="L41" s="43"/>
      <c r="M41" s="44"/>
    </row>
    <row r="42" spans="3:13" ht="24.75" customHeight="1" thickBot="1">
      <c r="C42" s="39" t="s">
        <v>14</v>
      </c>
      <c r="D42" s="37"/>
      <c r="E42" s="52">
        <v>0.1872084059079695</v>
      </c>
      <c r="F42" s="40" t="s">
        <v>10</v>
      </c>
      <c r="G42" s="53">
        <v>2.3118366034094566</v>
      </c>
      <c r="H42" s="51"/>
      <c r="I42" s="40" t="s">
        <v>10</v>
      </c>
      <c r="J42" s="53">
        <v>2.1283760650633385</v>
      </c>
      <c r="K42" s="52">
        <v>3.2250548026034664E-2</v>
      </c>
      <c r="L42" s="32" t="s">
        <v>14</v>
      </c>
      <c r="M42" s="46" t="s">
        <v>11</v>
      </c>
    </row>
    <row r="43" spans="3:13" ht="24.75" customHeight="1" thickBot="1">
      <c r="C43" s="39"/>
      <c r="D43" s="37"/>
      <c r="E43" s="52">
        <v>0.1872084059079695</v>
      </c>
      <c r="F43" s="40" t="s">
        <v>12</v>
      </c>
      <c r="G43" s="53">
        <v>2.3118366034094566</v>
      </c>
      <c r="H43" s="51"/>
      <c r="I43" s="40" t="s">
        <v>12</v>
      </c>
      <c r="J43" s="53">
        <v>2.1283760650633385</v>
      </c>
      <c r="K43" s="52">
        <v>3.2250548026034664E-2</v>
      </c>
      <c r="L43" s="43"/>
      <c r="M43" s="38"/>
    </row>
    <row r="44" spans="3:13" ht="24.75" customHeight="1" thickBot="1">
      <c r="C44" s="31" t="s">
        <v>15</v>
      </c>
      <c r="D44" s="32"/>
      <c r="E44" s="52">
        <v>2.5993230769230768</v>
      </c>
      <c r="F44" s="40" t="s">
        <v>10</v>
      </c>
      <c r="G44" s="53">
        <v>6.5769230769230766</v>
      </c>
      <c r="H44" s="51"/>
      <c r="I44" s="40" t="s">
        <v>10</v>
      </c>
      <c r="J44" s="53">
        <v>5.3769350326391043</v>
      </c>
      <c r="K44" s="52">
        <v>0.86057936968658311</v>
      </c>
      <c r="L44" s="32" t="s">
        <v>15</v>
      </c>
      <c r="M44" s="46" t="s">
        <v>11</v>
      </c>
    </row>
    <row r="45" spans="3:13" ht="24.75" customHeight="1" thickBot="1">
      <c r="C45" s="39"/>
      <c r="D45" s="37"/>
      <c r="E45" s="52">
        <v>0.44167685518655597</v>
      </c>
      <c r="F45" s="40" t="s">
        <v>12</v>
      </c>
      <c r="G45" s="53">
        <v>2.8401997503121099</v>
      </c>
      <c r="H45" s="51"/>
      <c r="I45" s="40" t="s">
        <v>12</v>
      </c>
      <c r="J45" s="53">
        <v>2.3626490200040413</v>
      </c>
      <c r="K45" s="52">
        <v>-0.23539369520804732</v>
      </c>
      <c r="L45" s="37"/>
      <c r="M45" s="38"/>
    </row>
    <row r="46" spans="3:13" ht="24.75" customHeight="1" thickBot="1">
      <c r="C46" s="42"/>
      <c r="D46" s="43"/>
      <c r="E46" s="52">
        <v>0.66842351674333145</v>
      </c>
      <c r="F46" s="40" t="s">
        <v>13</v>
      </c>
      <c r="G46" s="53">
        <v>10.045191193511009</v>
      </c>
      <c r="H46" s="51"/>
      <c r="I46" s="40" t="s">
        <v>13</v>
      </c>
      <c r="J46" s="53">
        <v>10.19920801680944</v>
      </c>
      <c r="K46" s="52">
        <v>-0.13963271991862136</v>
      </c>
      <c r="L46" s="43"/>
      <c r="M46" s="44"/>
    </row>
    <row r="47" spans="3:13" ht="24.75" customHeight="1" thickBot="1">
      <c r="C47" s="31" t="s">
        <v>16</v>
      </c>
      <c r="D47" s="32"/>
      <c r="E47" s="52">
        <v>0.66929983764227075</v>
      </c>
      <c r="F47" s="40" t="s">
        <v>10</v>
      </c>
      <c r="G47" s="53">
        <v>8.1404906945144209</v>
      </c>
      <c r="H47" s="51"/>
      <c r="I47" s="40" t="s">
        <v>10</v>
      </c>
      <c r="J47" s="53">
        <v>7.2951683337399365</v>
      </c>
      <c r="K47" s="52">
        <v>0.22724331152699939</v>
      </c>
      <c r="L47" s="37" t="s">
        <v>16</v>
      </c>
      <c r="M47" s="46" t="s">
        <v>11</v>
      </c>
    </row>
    <row r="48" spans="3:13" ht="24.75" customHeight="1" thickBot="1">
      <c r="C48" s="39"/>
      <c r="D48" s="37"/>
      <c r="E48" s="52">
        <v>0.57743352808433013</v>
      </c>
      <c r="F48" s="40" t="s">
        <v>12</v>
      </c>
      <c r="G48" s="53">
        <v>7.6077511622573857</v>
      </c>
      <c r="H48" s="51"/>
      <c r="I48" s="40" t="s">
        <v>12</v>
      </c>
      <c r="J48" s="53">
        <v>7.1154524142995514</v>
      </c>
      <c r="K48" s="52">
        <v>0.21650108241450017</v>
      </c>
      <c r="L48" s="37"/>
      <c r="M48" s="38"/>
    </row>
    <row r="49" spans="3:13" ht="24.75" customHeight="1" thickBot="1">
      <c r="C49" s="42"/>
      <c r="D49" s="43"/>
      <c r="E49" s="52">
        <v>1.2077853302684112</v>
      </c>
      <c r="F49" s="40" t="s">
        <v>13</v>
      </c>
      <c r="G49" s="53">
        <v>9.598049281314168</v>
      </c>
      <c r="H49" s="51"/>
      <c r="I49" s="40" t="s">
        <v>13</v>
      </c>
      <c r="J49" s="53">
        <v>7.7915716337703698</v>
      </c>
      <c r="K49" s="52">
        <v>0.34658086569085356</v>
      </c>
      <c r="L49" s="43"/>
      <c r="M49" s="44"/>
    </row>
    <row r="50" spans="3:13" ht="24.75" customHeight="1" thickBot="1">
      <c r="C50" s="31" t="s">
        <v>17</v>
      </c>
      <c r="D50" s="32"/>
      <c r="E50" s="52">
        <v>0.26758609032423131</v>
      </c>
      <c r="F50" s="40" t="s">
        <v>10</v>
      </c>
      <c r="G50" s="53">
        <v>8.0299643041688693</v>
      </c>
      <c r="H50" s="51"/>
      <c r="I50" s="40" t="s">
        <v>10</v>
      </c>
      <c r="J50" s="53">
        <v>8.125200858085968</v>
      </c>
      <c r="K50" s="52">
        <v>0.2834466050971205</v>
      </c>
      <c r="L50" s="37" t="s">
        <v>17</v>
      </c>
      <c r="M50" s="46" t="s">
        <v>11</v>
      </c>
    </row>
    <row r="51" spans="3:13" ht="24.75" customHeight="1" thickBot="1">
      <c r="C51" s="39"/>
      <c r="D51" s="37"/>
      <c r="E51" s="52">
        <v>0.41974012715124154</v>
      </c>
      <c r="F51" s="40" t="s">
        <v>12</v>
      </c>
      <c r="G51" s="53">
        <v>7.7712841902622927</v>
      </c>
      <c r="H51" s="51"/>
      <c r="I51" s="40" t="s">
        <v>12</v>
      </c>
      <c r="J51" s="53">
        <v>7.8253346542579312</v>
      </c>
      <c r="K51" s="52">
        <v>0.39690073052806252</v>
      </c>
      <c r="L51" s="37"/>
      <c r="M51" s="38"/>
    </row>
    <row r="52" spans="3:13" ht="24.75" customHeight="1" thickBot="1">
      <c r="C52" s="42"/>
      <c r="D52" s="43"/>
      <c r="E52" s="52">
        <v>7.8183280256080678E-2</v>
      </c>
      <c r="F52" s="40" t="s">
        <v>13</v>
      </c>
      <c r="G52" s="53">
        <v>8.3530445003973846</v>
      </c>
      <c r="H52" s="51"/>
      <c r="I52" s="40" t="s">
        <v>13</v>
      </c>
      <c r="J52" s="53">
        <v>8.5411366524346128</v>
      </c>
      <c r="K52" s="52">
        <v>0.14351332357925983</v>
      </c>
      <c r="L52" s="37"/>
      <c r="M52" s="44"/>
    </row>
    <row r="53" spans="3:13" ht="13.5" thickBot="1">
      <c r="C53" s="48"/>
      <c r="D53" s="29"/>
      <c r="E53" s="29"/>
      <c r="F53" s="29"/>
      <c r="G53" s="29"/>
      <c r="H53" s="29"/>
      <c r="I53" s="29"/>
      <c r="J53" s="29"/>
      <c r="K53" s="29"/>
      <c r="L53" s="29"/>
      <c r="M53" s="30"/>
    </row>
    <row r="54" spans="3:13" ht="13.5" thickBot="1"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6"/>
    </row>
    <row r="55" spans="3:13" ht="22.5" customHeight="1" thickBot="1">
      <c r="C55" s="1"/>
      <c r="D55" s="2"/>
      <c r="E55" s="3" t="str">
        <f>$E$1</f>
        <v>INDICADORES TURÍSTICOS DE TENERIFE (definitivo 63,2%)</v>
      </c>
      <c r="F55" s="4"/>
      <c r="G55" s="4"/>
      <c r="H55" s="4"/>
      <c r="I55" s="4"/>
      <c r="J55" s="4"/>
      <c r="K55" s="5"/>
      <c r="L55" s="2"/>
      <c r="M55" s="6"/>
    </row>
    <row r="56" spans="3:13" ht="15.75">
      <c r="C56" s="8"/>
      <c r="D56" s="9"/>
      <c r="E56" s="10" t="s">
        <v>0</v>
      </c>
      <c r="F56" s="10"/>
      <c r="G56" s="11"/>
      <c r="H56" s="57"/>
      <c r="I56" s="58" t="str">
        <f>I2</f>
        <v>año 2011</v>
      </c>
      <c r="J56" s="10"/>
      <c r="K56" s="11"/>
      <c r="L56" s="8"/>
      <c r="M56" s="15"/>
    </row>
    <row r="57" spans="3:13" ht="23.25" customHeight="1" thickBot="1">
      <c r="C57" s="16"/>
      <c r="D57" s="17"/>
      <c r="E57" s="18" t="str">
        <f>$E$3</f>
        <v>diciembre 2011</v>
      </c>
      <c r="F57" s="18"/>
      <c r="G57" s="19"/>
      <c r="H57" s="57"/>
      <c r="I57" s="59"/>
      <c r="J57" s="60"/>
      <c r="K57" s="61"/>
      <c r="L57" s="16"/>
      <c r="M57" s="20"/>
    </row>
    <row r="58" spans="3:13" ht="64.5" thickBot="1">
      <c r="C58" s="21" t="s">
        <v>1</v>
      </c>
      <c r="D58" s="22"/>
      <c r="E58" s="23" t="s">
        <v>2</v>
      </c>
      <c r="F58" s="24" t="s">
        <v>3</v>
      </c>
      <c r="G58" s="24" t="s">
        <v>4</v>
      </c>
      <c r="H58" s="25"/>
      <c r="I58" s="26" t="s">
        <v>3</v>
      </c>
      <c r="J58" s="27" t="s">
        <v>5</v>
      </c>
      <c r="K58" s="27" t="s">
        <v>6</v>
      </c>
      <c r="L58" s="26" t="s">
        <v>1</v>
      </c>
      <c r="M58" s="27" t="s">
        <v>7</v>
      </c>
    </row>
    <row r="59" spans="3:13" ht="13.5" thickBot="1">
      <c r="C59" s="54"/>
      <c r="D59" s="55"/>
      <c r="E59" s="55"/>
      <c r="F59" s="55"/>
      <c r="G59" s="55"/>
      <c r="H59" s="55"/>
      <c r="I59" s="55"/>
      <c r="J59" s="55"/>
      <c r="K59" s="55"/>
      <c r="L59" s="55"/>
      <c r="M59" s="56"/>
    </row>
    <row r="60" spans="3:13" ht="20.100000000000001" customHeight="1" thickBot="1">
      <c r="C60" s="3" t="s">
        <v>20</v>
      </c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3:13" ht="24.75" customHeight="1" thickBot="1">
      <c r="C61" s="31" t="s">
        <v>9</v>
      </c>
      <c r="D61" s="32"/>
      <c r="E61" s="33">
        <v>9.5419818839440174E-2</v>
      </c>
      <c r="F61" s="34" t="s">
        <v>10</v>
      </c>
      <c r="G61" s="62">
        <v>61.316912547451679</v>
      </c>
      <c r="H61" s="51"/>
      <c r="I61" s="34" t="s">
        <v>10</v>
      </c>
      <c r="J61" s="62">
        <v>63.562077784569098</v>
      </c>
      <c r="K61" s="33">
        <v>0.13292697783112573</v>
      </c>
      <c r="L61" s="37" t="s">
        <v>9</v>
      </c>
      <c r="M61" s="38" t="s">
        <v>11</v>
      </c>
    </row>
    <row r="62" spans="3:13" ht="24.75" customHeight="1" thickBot="1">
      <c r="C62" s="39"/>
      <c r="D62" s="37"/>
      <c r="E62" s="33">
        <v>7.7312916225802608E-2</v>
      </c>
      <c r="F62" s="40" t="s">
        <v>12</v>
      </c>
      <c r="G62" s="63">
        <v>67.33502288541996</v>
      </c>
      <c r="H62" s="51"/>
      <c r="I62" s="40" t="s">
        <v>12</v>
      </c>
      <c r="J62" s="63">
        <v>73.81494750483823</v>
      </c>
      <c r="K62" s="33">
        <v>0.13122900680290539</v>
      </c>
      <c r="L62" s="37"/>
      <c r="M62" s="38"/>
    </row>
    <row r="63" spans="3:13" ht="24.75" customHeight="1" thickBot="1">
      <c r="C63" s="42"/>
      <c r="D63" s="43"/>
      <c r="E63" s="33">
        <v>0.10610983863182111</v>
      </c>
      <c r="F63" s="40" t="s">
        <v>13</v>
      </c>
      <c r="G63" s="63">
        <v>54.954883516287239</v>
      </c>
      <c r="H63" s="51"/>
      <c r="I63" s="40" t="s">
        <v>13</v>
      </c>
      <c r="J63" s="63">
        <v>53.145335679768486</v>
      </c>
      <c r="K63" s="33">
        <v>0.12119916436781786</v>
      </c>
      <c r="L63" s="43"/>
      <c r="M63" s="44"/>
    </row>
    <row r="64" spans="3:13" ht="24.75" customHeight="1" thickBot="1">
      <c r="C64" s="39" t="s">
        <v>14</v>
      </c>
      <c r="D64" s="37"/>
      <c r="E64" s="45">
        <v>2.4113731002954442E-2</v>
      </c>
      <c r="F64" s="40" t="s">
        <v>10</v>
      </c>
      <c r="G64" s="63">
        <v>48.479840817496587</v>
      </c>
      <c r="H64" s="51"/>
      <c r="I64" s="40" t="s">
        <v>10</v>
      </c>
      <c r="J64" s="63">
        <v>46.774484347649555</v>
      </c>
      <c r="K64" s="45">
        <v>0.1648396761247044</v>
      </c>
      <c r="L64" s="32" t="s">
        <v>14</v>
      </c>
      <c r="M64" s="46" t="s">
        <v>11</v>
      </c>
    </row>
    <row r="65" spans="3:13" ht="24.75" customHeight="1" thickBot="1">
      <c r="C65" s="39"/>
      <c r="D65" s="37"/>
      <c r="E65" s="45">
        <v>2.4113731002954442E-2</v>
      </c>
      <c r="F65" s="40" t="s">
        <v>12</v>
      </c>
      <c r="G65" s="63">
        <v>48.479840817496587</v>
      </c>
      <c r="H65" s="51"/>
      <c r="I65" s="40" t="s">
        <v>12</v>
      </c>
      <c r="J65" s="63">
        <v>46.774484347649555</v>
      </c>
      <c r="K65" s="45">
        <v>0.1648396761247044</v>
      </c>
      <c r="L65" s="43"/>
      <c r="M65" s="38"/>
    </row>
    <row r="66" spans="3:13" ht="24.75" customHeight="1" thickBot="1">
      <c r="C66" s="31" t="s">
        <v>15</v>
      </c>
      <c r="D66" s="32"/>
      <c r="E66" s="45">
        <v>-0.24650462414594609</v>
      </c>
      <c r="F66" s="40" t="s">
        <v>10</v>
      </c>
      <c r="G66" s="63">
        <v>30.01974983541804</v>
      </c>
      <c r="H66" s="51"/>
      <c r="I66" s="40" t="s">
        <v>10</v>
      </c>
      <c r="J66" s="63">
        <v>38.480841445834592</v>
      </c>
      <c r="K66" s="45">
        <v>8.5313610960726427E-2</v>
      </c>
      <c r="L66" s="32" t="s">
        <v>15</v>
      </c>
      <c r="M66" s="46" t="s">
        <v>11</v>
      </c>
    </row>
    <row r="67" spans="3:13" ht="24.75" customHeight="1" thickBot="1">
      <c r="C67" s="39"/>
      <c r="D67" s="37"/>
      <c r="E67" s="45">
        <v>-0.61796722035582774</v>
      </c>
      <c r="F67" s="40" t="s">
        <v>12</v>
      </c>
      <c r="G67" s="63">
        <v>19.466073414905452</v>
      </c>
      <c r="H67" s="51"/>
      <c r="I67" s="40" t="s">
        <v>12</v>
      </c>
      <c r="J67" s="63">
        <v>33.989317248646486</v>
      </c>
      <c r="K67" s="45">
        <v>-0.26990350362160187</v>
      </c>
      <c r="L67" s="37"/>
      <c r="M67" s="38"/>
    </row>
    <row r="68" spans="3:13" ht="24.75" customHeight="1" thickBot="1">
      <c r="C68" s="42"/>
      <c r="D68" s="43"/>
      <c r="E68" s="45">
        <v>4.6060753794230358E-2</v>
      </c>
      <c r="F68" s="40" t="s">
        <v>13</v>
      </c>
      <c r="G68" s="63">
        <v>34.999394404295693</v>
      </c>
      <c r="H68" s="51"/>
      <c r="I68" s="40" t="s">
        <v>13</v>
      </c>
      <c r="J68" s="63">
        <v>40.462381414973052</v>
      </c>
      <c r="K68" s="45">
        <v>0.34870717942188212</v>
      </c>
      <c r="L68" s="43"/>
      <c r="M68" s="44"/>
    </row>
    <row r="69" spans="3:13" ht="24.75" customHeight="1" thickBot="1">
      <c r="C69" s="31" t="s">
        <v>16</v>
      </c>
      <c r="D69" s="32"/>
      <c r="E69" s="45">
        <v>9.68257367681995E-2</v>
      </c>
      <c r="F69" s="40" t="s">
        <v>10</v>
      </c>
      <c r="G69" s="63">
        <v>60.456261692839732</v>
      </c>
      <c r="H69" s="51"/>
      <c r="I69" s="40" t="s">
        <v>10</v>
      </c>
      <c r="J69" s="63">
        <v>56.767567101690673</v>
      </c>
      <c r="K69" s="45">
        <v>0.11293500804033552</v>
      </c>
      <c r="L69" s="37" t="s">
        <v>16</v>
      </c>
      <c r="M69" s="46" t="s">
        <v>11</v>
      </c>
    </row>
    <row r="70" spans="3:13" ht="24.75" customHeight="1" thickBot="1">
      <c r="C70" s="39"/>
      <c r="D70" s="37"/>
      <c r="E70" s="45">
        <v>0.12787829622554758</v>
      </c>
      <c r="F70" s="40" t="s">
        <v>12</v>
      </c>
      <c r="G70" s="63">
        <v>62.531979608447926</v>
      </c>
      <c r="H70" s="51"/>
      <c r="I70" s="40" t="s">
        <v>12</v>
      </c>
      <c r="J70" s="63">
        <v>62.375552664360349</v>
      </c>
      <c r="K70" s="45">
        <v>0.12211474277024048</v>
      </c>
      <c r="L70" s="37"/>
      <c r="M70" s="38"/>
    </row>
    <row r="71" spans="3:13" ht="24.75" customHeight="1" thickBot="1">
      <c r="C71" s="42"/>
      <c r="D71" s="43"/>
      <c r="E71" s="45">
        <v>3.3578395174737707E-2</v>
      </c>
      <c r="F71" s="40" t="s">
        <v>13</v>
      </c>
      <c r="G71" s="63">
        <v>56.396480938416424</v>
      </c>
      <c r="H71" s="51"/>
      <c r="I71" s="40" t="s">
        <v>13</v>
      </c>
      <c r="J71" s="63">
        <v>46.273370895197168</v>
      </c>
      <c r="K71" s="45">
        <v>6.1772247880424791E-2</v>
      </c>
      <c r="L71" s="43"/>
      <c r="M71" s="44"/>
    </row>
    <row r="72" spans="3:13" ht="24.75" customHeight="1" thickBot="1">
      <c r="C72" s="31" t="s">
        <v>17</v>
      </c>
      <c r="D72" s="32"/>
      <c r="E72" s="45">
        <v>9.7373195881135466E-2</v>
      </c>
      <c r="F72" s="40" t="s">
        <v>10</v>
      </c>
      <c r="G72" s="63">
        <v>61.926405478914951</v>
      </c>
      <c r="H72" s="51"/>
      <c r="I72" s="40" t="s">
        <v>10</v>
      </c>
      <c r="J72" s="63">
        <v>65.396835565820368</v>
      </c>
      <c r="K72" s="45">
        <v>0.13431711666824553</v>
      </c>
      <c r="L72" s="37" t="s">
        <v>17</v>
      </c>
      <c r="M72" s="46" t="s">
        <v>11</v>
      </c>
    </row>
    <row r="73" spans="3:13" ht="24.75" customHeight="1" thickBot="1">
      <c r="C73" s="39"/>
      <c r="D73" s="37"/>
      <c r="E73" s="45">
        <v>6.7520329380923449E-2</v>
      </c>
      <c r="F73" s="40" t="s">
        <v>12</v>
      </c>
      <c r="G73" s="63">
        <v>69.477058408729633</v>
      </c>
      <c r="H73" s="51"/>
      <c r="I73" s="40" t="s">
        <v>12</v>
      </c>
      <c r="J73" s="63">
        <v>78.075938063908026</v>
      </c>
      <c r="K73" s="45">
        <v>0.13087797812377766</v>
      </c>
      <c r="L73" s="37"/>
      <c r="M73" s="38"/>
    </row>
    <row r="74" spans="3:13" ht="24.75" customHeight="1" thickBot="1">
      <c r="C74" s="42"/>
      <c r="D74" s="43"/>
      <c r="E74" s="45">
        <v>0.11786495338999492</v>
      </c>
      <c r="F74" s="40" t="s">
        <v>13</v>
      </c>
      <c r="G74" s="63">
        <v>54.983081188752564</v>
      </c>
      <c r="H74" s="51"/>
      <c r="I74" s="40" t="s">
        <v>13</v>
      </c>
      <c r="J74" s="63">
        <v>54.20937055677917</v>
      </c>
      <c r="K74" s="45">
        <v>0.12476587084547308</v>
      </c>
      <c r="L74" s="37"/>
      <c r="M74" s="44"/>
    </row>
    <row r="75" spans="3:13" ht="13.5" thickBot="1">
      <c r="C75" s="48"/>
      <c r="D75" s="29"/>
      <c r="E75" s="29"/>
      <c r="F75" s="29"/>
      <c r="G75" s="29"/>
      <c r="H75" s="29"/>
      <c r="I75" s="29"/>
      <c r="J75" s="29"/>
      <c r="K75" s="29"/>
      <c r="L75" s="29"/>
      <c r="M75" s="30"/>
    </row>
    <row r="76" spans="3:13" ht="20.100000000000001" customHeight="1" thickBot="1">
      <c r="C76" s="3" t="s">
        <v>21</v>
      </c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3:13" ht="33.75" customHeight="1" thickBot="1">
      <c r="C77" s="31" t="s">
        <v>9</v>
      </c>
      <c r="D77" s="32"/>
      <c r="E77" s="64">
        <v>4.4150179155631797E-2</v>
      </c>
      <c r="F77" s="34" t="s">
        <v>22</v>
      </c>
      <c r="G77" s="35">
        <v>33512</v>
      </c>
      <c r="H77" s="51"/>
      <c r="I77" s="34" t="s">
        <v>22</v>
      </c>
      <c r="J77" s="35">
        <v>415085</v>
      </c>
      <c r="K77" s="64">
        <v>6.4926701866190539E-2</v>
      </c>
      <c r="L77" s="46" t="s">
        <v>9</v>
      </c>
      <c r="M77" s="65" t="s">
        <v>11</v>
      </c>
    </row>
    <row r="78" spans="3:13" ht="33.75" customHeight="1" thickBot="1">
      <c r="C78" s="39"/>
      <c r="D78" s="37"/>
      <c r="E78" s="33">
        <v>5.2679880011505809E-2</v>
      </c>
      <c r="F78" s="40" t="s">
        <v>23</v>
      </c>
      <c r="G78" s="35">
        <v>153706</v>
      </c>
      <c r="H78" s="51"/>
      <c r="I78" s="40" t="s">
        <v>23</v>
      </c>
      <c r="J78" s="35">
        <v>1996765</v>
      </c>
      <c r="K78" s="33">
        <v>9.3761212097973612E-2</v>
      </c>
      <c r="L78" s="38"/>
      <c r="M78" s="66" t="s">
        <v>11</v>
      </c>
    </row>
    <row r="79" spans="3:13" ht="33.75" customHeight="1" thickBot="1">
      <c r="C79" s="39"/>
      <c r="D79" s="37"/>
      <c r="E79" s="33">
        <v>-6.5251834556371291E-3</v>
      </c>
      <c r="F79" s="40" t="s">
        <v>24</v>
      </c>
      <c r="G79" s="35">
        <v>47655</v>
      </c>
      <c r="H79" s="51"/>
      <c r="I79" s="40" t="s">
        <v>24</v>
      </c>
      <c r="J79" s="35">
        <v>620633</v>
      </c>
      <c r="K79" s="33">
        <v>5.9854879666930261E-2</v>
      </c>
      <c r="L79" s="38"/>
      <c r="M79" s="66" t="s">
        <v>11</v>
      </c>
    </row>
    <row r="80" spans="3:13" ht="33.75" customHeight="1" thickBot="1">
      <c r="C80" s="39"/>
      <c r="D80" s="37"/>
      <c r="E80" s="33">
        <v>-8.0369644357322856E-2</v>
      </c>
      <c r="F80" s="40" t="s">
        <v>25</v>
      </c>
      <c r="G80" s="35">
        <v>9852</v>
      </c>
      <c r="H80" s="51"/>
      <c r="I80" s="40" t="s">
        <v>25</v>
      </c>
      <c r="J80" s="35">
        <v>119375</v>
      </c>
      <c r="K80" s="33">
        <v>0.15315880989180841</v>
      </c>
      <c r="L80" s="38"/>
      <c r="M80" s="66" t="s">
        <v>11</v>
      </c>
    </row>
    <row r="81" spans="3:13" ht="33.75" customHeight="1" thickBot="1">
      <c r="C81" s="42"/>
      <c r="D81" s="43"/>
      <c r="E81" s="33">
        <v>-4.9386084583901813E-2</v>
      </c>
      <c r="F81" s="40" t="s">
        <v>26</v>
      </c>
      <c r="G81" s="35">
        <v>3484</v>
      </c>
      <c r="H81" s="51"/>
      <c r="I81" s="40" t="s">
        <v>26</v>
      </c>
      <c r="J81" s="35">
        <v>38095</v>
      </c>
      <c r="K81" s="33">
        <v>0.12930957815788702</v>
      </c>
      <c r="L81" s="44"/>
      <c r="M81" s="66" t="s">
        <v>11</v>
      </c>
    </row>
    <row r="82" spans="3:13" ht="13.5" thickBot="1">
      <c r="C82" s="48"/>
      <c r="D82" s="29"/>
      <c r="E82" s="29"/>
      <c r="F82" s="29"/>
      <c r="G82" s="29"/>
      <c r="H82" s="29"/>
      <c r="I82" s="29"/>
      <c r="J82" s="29"/>
      <c r="K82" s="29"/>
      <c r="L82" s="29"/>
      <c r="M82" s="30"/>
    </row>
    <row r="83" spans="3:13" ht="20.100000000000001" customHeight="1" thickBot="1">
      <c r="C83" s="3" t="s">
        <v>27</v>
      </c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3:13" s="67" customFormat="1" ht="33.75" customHeight="1" thickBot="1">
      <c r="C84" s="31" t="s">
        <v>9</v>
      </c>
      <c r="D84" s="32"/>
      <c r="E84" s="64">
        <v>0.11724219187228146</v>
      </c>
      <c r="F84" s="34" t="s">
        <v>22</v>
      </c>
      <c r="G84" s="35">
        <v>227580</v>
      </c>
      <c r="H84" s="36"/>
      <c r="I84" s="34" t="s">
        <v>22</v>
      </c>
      <c r="J84" s="35">
        <v>2992249</v>
      </c>
      <c r="K84" s="64">
        <v>0.16687588351710492</v>
      </c>
      <c r="L84" s="38" t="s">
        <v>9</v>
      </c>
      <c r="M84" s="65" t="s">
        <v>11</v>
      </c>
    </row>
    <row r="85" spans="3:13" s="67" customFormat="1" ht="33.75" customHeight="1" thickBot="1">
      <c r="C85" s="39"/>
      <c r="D85" s="37"/>
      <c r="E85" s="33">
        <v>0.10571107898516918</v>
      </c>
      <c r="F85" s="40" t="s">
        <v>23</v>
      </c>
      <c r="G85" s="35">
        <v>1196982</v>
      </c>
      <c r="H85" s="36"/>
      <c r="I85" s="40" t="s">
        <v>23</v>
      </c>
      <c r="J85" s="35">
        <v>15400857</v>
      </c>
      <c r="K85" s="33">
        <v>0.1425445291223959</v>
      </c>
      <c r="L85" s="38"/>
      <c r="M85" s="66" t="s">
        <v>11</v>
      </c>
    </row>
    <row r="86" spans="3:13" s="67" customFormat="1" ht="33.75" customHeight="1" thickBot="1">
      <c r="C86" s="39"/>
      <c r="D86" s="37"/>
      <c r="E86" s="33">
        <v>0.1168144950051484</v>
      </c>
      <c r="F86" s="40" t="s">
        <v>24</v>
      </c>
      <c r="G86" s="35">
        <v>370941</v>
      </c>
      <c r="H86" s="36"/>
      <c r="I86" s="40" t="s">
        <v>24</v>
      </c>
      <c r="J86" s="35">
        <v>4564956</v>
      </c>
      <c r="K86" s="33">
        <v>0.14568885551481947</v>
      </c>
      <c r="L86" s="38"/>
      <c r="M86" s="66" t="s">
        <v>11</v>
      </c>
    </row>
    <row r="87" spans="3:13" s="67" customFormat="1" ht="33.75" customHeight="1" thickBot="1">
      <c r="C87" s="39"/>
      <c r="D87" s="37"/>
      <c r="E87" s="33">
        <v>6.6399259487812445E-2</v>
      </c>
      <c r="F87" s="40" t="s">
        <v>25</v>
      </c>
      <c r="G87" s="35">
        <v>34562</v>
      </c>
      <c r="H87" s="36"/>
      <c r="I87" s="40" t="s">
        <v>25</v>
      </c>
      <c r="J87" s="35">
        <v>386122</v>
      </c>
      <c r="K87" s="33">
        <v>0.15833588326703496</v>
      </c>
      <c r="L87" s="38"/>
      <c r="M87" s="66" t="s">
        <v>11</v>
      </c>
    </row>
    <row r="88" spans="3:13" s="67" customFormat="1" ht="33.75" customHeight="1" thickBot="1">
      <c r="C88" s="42"/>
      <c r="D88" s="43"/>
      <c r="E88" s="33">
        <v>0.2599513125863544</v>
      </c>
      <c r="F88" s="40" t="s">
        <v>26</v>
      </c>
      <c r="G88" s="35">
        <v>19150</v>
      </c>
      <c r="H88" s="36"/>
      <c r="I88" s="40" t="s">
        <v>26</v>
      </c>
      <c r="J88" s="35">
        <v>200947</v>
      </c>
      <c r="K88" s="33">
        <v>9.8749501058030376E-2</v>
      </c>
      <c r="L88" s="44"/>
      <c r="M88" s="66" t="s">
        <v>11</v>
      </c>
    </row>
    <row r="89" spans="3:13" ht="13.5" thickBot="1">
      <c r="C89" s="48"/>
      <c r="D89" s="29"/>
      <c r="E89" s="29"/>
      <c r="F89" s="29"/>
      <c r="G89" s="29"/>
      <c r="H89" s="29"/>
      <c r="I89" s="29"/>
      <c r="J89" s="29"/>
      <c r="K89" s="29"/>
      <c r="L89" s="29"/>
      <c r="M89" s="30"/>
    </row>
    <row r="90" spans="3:13" ht="20.100000000000001" customHeight="1" thickBot="1">
      <c r="C90" s="3" t="s">
        <v>28</v>
      </c>
      <c r="D90" s="4"/>
      <c r="E90" s="4"/>
      <c r="F90" s="4"/>
      <c r="G90" s="4"/>
      <c r="H90" s="4"/>
      <c r="I90" s="4"/>
      <c r="J90" s="4"/>
      <c r="K90" s="4"/>
      <c r="L90" s="4"/>
      <c r="M90" s="5"/>
    </row>
    <row r="91" spans="3:13" ht="33.75" customHeight="1" thickBot="1">
      <c r="C91" s="31" t="s">
        <v>9</v>
      </c>
      <c r="D91" s="32"/>
      <c r="E91" s="49">
        <v>0.44427956571843286</v>
      </c>
      <c r="F91" s="34" t="s">
        <v>22</v>
      </c>
      <c r="G91" s="50">
        <v>6.791000238720458</v>
      </c>
      <c r="H91" s="51"/>
      <c r="I91" s="34" t="s">
        <v>22</v>
      </c>
      <c r="J91" s="50">
        <v>7.208762060782731</v>
      </c>
      <c r="K91" s="49">
        <v>0.62982481958389513</v>
      </c>
      <c r="L91" s="38" t="s">
        <v>9</v>
      </c>
      <c r="M91" s="65" t="s">
        <v>11</v>
      </c>
    </row>
    <row r="92" spans="3:13" ht="33.75" customHeight="1" thickBot="1">
      <c r="C92" s="39"/>
      <c r="D92" s="37"/>
      <c r="E92" s="49">
        <v>0.3734965407527655</v>
      </c>
      <c r="F92" s="40" t="s">
        <v>23</v>
      </c>
      <c r="G92" s="50">
        <v>7.7874773919040248</v>
      </c>
      <c r="H92" s="51"/>
      <c r="I92" s="40" t="s">
        <v>23</v>
      </c>
      <c r="J92" s="50">
        <v>7.7129041224180108</v>
      </c>
      <c r="K92" s="49">
        <v>0.32931849690961457</v>
      </c>
      <c r="L92" s="38"/>
      <c r="M92" s="66" t="s">
        <v>11</v>
      </c>
    </row>
    <row r="93" spans="3:13" ht="33.75" customHeight="1" thickBot="1">
      <c r="C93" s="39"/>
      <c r="D93" s="37"/>
      <c r="E93" s="49">
        <v>0.85964300667972271</v>
      </c>
      <c r="F93" s="40" t="s">
        <v>24</v>
      </c>
      <c r="G93" s="50">
        <v>7.7838841674535724</v>
      </c>
      <c r="H93" s="51"/>
      <c r="I93" s="40" t="s">
        <v>24</v>
      </c>
      <c r="J93" s="50">
        <v>7.3553227108452175</v>
      </c>
      <c r="K93" s="49">
        <v>0.55105414430554678</v>
      </c>
      <c r="L93" s="38"/>
      <c r="M93" s="66" t="s">
        <v>11</v>
      </c>
    </row>
    <row r="94" spans="3:13" ht="33.75" customHeight="1" thickBot="1">
      <c r="C94" s="39"/>
      <c r="D94" s="37"/>
      <c r="E94" s="49">
        <v>0.48282380974632932</v>
      </c>
      <c r="F94" s="40" t="s">
        <v>25</v>
      </c>
      <c r="G94" s="50">
        <v>3.5081201786439302</v>
      </c>
      <c r="H94" s="51"/>
      <c r="I94" s="40" t="s">
        <v>25</v>
      </c>
      <c r="J94" s="50">
        <v>3.2345298429319373</v>
      </c>
      <c r="K94" s="49">
        <v>1.445642716686768E-2</v>
      </c>
      <c r="L94" s="38"/>
      <c r="M94" s="66" t="s">
        <v>11</v>
      </c>
    </row>
    <row r="95" spans="3:13" ht="33.75" customHeight="1" thickBot="1">
      <c r="C95" s="42"/>
      <c r="D95" s="43"/>
      <c r="E95" s="49">
        <v>1.3494888345553164</v>
      </c>
      <c r="F95" s="40" t="s">
        <v>26</v>
      </c>
      <c r="G95" s="50">
        <v>5.496555683122847</v>
      </c>
      <c r="H95" s="51"/>
      <c r="I95" s="40" t="s">
        <v>26</v>
      </c>
      <c r="J95" s="50">
        <v>5.2748917180732375</v>
      </c>
      <c r="K95" s="49">
        <v>-0.14671323849747964</v>
      </c>
      <c r="L95" s="44"/>
      <c r="M95" s="66" t="s">
        <v>11</v>
      </c>
    </row>
    <row r="96" spans="3:13" ht="13.5" thickBot="1">
      <c r="C96" s="48"/>
      <c r="D96" s="29"/>
      <c r="E96" s="29"/>
      <c r="F96" s="29"/>
      <c r="G96" s="29"/>
      <c r="H96" s="29"/>
      <c r="I96" s="29"/>
      <c r="J96" s="29"/>
      <c r="K96" s="29"/>
      <c r="L96" s="29"/>
      <c r="M96" s="30"/>
    </row>
    <row r="97" spans="3:18" ht="20.100000000000001" customHeight="1" thickBot="1">
      <c r="C97" s="3" t="s">
        <v>29</v>
      </c>
      <c r="D97" s="4"/>
      <c r="E97" s="4"/>
      <c r="F97" s="4"/>
      <c r="G97" s="4"/>
      <c r="H97" s="4"/>
      <c r="I97" s="4"/>
      <c r="J97" s="4"/>
      <c r="K97" s="4"/>
      <c r="L97" s="4"/>
      <c r="M97" s="5"/>
    </row>
    <row r="98" spans="3:18" ht="33.75" customHeight="1" thickBot="1">
      <c r="C98" s="31" t="s">
        <v>9</v>
      </c>
      <c r="D98" s="32"/>
      <c r="E98" s="33">
        <v>8.1149898084385663E-2</v>
      </c>
      <c r="F98" s="34" t="s">
        <v>22</v>
      </c>
      <c r="G98" s="62">
        <v>62.574926036316441</v>
      </c>
      <c r="H98" s="51"/>
      <c r="I98" s="34" t="s">
        <v>22</v>
      </c>
      <c r="J98" s="62">
        <v>71.020495255527905</v>
      </c>
      <c r="K98" s="33">
        <v>0.16385401763141161</v>
      </c>
      <c r="L98" s="38" t="s">
        <v>9</v>
      </c>
      <c r="M98" s="65" t="s">
        <v>11</v>
      </c>
    </row>
    <row r="99" spans="3:18" ht="33.75" customHeight="1" thickBot="1">
      <c r="C99" s="39"/>
      <c r="D99" s="37"/>
      <c r="E99" s="33">
        <v>5.5535341090955814E-2</v>
      </c>
      <c r="F99" s="40" t="s">
        <v>23</v>
      </c>
      <c r="G99" s="62">
        <v>70.795039659421647</v>
      </c>
      <c r="H99" s="51"/>
      <c r="I99" s="40" t="s">
        <v>23</v>
      </c>
      <c r="J99" s="62">
        <v>78.762218332062474</v>
      </c>
      <c r="K99" s="33">
        <v>0.11043531401360829</v>
      </c>
      <c r="L99" s="38"/>
      <c r="M99" s="66" t="s">
        <v>11</v>
      </c>
    </row>
    <row r="100" spans="3:18" ht="33.75" customHeight="1" thickBot="1">
      <c r="C100" s="39"/>
      <c r="D100" s="37"/>
      <c r="E100" s="33">
        <v>0.13343184275919362</v>
      </c>
      <c r="F100" s="40" t="s">
        <v>24</v>
      </c>
      <c r="G100" s="62">
        <v>62.691039501636816</v>
      </c>
      <c r="H100" s="51"/>
      <c r="I100" s="40" t="s">
        <v>24</v>
      </c>
      <c r="J100" s="62">
        <v>65.64594506912951</v>
      </c>
      <c r="K100" s="33">
        <v>0.17216082821674972</v>
      </c>
      <c r="L100" s="38"/>
      <c r="M100" s="66" t="s">
        <v>11</v>
      </c>
    </row>
    <row r="101" spans="3:18" ht="33.75" customHeight="1" thickBot="1">
      <c r="C101" s="39"/>
      <c r="D101" s="37"/>
      <c r="E101" s="33">
        <v>5.2906634424252141E-2</v>
      </c>
      <c r="F101" s="40" t="s">
        <v>25</v>
      </c>
      <c r="G101" s="62">
        <v>50.379721003454662</v>
      </c>
      <c r="H101" s="51"/>
      <c r="I101" s="40" t="s">
        <v>25</v>
      </c>
      <c r="J101" s="62">
        <v>48.104281049537981</v>
      </c>
      <c r="K101" s="33">
        <v>0.15090107889293214</v>
      </c>
      <c r="L101" s="38"/>
      <c r="M101" s="66" t="s">
        <v>11</v>
      </c>
    </row>
    <row r="102" spans="3:18" ht="33.75" customHeight="1" thickBot="1">
      <c r="C102" s="42"/>
      <c r="D102" s="43"/>
      <c r="E102" s="33">
        <v>0.24880130097054587</v>
      </c>
      <c r="F102" s="40" t="s">
        <v>26</v>
      </c>
      <c r="G102" s="62">
        <v>60.741586576585149</v>
      </c>
      <c r="H102" s="51"/>
      <c r="I102" s="40" t="s">
        <v>26</v>
      </c>
      <c r="J102" s="62">
        <v>53.714638560174926</v>
      </c>
      <c r="K102" s="33">
        <v>7.5811220745325425E-2</v>
      </c>
      <c r="L102" s="44"/>
      <c r="M102" s="66" t="s">
        <v>11</v>
      </c>
    </row>
    <row r="103" spans="3:18" ht="17.25" customHeight="1" thickBot="1">
      <c r="C103" s="68"/>
      <c r="D103" s="69"/>
      <c r="E103" s="69"/>
      <c r="F103" s="69"/>
      <c r="G103" s="69"/>
      <c r="H103" s="69"/>
      <c r="I103" s="69"/>
      <c r="J103" s="69"/>
      <c r="K103" s="69"/>
      <c r="L103" s="69"/>
      <c r="M103" s="70"/>
    </row>
    <row r="104" spans="3:18" ht="21.75" customHeight="1" thickBot="1">
      <c r="C104" s="1"/>
      <c r="D104" s="2"/>
      <c r="E104" s="3" t="str">
        <f>$E$1</f>
        <v>INDICADORES TURÍSTICOS DE TENERIFE (definitivo 63,2%)</v>
      </c>
      <c r="F104" s="4"/>
      <c r="G104" s="4"/>
      <c r="H104" s="4"/>
      <c r="I104" s="4"/>
      <c r="J104" s="4"/>
      <c r="K104" s="5"/>
      <c r="L104" s="2"/>
      <c r="M104" s="6"/>
    </row>
    <row r="105" spans="3:18" s="57" customFormat="1" ht="21.75" customHeight="1" thickBot="1">
      <c r="C105" s="1"/>
      <c r="D105" s="2"/>
      <c r="E105" s="71"/>
      <c r="F105" s="71"/>
      <c r="G105" s="71"/>
      <c r="H105" s="71"/>
      <c r="I105" s="71"/>
      <c r="J105" s="71"/>
      <c r="K105" s="71"/>
      <c r="L105" s="2"/>
      <c r="M105" s="6"/>
    </row>
    <row r="106" spans="3:18" ht="33" customHeight="1">
      <c r="C106" s="58" t="s">
        <v>30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1"/>
      <c r="O106" s="72"/>
      <c r="P106" s="72"/>
      <c r="Q106" s="72"/>
      <c r="R106" s="73"/>
    </row>
    <row r="107" spans="3:18" ht="20.100000000000001" customHeight="1" thickBot="1">
      <c r="C107" s="74"/>
      <c r="D107" s="75"/>
      <c r="E107" s="75"/>
      <c r="F107" s="75"/>
      <c r="G107" s="18" t="str">
        <f>E3</f>
        <v>diciembre 2011</v>
      </c>
      <c r="H107" s="18"/>
      <c r="I107" s="18"/>
      <c r="J107" s="75"/>
      <c r="K107" s="75"/>
      <c r="L107" s="75"/>
      <c r="M107" s="76"/>
      <c r="O107" s="77"/>
      <c r="P107" s="78"/>
      <c r="Q107" s="57"/>
      <c r="R107" s="57"/>
    </row>
    <row r="108" spans="3:18" ht="17.25" customHeight="1" thickBot="1">
      <c r="C108" s="79"/>
      <c r="D108" s="80" t="s">
        <v>9</v>
      </c>
      <c r="E108" s="81"/>
      <c r="F108" s="80" t="s">
        <v>31</v>
      </c>
      <c r="G108" s="81"/>
      <c r="H108" s="80" t="s">
        <v>32</v>
      </c>
      <c r="I108" s="81"/>
      <c r="J108" s="80" t="s">
        <v>33</v>
      </c>
      <c r="K108" s="81"/>
      <c r="L108" s="80" t="s">
        <v>34</v>
      </c>
      <c r="M108" s="81"/>
    </row>
    <row r="109" spans="3:18" ht="28.5" customHeight="1" thickBot="1">
      <c r="C109" s="79"/>
      <c r="D109" s="82" t="s">
        <v>35</v>
      </c>
      <c r="E109" s="82" t="s">
        <v>36</v>
      </c>
      <c r="F109" s="82" t="s">
        <v>35</v>
      </c>
      <c r="G109" s="82" t="s">
        <v>36</v>
      </c>
      <c r="H109" s="82" t="s">
        <v>35</v>
      </c>
      <c r="I109" s="82" t="s">
        <v>36</v>
      </c>
      <c r="J109" s="82" t="s">
        <v>35</v>
      </c>
      <c r="K109" s="82" t="s">
        <v>36</v>
      </c>
      <c r="L109" s="82" t="s">
        <v>35</v>
      </c>
      <c r="M109" s="82" t="s">
        <v>36</v>
      </c>
    </row>
    <row r="110" spans="3:18" ht="24" customHeight="1" thickBot="1">
      <c r="C110" s="83" t="s">
        <v>37</v>
      </c>
      <c r="D110" s="33">
        <v>-0.10859967833511441</v>
      </c>
      <c r="E110" s="41">
        <v>82582</v>
      </c>
      <c r="F110" s="33">
        <v>-0.14221150949081052</v>
      </c>
      <c r="G110" s="41">
        <v>8541</v>
      </c>
      <c r="H110" s="33">
        <v>-0.75479233226837061</v>
      </c>
      <c r="I110" s="41">
        <v>614</v>
      </c>
      <c r="J110" s="33">
        <v>-0.16659068113431208</v>
      </c>
      <c r="K110" s="41">
        <v>27420</v>
      </c>
      <c r="L110" s="33">
        <v>-2.6945284575199291E-2</v>
      </c>
      <c r="M110" s="41">
        <v>46007</v>
      </c>
    </row>
    <row r="111" spans="3:18" ht="24" customHeight="1" thickBot="1">
      <c r="C111" s="84" t="s">
        <v>42</v>
      </c>
      <c r="D111" s="33">
        <v>-0.10821659058712418</v>
      </c>
      <c r="E111" s="41">
        <v>11331</v>
      </c>
      <c r="F111" s="33">
        <v>0.25233644859813076</v>
      </c>
      <c r="G111" s="41">
        <v>134</v>
      </c>
      <c r="H111" s="33">
        <v>-0.91262135922330101</v>
      </c>
      <c r="I111" s="41">
        <v>9</v>
      </c>
      <c r="J111" s="33">
        <v>-0.2857142857142857</v>
      </c>
      <c r="K111" s="41">
        <v>415</v>
      </c>
      <c r="L111" s="33">
        <v>-9.5845572807385704E-2</v>
      </c>
      <c r="M111" s="41">
        <v>10773</v>
      </c>
    </row>
    <row r="112" spans="3:18" ht="24" customHeight="1" thickBot="1">
      <c r="C112" s="84" t="s">
        <v>43</v>
      </c>
      <c r="D112" s="33">
        <v>6.7489297406194915E-2</v>
      </c>
      <c r="E112" s="41">
        <v>12717</v>
      </c>
      <c r="F112" s="33">
        <v>0.64864864864864868</v>
      </c>
      <c r="G112" s="41">
        <v>122</v>
      </c>
      <c r="H112" s="33">
        <v>-0.84615384615384615</v>
      </c>
      <c r="I112" s="41">
        <v>2</v>
      </c>
      <c r="J112" s="33">
        <v>0.61849710982658967</v>
      </c>
      <c r="K112" s="41">
        <v>280</v>
      </c>
      <c r="L112" s="33">
        <v>5.6637775680082436E-2</v>
      </c>
      <c r="M112" s="41">
        <v>12313</v>
      </c>
    </row>
    <row r="113" spans="3:13" ht="24" customHeight="1" thickBot="1">
      <c r="C113" s="84" t="s">
        <v>44</v>
      </c>
      <c r="D113" s="33">
        <v>-5.9495383635784771E-3</v>
      </c>
      <c r="E113" s="41">
        <v>49957</v>
      </c>
      <c r="F113" s="33">
        <v>8.4142394822006583E-2</v>
      </c>
      <c r="G113" s="41">
        <v>670</v>
      </c>
      <c r="H113" s="33">
        <v>-0.17009750812567714</v>
      </c>
      <c r="I113" s="41">
        <v>766</v>
      </c>
      <c r="J113" s="33">
        <v>0.19736842105263164</v>
      </c>
      <c r="K113" s="41">
        <v>18018</v>
      </c>
      <c r="L113" s="33">
        <v>-9.3979267532004584E-2</v>
      </c>
      <c r="M113" s="41">
        <v>30503</v>
      </c>
    </row>
    <row r="114" spans="3:13" ht="24" customHeight="1" thickBot="1">
      <c r="C114" s="84" t="s">
        <v>45</v>
      </c>
      <c r="D114" s="33">
        <v>0.19361419973477512</v>
      </c>
      <c r="E114" s="41">
        <v>11701</v>
      </c>
      <c r="F114" s="33">
        <v>-4.3988269794721369E-2</v>
      </c>
      <c r="G114" s="41">
        <v>326</v>
      </c>
      <c r="H114" s="33">
        <v>-0.49689440993788825</v>
      </c>
      <c r="I114" s="41">
        <v>81</v>
      </c>
      <c r="J114" s="33">
        <v>0.53592561284868978</v>
      </c>
      <c r="K114" s="41">
        <v>1817</v>
      </c>
      <c r="L114" s="33">
        <v>0.16740576496674064</v>
      </c>
      <c r="M114" s="41">
        <v>9477</v>
      </c>
    </row>
    <row r="115" spans="3:13" ht="24" customHeight="1" thickBot="1">
      <c r="C115" s="84" t="s">
        <v>46</v>
      </c>
      <c r="D115" s="33">
        <v>3.2043501868472379E-2</v>
      </c>
      <c r="E115" s="41">
        <v>129249</v>
      </c>
      <c r="F115" s="33">
        <v>-6.6193853427895966E-2</v>
      </c>
      <c r="G115" s="41">
        <v>395</v>
      </c>
      <c r="H115" s="33">
        <v>-0.9285714285714286</v>
      </c>
      <c r="I115" s="41">
        <v>6</v>
      </c>
      <c r="J115" s="33">
        <v>-5.5133450224040481E-2</v>
      </c>
      <c r="K115" s="41">
        <v>4850</v>
      </c>
      <c r="L115" s="33">
        <v>3.6807251078631475E-2</v>
      </c>
      <c r="M115" s="41">
        <v>123998</v>
      </c>
    </row>
    <row r="116" spans="3:13" ht="24" customHeight="1" thickBot="1">
      <c r="C116" s="84" t="s">
        <v>47</v>
      </c>
      <c r="D116" s="33">
        <v>0.16095263020151784</v>
      </c>
      <c r="E116" s="41">
        <v>4436</v>
      </c>
      <c r="F116" s="33">
        <v>0.1515151515151516</v>
      </c>
      <c r="G116" s="41">
        <v>76</v>
      </c>
      <c r="H116" s="33">
        <v>-1</v>
      </c>
      <c r="I116" s="41">
        <v>0</v>
      </c>
      <c r="J116" s="33">
        <v>0.2921348314606742</v>
      </c>
      <c r="K116" s="41">
        <v>230</v>
      </c>
      <c r="L116" s="33">
        <v>0.15621500559910406</v>
      </c>
      <c r="M116" s="41">
        <v>4130</v>
      </c>
    </row>
    <row r="117" spans="3:13" ht="24" customHeight="1" thickBot="1">
      <c r="C117" s="84" t="s">
        <v>48</v>
      </c>
      <c r="D117" s="33">
        <v>-6.447204968944098E-2</v>
      </c>
      <c r="E117" s="41">
        <v>7531</v>
      </c>
      <c r="F117" s="33">
        <v>0.14482758620689662</v>
      </c>
      <c r="G117" s="41">
        <v>332</v>
      </c>
      <c r="H117" s="33">
        <v>-0.91791044776119401</v>
      </c>
      <c r="I117" s="41">
        <v>11</v>
      </c>
      <c r="J117" s="33">
        <v>-5.5205047318611977E-2</v>
      </c>
      <c r="K117" s="41">
        <v>599</v>
      </c>
      <c r="L117" s="33">
        <v>-5.763729977116705E-2</v>
      </c>
      <c r="M117" s="41">
        <v>6589</v>
      </c>
    </row>
    <row r="118" spans="3:13" ht="24" customHeight="1" thickBot="1">
      <c r="C118" s="84" t="s">
        <v>49</v>
      </c>
      <c r="D118" s="33">
        <v>0.12861096839418606</v>
      </c>
      <c r="E118" s="41">
        <v>68097</v>
      </c>
      <c r="F118" s="33">
        <v>0.34482758620689657</v>
      </c>
      <c r="G118" s="41">
        <v>312</v>
      </c>
      <c r="H118" s="33">
        <v>-0.79245283018867929</v>
      </c>
      <c r="I118" s="41">
        <v>11</v>
      </c>
      <c r="J118" s="33">
        <v>-8.6452659636110818E-2</v>
      </c>
      <c r="K118" s="41">
        <v>7883</v>
      </c>
      <c r="L118" s="33">
        <v>0.1646733951733661</v>
      </c>
      <c r="M118" s="41">
        <v>59891</v>
      </c>
    </row>
    <row r="119" spans="3:13" ht="24" customHeight="1" thickBot="1">
      <c r="C119" s="85" t="s">
        <v>50</v>
      </c>
      <c r="D119" s="33">
        <v>0.55190046020112504</v>
      </c>
      <c r="E119" s="41">
        <v>27315</v>
      </c>
      <c r="F119" s="33">
        <v>0.52</v>
      </c>
      <c r="G119" s="41">
        <v>76</v>
      </c>
      <c r="H119" s="33">
        <v>-1</v>
      </c>
      <c r="I119" s="41">
        <v>0</v>
      </c>
      <c r="J119" s="33">
        <v>0.45819209039548014</v>
      </c>
      <c r="K119" s="41">
        <v>2581</v>
      </c>
      <c r="L119" s="33">
        <v>0.56479248635613666</v>
      </c>
      <c r="M119" s="41">
        <v>24658</v>
      </c>
    </row>
    <row r="120" spans="3:13" ht="24" customHeight="1" thickBot="1">
      <c r="C120" s="85" t="s">
        <v>51</v>
      </c>
      <c r="D120" s="33">
        <v>9.8549137695045363E-3</v>
      </c>
      <c r="E120" s="41">
        <v>11067</v>
      </c>
      <c r="F120" s="33">
        <v>0.5862068965517242</v>
      </c>
      <c r="G120" s="41">
        <v>92</v>
      </c>
      <c r="H120" s="33">
        <v>-1</v>
      </c>
      <c r="I120" s="41">
        <v>0</v>
      </c>
      <c r="J120" s="33">
        <v>-0.13017031630170317</v>
      </c>
      <c r="K120" s="41">
        <v>715</v>
      </c>
      <c r="L120" s="33">
        <v>1.8969113119475578E-2</v>
      </c>
      <c r="M120" s="41">
        <v>10260</v>
      </c>
    </row>
    <row r="121" spans="3:13" ht="24" customHeight="1" thickBot="1">
      <c r="C121" s="85" t="s">
        <v>52</v>
      </c>
      <c r="D121" s="33">
        <v>-2.4249526728567616E-2</v>
      </c>
      <c r="E121" s="41">
        <v>10824</v>
      </c>
      <c r="F121" s="33">
        <v>0.52</v>
      </c>
      <c r="G121" s="41">
        <v>76</v>
      </c>
      <c r="H121" s="33">
        <v>-0.33333333333333337</v>
      </c>
      <c r="I121" s="41">
        <v>10</v>
      </c>
      <c r="J121" s="33">
        <v>-0.32818930041152261</v>
      </c>
      <c r="K121" s="41">
        <v>653</v>
      </c>
      <c r="L121" s="33">
        <v>2.8838504375496843E-3</v>
      </c>
      <c r="M121" s="41">
        <v>10085</v>
      </c>
    </row>
    <row r="122" spans="3:13" ht="24" customHeight="1" thickBot="1">
      <c r="C122" s="85" t="s">
        <v>53</v>
      </c>
      <c r="D122" s="33">
        <v>-8.6685360665248457E-2</v>
      </c>
      <c r="E122" s="41">
        <v>18891</v>
      </c>
      <c r="F122" s="33">
        <v>-8.108108108108103E-2</v>
      </c>
      <c r="G122" s="41">
        <v>68</v>
      </c>
      <c r="H122" s="33">
        <v>-0.8</v>
      </c>
      <c r="I122" s="41">
        <v>1</v>
      </c>
      <c r="J122" s="33">
        <v>-0.22329713721618949</v>
      </c>
      <c r="K122" s="41">
        <v>3934</v>
      </c>
      <c r="L122" s="33">
        <v>-4.1956241956241924E-2</v>
      </c>
      <c r="M122" s="41">
        <v>14888</v>
      </c>
    </row>
    <row r="123" spans="3:13" ht="24" customHeight="1" thickBot="1">
      <c r="C123" s="84" t="s">
        <v>54</v>
      </c>
      <c r="D123" s="33">
        <v>0.24669402644778837</v>
      </c>
      <c r="E123" s="41">
        <v>2734</v>
      </c>
      <c r="F123" s="33">
        <v>-0.24390243902439024</v>
      </c>
      <c r="G123" s="41">
        <v>62</v>
      </c>
      <c r="H123" s="33">
        <v>-0.26666666666666672</v>
      </c>
      <c r="I123" s="41">
        <v>22</v>
      </c>
      <c r="J123" s="33">
        <v>0.4147157190635451</v>
      </c>
      <c r="K123" s="41">
        <v>423</v>
      </c>
      <c r="L123" s="33">
        <v>0.24971941638608297</v>
      </c>
      <c r="M123" s="41">
        <v>2227</v>
      </c>
    </row>
    <row r="124" spans="3:13" ht="24" customHeight="1" thickBot="1">
      <c r="C124" s="84" t="s">
        <v>55</v>
      </c>
      <c r="D124" s="33">
        <v>1.7266187050359649E-2</v>
      </c>
      <c r="E124" s="41">
        <v>2828</v>
      </c>
      <c r="F124" s="33">
        <v>0.55882352941176472</v>
      </c>
      <c r="G124" s="41">
        <v>53</v>
      </c>
      <c r="H124" s="33">
        <v>-0.8125</v>
      </c>
      <c r="I124" s="41">
        <v>6</v>
      </c>
      <c r="J124" s="33">
        <v>0.17611336032388669</v>
      </c>
      <c r="K124" s="41">
        <v>581</v>
      </c>
      <c r="L124" s="33">
        <v>-1.4414414414414378E-2</v>
      </c>
      <c r="M124" s="41">
        <v>2188</v>
      </c>
    </row>
    <row r="125" spans="3:13" ht="24" customHeight="1" thickBot="1">
      <c r="C125" s="84" t="s">
        <v>56</v>
      </c>
      <c r="D125" s="33">
        <v>0.59569631762388231</v>
      </c>
      <c r="E125" s="41">
        <v>10530</v>
      </c>
      <c r="F125" s="33">
        <v>1.9736842105263159</v>
      </c>
      <c r="G125" s="41">
        <v>113</v>
      </c>
      <c r="H125" s="33">
        <v>-0.79166666666666663</v>
      </c>
      <c r="I125" s="41">
        <v>10</v>
      </c>
      <c r="J125" s="33">
        <v>2.4873417721518987</v>
      </c>
      <c r="K125" s="41">
        <v>551</v>
      </c>
      <c r="L125" s="33">
        <v>0.55090479937057446</v>
      </c>
      <c r="M125" s="41">
        <v>9856</v>
      </c>
    </row>
    <row r="126" spans="3:13" ht="24" customHeight="1" thickBot="1">
      <c r="C126" s="84" t="s">
        <v>57</v>
      </c>
      <c r="D126" s="33">
        <v>0.41610247026532488</v>
      </c>
      <c r="E126" s="41">
        <v>7739</v>
      </c>
      <c r="F126" s="33">
        <v>1.25</v>
      </c>
      <c r="G126" s="41">
        <v>171</v>
      </c>
      <c r="H126" s="33">
        <v>-0.38235294117647056</v>
      </c>
      <c r="I126" s="41">
        <v>21</v>
      </c>
      <c r="J126" s="33">
        <v>0.26222222222222213</v>
      </c>
      <c r="K126" s="41">
        <v>284</v>
      </c>
      <c r="L126" s="33">
        <v>0.41578947368421049</v>
      </c>
      <c r="M126" s="41">
        <v>7263</v>
      </c>
    </row>
    <row r="127" spans="3:13" ht="24" customHeight="1" thickBot="1">
      <c r="C127" s="84" t="s">
        <v>58</v>
      </c>
      <c r="D127" s="33">
        <v>0.10983697153909922</v>
      </c>
      <c r="E127" s="41">
        <v>8033</v>
      </c>
      <c r="F127" s="33">
        <v>-0.24358974358974361</v>
      </c>
      <c r="G127" s="41">
        <v>177</v>
      </c>
      <c r="H127" s="33">
        <v>-0.66666666666666674</v>
      </c>
      <c r="I127" s="41">
        <v>11</v>
      </c>
      <c r="J127" s="33">
        <v>-6.4479638009049767E-2</v>
      </c>
      <c r="K127" s="41">
        <v>827</v>
      </c>
      <c r="L127" s="33">
        <v>0.15294890750780343</v>
      </c>
      <c r="M127" s="41">
        <v>7018</v>
      </c>
    </row>
    <row r="128" spans="3:13" ht="24" customHeight="1" thickBot="1">
      <c r="C128" s="84" t="s">
        <v>59</v>
      </c>
      <c r="D128" s="33">
        <v>0.13951612903225796</v>
      </c>
      <c r="E128" s="41">
        <v>1413</v>
      </c>
      <c r="F128" s="33">
        <v>-0.42000000000000004</v>
      </c>
      <c r="G128" s="41">
        <v>87</v>
      </c>
      <c r="H128" s="33">
        <v>-0.16949152542372881</v>
      </c>
      <c r="I128" s="41">
        <v>49</v>
      </c>
      <c r="J128" s="33">
        <v>0.27016129032258074</v>
      </c>
      <c r="K128" s="41">
        <v>315</v>
      </c>
      <c r="L128" s="33">
        <v>0.22860791826309068</v>
      </c>
      <c r="M128" s="41">
        <v>962</v>
      </c>
    </row>
    <row r="129" spans="3:18" ht="24" customHeight="1" thickBot="1">
      <c r="C129" s="84" t="s">
        <v>60</v>
      </c>
      <c r="D129" s="33">
        <v>7.6823757262750147E-2</v>
      </c>
      <c r="E129" s="41">
        <v>1668</v>
      </c>
      <c r="F129" s="33">
        <v>-4.398148148148151E-2</v>
      </c>
      <c r="G129" s="41">
        <v>413</v>
      </c>
      <c r="H129" s="33">
        <v>-0.76760563380281688</v>
      </c>
      <c r="I129" s="41">
        <v>33</v>
      </c>
      <c r="J129" s="33">
        <v>0.22188449848024305</v>
      </c>
      <c r="K129" s="41">
        <v>402</v>
      </c>
      <c r="L129" s="33">
        <v>0.26934984520123839</v>
      </c>
      <c r="M129" s="41">
        <v>820</v>
      </c>
    </row>
    <row r="130" spans="3:18" ht="24" customHeight="1" thickBot="1">
      <c r="C130" s="84" t="s">
        <v>61</v>
      </c>
      <c r="D130" s="33">
        <v>-9.5317725752508409E-2</v>
      </c>
      <c r="E130" s="41">
        <v>3787</v>
      </c>
      <c r="F130" s="33">
        <v>0.53741496598639449</v>
      </c>
      <c r="G130" s="41">
        <v>452</v>
      </c>
      <c r="H130" s="33">
        <v>-0.29411764705882348</v>
      </c>
      <c r="I130" s="41">
        <v>12</v>
      </c>
      <c r="J130" s="33">
        <v>0.33924611973392471</v>
      </c>
      <c r="K130" s="41">
        <v>604</v>
      </c>
      <c r="L130" s="33">
        <v>-0.20589953271028039</v>
      </c>
      <c r="M130" s="41">
        <v>2719</v>
      </c>
    </row>
    <row r="131" spans="3:18" ht="24" customHeight="1" thickBot="1">
      <c r="C131" s="84" t="s">
        <v>62</v>
      </c>
      <c r="D131" s="33">
        <v>6.5031336558467157E-2</v>
      </c>
      <c r="E131" s="41">
        <v>333751</v>
      </c>
      <c r="F131" s="33">
        <v>0.11572615296476663</v>
      </c>
      <c r="G131" s="41">
        <v>3895</v>
      </c>
      <c r="H131" s="33">
        <v>-0.4388027792624265</v>
      </c>
      <c r="I131" s="41">
        <v>1050</v>
      </c>
      <c r="J131" s="33">
        <v>9.9056195341588049E-2</v>
      </c>
      <c r="K131" s="41">
        <v>38079</v>
      </c>
      <c r="L131" s="33">
        <v>6.351993503144171E-2</v>
      </c>
      <c r="M131" s="41">
        <v>290727</v>
      </c>
    </row>
    <row r="132" spans="3:18" ht="24" customHeight="1" thickBot="1">
      <c r="C132" s="84" t="s">
        <v>10</v>
      </c>
      <c r="D132" s="33">
        <v>2.541285420489392E-2</v>
      </c>
      <c r="E132" s="41">
        <v>416333</v>
      </c>
      <c r="F132" s="33">
        <v>-7.5252825698988723E-2</v>
      </c>
      <c r="G132" s="41">
        <v>12436</v>
      </c>
      <c r="H132" s="33">
        <v>-0.61965714285714291</v>
      </c>
      <c r="I132" s="41">
        <v>1664</v>
      </c>
      <c r="J132" s="33">
        <v>-3.033398472197546E-2</v>
      </c>
      <c r="K132" s="41">
        <v>65499</v>
      </c>
      <c r="L132" s="33">
        <v>5.0180262222277561E-2</v>
      </c>
      <c r="M132" s="41">
        <v>336734</v>
      </c>
    </row>
    <row r="133" spans="3:18" ht="13.5" thickBot="1"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6"/>
    </row>
    <row r="134" spans="3:18" ht="35.25" customHeight="1">
      <c r="C134" s="58" t="s">
        <v>30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1"/>
      <c r="O134" s="86"/>
      <c r="P134" s="86"/>
      <c r="Q134" s="86"/>
      <c r="R134" s="87"/>
    </row>
    <row r="135" spans="3:18" ht="20.100000000000001" customHeight="1" thickBot="1">
      <c r="C135" s="74"/>
      <c r="D135" s="75"/>
      <c r="E135" s="75"/>
      <c r="F135" s="75"/>
      <c r="G135" s="88" t="str">
        <f>I2</f>
        <v>año 2011</v>
      </c>
      <c r="H135" s="89"/>
      <c r="I135" s="89"/>
      <c r="J135" s="75"/>
      <c r="K135" s="75"/>
      <c r="L135" s="75"/>
      <c r="M135" s="76"/>
      <c r="O135" s="90"/>
      <c r="P135" s="90"/>
      <c r="Q135" s="91"/>
      <c r="R135" s="92"/>
    </row>
    <row r="136" spans="3:18" ht="13.5" thickBot="1">
      <c r="C136" s="79"/>
      <c r="D136" s="80" t="s">
        <v>9</v>
      </c>
      <c r="E136" s="81"/>
      <c r="F136" s="80" t="s">
        <v>31</v>
      </c>
      <c r="G136" s="81"/>
      <c r="H136" s="80" t="s">
        <v>32</v>
      </c>
      <c r="I136" s="81"/>
      <c r="J136" s="80" t="s">
        <v>33</v>
      </c>
      <c r="K136" s="81"/>
      <c r="L136" s="80" t="s">
        <v>34</v>
      </c>
      <c r="M136" s="81"/>
    </row>
    <row r="137" spans="3:18" ht="28.5" customHeight="1" thickBot="1">
      <c r="C137" s="79"/>
      <c r="D137" s="82" t="s">
        <v>63</v>
      </c>
      <c r="E137" s="82" t="s">
        <v>64</v>
      </c>
      <c r="F137" s="82" t="s">
        <v>63</v>
      </c>
      <c r="G137" s="82" t="s">
        <v>64</v>
      </c>
      <c r="H137" s="82" t="s">
        <v>63</v>
      </c>
      <c r="I137" s="82" t="s">
        <v>64</v>
      </c>
      <c r="J137" s="82" t="s">
        <v>63</v>
      </c>
      <c r="K137" s="82" t="s">
        <v>64</v>
      </c>
      <c r="L137" s="82" t="s">
        <v>63</v>
      </c>
      <c r="M137" s="82" t="s">
        <v>64</v>
      </c>
    </row>
    <row r="138" spans="3:18" ht="24" customHeight="1" thickBot="1">
      <c r="C138" s="83" t="s">
        <v>37</v>
      </c>
      <c r="D138" s="33">
        <v>-0.11177451124824711</v>
      </c>
      <c r="E138" s="41">
        <v>1302302</v>
      </c>
      <c r="F138" s="33">
        <v>-3.7376491442834281E-2</v>
      </c>
      <c r="G138" s="41">
        <v>121099</v>
      </c>
      <c r="H138" s="33">
        <v>-0.44735344336937966</v>
      </c>
      <c r="I138" s="41">
        <v>14565</v>
      </c>
      <c r="J138" s="33">
        <v>-9.0113400349775774E-2</v>
      </c>
      <c r="K138" s="41">
        <v>443789</v>
      </c>
      <c r="L138" s="33">
        <v>-0.1251841067328906</v>
      </c>
      <c r="M138" s="41">
        <v>722849</v>
      </c>
    </row>
    <row r="139" spans="3:18" ht="24" customHeight="1" thickBot="1">
      <c r="C139" s="84" t="s">
        <v>42</v>
      </c>
      <c r="D139" s="33">
        <v>9.1262452120843163E-2</v>
      </c>
      <c r="E139" s="41">
        <v>154131</v>
      </c>
      <c r="F139" s="33">
        <v>6.1881188118811936E-2</v>
      </c>
      <c r="G139" s="41">
        <v>858</v>
      </c>
      <c r="H139" s="33">
        <v>-9.5163806552262087E-2</v>
      </c>
      <c r="I139" s="41">
        <v>580</v>
      </c>
      <c r="J139" s="33">
        <v>5.4788516326977899E-2</v>
      </c>
      <c r="K139" s="41">
        <v>4813</v>
      </c>
      <c r="L139" s="33">
        <v>9.3552418490116862E-2</v>
      </c>
      <c r="M139" s="41">
        <v>147880</v>
      </c>
    </row>
    <row r="140" spans="3:18" ht="24" customHeight="1" thickBot="1">
      <c r="C140" s="84" t="s">
        <v>43</v>
      </c>
      <c r="D140" s="33">
        <v>0.10963169678050022</v>
      </c>
      <c r="E140" s="41">
        <v>140759</v>
      </c>
      <c r="F140" s="33">
        <v>0.13868613138686126</v>
      </c>
      <c r="G140" s="41">
        <v>780</v>
      </c>
      <c r="H140" s="33">
        <v>-8.203125E-2</v>
      </c>
      <c r="I140" s="41">
        <v>235</v>
      </c>
      <c r="J140" s="33">
        <v>-2.1683204704152859E-2</v>
      </c>
      <c r="K140" s="41">
        <v>2662</v>
      </c>
      <c r="L140" s="33">
        <v>0.11276889357902431</v>
      </c>
      <c r="M140" s="41">
        <v>137082</v>
      </c>
    </row>
    <row r="141" spans="3:18" ht="24" customHeight="1" thickBot="1">
      <c r="C141" s="84" t="s">
        <v>44</v>
      </c>
      <c r="D141" s="33">
        <v>9.8684823829038315E-2</v>
      </c>
      <c r="E141" s="41">
        <v>589284</v>
      </c>
      <c r="F141" s="33">
        <v>0.21530977982590893</v>
      </c>
      <c r="G141" s="41">
        <v>4747</v>
      </c>
      <c r="H141" s="33">
        <v>6.4432432432432352E-2</v>
      </c>
      <c r="I141" s="41">
        <v>9846</v>
      </c>
      <c r="J141" s="33">
        <v>0.20528288907996561</v>
      </c>
      <c r="K141" s="41">
        <v>175218</v>
      </c>
      <c r="L141" s="33">
        <v>5.7301964147232987E-2</v>
      </c>
      <c r="M141" s="41">
        <v>399473</v>
      </c>
    </row>
    <row r="142" spans="3:18" ht="24" customHeight="1" thickBot="1">
      <c r="C142" s="84" t="s">
        <v>45</v>
      </c>
      <c r="D142" s="33">
        <v>0.45540697726842372</v>
      </c>
      <c r="E142" s="41">
        <v>161409</v>
      </c>
      <c r="F142" s="33">
        <v>0.42914816310052473</v>
      </c>
      <c r="G142" s="41">
        <v>3540</v>
      </c>
      <c r="H142" s="33">
        <v>2.7182866556836993E-2</v>
      </c>
      <c r="I142" s="41">
        <v>1247</v>
      </c>
      <c r="J142" s="33">
        <v>0.37583211817663087</v>
      </c>
      <c r="K142" s="41">
        <v>21701</v>
      </c>
      <c r="L142" s="33">
        <v>0.47553013484399442</v>
      </c>
      <c r="M142" s="41">
        <v>134921</v>
      </c>
    </row>
    <row r="143" spans="3:18" ht="24" customHeight="1" thickBot="1">
      <c r="C143" s="84" t="s">
        <v>46</v>
      </c>
      <c r="D143" s="33">
        <v>0.10605875671396214</v>
      </c>
      <c r="E143" s="41">
        <v>1658315</v>
      </c>
      <c r="F143" s="33">
        <v>0.15111876075731501</v>
      </c>
      <c r="G143" s="41">
        <v>3344</v>
      </c>
      <c r="H143" s="33">
        <v>-0.25</v>
      </c>
      <c r="I143" s="41">
        <v>597</v>
      </c>
      <c r="J143" s="33">
        <v>0.28614028263969926</v>
      </c>
      <c r="K143" s="41">
        <v>59520</v>
      </c>
      <c r="L143" s="33">
        <v>0.10041384868234937</v>
      </c>
      <c r="M143" s="41">
        <v>1594854</v>
      </c>
    </row>
    <row r="144" spans="3:18" ht="24" customHeight="1" thickBot="1">
      <c r="C144" s="84" t="s">
        <v>47</v>
      </c>
      <c r="D144" s="33">
        <v>9.1896592382973763E-2</v>
      </c>
      <c r="E144" s="41">
        <v>74083</v>
      </c>
      <c r="F144" s="33">
        <v>0.13715710723192021</v>
      </c>
      <c r="G144" s="41">
        <v>456</v>
      </c>
      <c r="H144" s="33">
        <v>-0.30666666666666664</v>
      </c>
      <c r="I144" s="41">
        <v>52</v>
      </c>
      <c r="J144" s="33">
        <v>0.18792325056433401</v>
      </c>
      <c r="K144" s="41">
        <v>2105</v>
      </c>
      <c r="L144" s="33">
        <v>8.9481707317073278E-2</v>
      </c>
      <c r="M144" s="41">
        <v>71470</v>
      </c>
    </row>
    <row r="145" spans="3:13" ht="24" customHeight="1" thickBot="1">
      <c r="C145" s="84" t="s">
        <v>48</v>
      </c>
      <c r="D145" s="33">
        <v>0.30208713541493837</v>
      </c>
      <c r="E145" s="41">
        <v>117723</v>
      </c>
      <c r="F145" s="33">
        <v>0.26286701208981</v>
      </c>
      <c r="G145" s="41">
        <v>3656</v>
      </c>
      <c r="H145" s="33">
        <v>-0.3361838588989845</v>
      </c>
      <c r="I145" s="41">
        <v>1242</v>
      </c>
      <c r="J145" s="33">
        <v>0.20411718131433099</v>
      </c>
      <c r="K145" s="41">
        <v>7604</v>
      </c>
      <c r="L145" s="33">
        <v>0.32637085591831583</v>
      </c>
      <c r="M145" s="41">
        <v>105221</v>
      </c>
    </row>
    <row r="146" spans="3:13" ht="24" customHeight="1" thickBot="1">
      <c r="C146" s="84" t="s">
        <v>49</v>
      </c>
      <c r="D146" s="33">
        <v>0.23628615608984149</v>
      </c>
      <c r="E146" s="41">
        <v>478104</v>
      </c>
      <c r="F146" s="33">
        <v>0.26455331412103744</v>
      </c>
      <c r="G146" s="41">
        <v>2194</v>
      </c>
      <c r="H146" s="33">
        <v>1.0797720797720798</v>
      </c>
      <c r="I146" s="41">
        <v>730</v>
      </c>
      <c r="J146" s="33">
        <v>0.16874753308266</v>
      </c>
      <c r="K146" s="41">
        <v>56260</v>
      </c>
      <c r="L146" s="33">
        <v>0.24492203635628806</v>
      </c>
      <c r="M146" s="41">
        <v>418920</v>
      </c>
    </row>
    <row r="147" spans="3:13" ht="24" customHeight="1" thickBot="1">
      <c r="C147" s="85" t="s">
        <v>50</v>
      </c>
      <c r="D147" s="33">
        <v>0.28770113611933379</v>
      </c>
      <c r="E147" s="41">
        <v>155732</v>
      </c>
      <c r="F147" s="33">
        <v>0.18655097613882865</v>
      </c>
      <c r="G147" s="41">
        <v>547</v>
      </c>
      <c r="H147" s="33">
        <v>0.46052631578947367</v>
      </c>
      <c r="I147" s="41">
        <v>222</v>
      </c>
      <c r="J147" s="33">
        <v>0.35772122614227886</v>
      </c>
      <c r="K147" s="41">
        <v>14085</v>
      </c>
      <c r="L147" s="33">
        <v>0.28127984283908281</v>
      </c>
      <c r="M147" s="41">
        <v>140878</v>
      </c>
    </row>
    <row r="148" spans="3:13" ht="24" customHeight="1" thickBot="1">
      <c r="C148" s="85" t="s">
        <v>51</v>
      </c>
      <c r="D148" s="33">
        <v>0.20188349050071142</v>
      </c>
      <c r="E148" s="41">
        <v>95462</v>
      </c>
      <c r="F148" s="33">
        <v>0.49705882352941178</v>
      </c>
      <c r="G148" s="41">
        <v>509</v>
      </c>
      <c r="H148" s="33">
        <v>0.42696629213483139</v>
      </c>
      <c r="I148" s="41">
        <v>127</v>
      </c>
      <c r="J148" s="33">
        <v>0.32485063067050235</v>
      </c>
      <c r="K148" s="41">
        <v>5987</v>
      </c>
      <c r="L148" s="33">
        <v>0.19280602585963824</v>
      </c>
      <c r="M148" s="41">
        <v>88839</v>
      </c>
    </row>
    <row r="149" spans="3:13" ht="24" customHeight="1" thickBot="1">
      <c r="C149" s="85" t="s">
        <v>52</v>
      </c>
      <c r="D149" s="33">
        <v>0.22430850247967693</v>
      </c>
      <c r="E149" s="41">
        <v>95785</v>
      </c>
      <c r="F149" s="33">
        <v>0.38297872340425543</v>
      </c>
      <c r="G149" s="41">
        <v>520</v>
      </c>
      <c r="H149" s="33">
        <v>2.5113636363636362</v>
      </c>
      <c r="I149" s="41">
        <v>309</v>
      </c>
      <c r="J149" s="33">
        <v>0.10684377707190307</v>
      </c>
      <c r="K149" s="41">
        <v>7666</v>
      </c>
      <c r="L149" s="33">
        <v>0.23210908167010125</v>
      </c>
      <c r="M149" s="41">
        <v>87290</v>
      </c>
    </row>
    <row r="150" spans="3:13" ht="24" customHeight="1" thickBot="1">
      <c r="C150" s="85" t="s">
        <v>53</v>
      </c>
      <c r="D150" s="33">
        <v>0.21271676300578024</v>
      </c>
      <c r="E150" s="41">
        <v>131125</v>
      </c>
      <c r="F150" s="33">
        <v>0.10752688172043001</v>
      </c>
      <c r="G150" s="41">
        <v>618</v>
      </c>
      <c r="H150" s="33">
        <v>2.2727272727272729</v>
      </c>
      <c r="I150" s="41">
        <v>72</v>
      </c>
      <c r="J150" s="33">
        <v>8.3744965422904549E-2</v>
      </c>
      <c r="K150" s="41">
        <v>28522</v>
      </c>
      <c r="L150" s="33">
        <v>0.2546690139978085</v>
      </c>
      <c r="M150" s="41">
        <v>101913</v>
      </c>
    </row>
    <row r="151" spans="3:13" ht="24" customHeight="1" thickBot="1">
      <c r="C151" s="84" t="s">
        <v>54</v>
      </c>
      <c r="D151" s="33">
        <v>0.33214216727834645</v>
      </c>
      <c r="E151" s="41">
        <v>41379</v>
      </c>
      <c r="F151" s="33">
        <v>-0.19610570236439495</v>
      </c>
      <c r="G151" s="41">
        <v>578</v>
      </c>
      <c r="H151" s="33">
        <v>1.0071942446043147E-2</v>
      </c>
      <c r="I151" s="41">
        <v>702</v>
      </c>
      <c r="J151" s="33">
        <v>0.21093082835183607</v>
      </c>
      <c r="K151" s="41">
        <v>4254</v>
      </c>
      <c r="L151" s="33">
        <v>0.37153242777884055</v>
      </c>
      <c r="M151" s="41">
        <v>35845</v>
      </c>
    </row>
    <row r="152" spans="3:13" ht="24" customHeight="1" thickBot="1">
      <c r="C152" s="84" t="s">
        <v>55</v>
      </c>
      <c r="D152" s="33">
        <v>0.13727049777954536</v>
      </c>
      <c r="E152" s="41">
        <v>34316</v>
      </c>
      <c r="F152" s="33">
        <v>0.13372093023255816</v>
      </c>
      <c r="G152" s="41">
        <v>390</v>
      </c>
      <c r="H152" s="33">
        <v>2.4024024024023927E-2</v>
      </c>
      <c r="I152" s="41">
        <v>341</v>
      </c>
      <c r="J152" s="33">
        <v>0.18468368479467268</v>
      </c>
      <c r="K152" s="41">
        <v>5337</v>
      </c>
      <c r="L152" s="33">
        <v>0.13028169014084501</v>
      </c>
      <c r="M152" s="41">
        <v>28248</v>
      </c>
    </row>
    <row r="153" spans="3:13" ht="24" customHeight="1" thickBot="1">
      <c r="C153" s="84" t="s">
        <v>56</v>
      </c>
      <c r="D153" s="33">
        <v>0.36332812957361704</v>
      </c>
      <c r="E153" s="41">
        <v>111782</v>
      </c>
      <c r="F153" s="33">
        <v>0.91943127962085303</v>
      </c>
      <c r="G153" s="41">
        <v>810</v>
      </c>
      <c r="H153" s="33">
        <v>-0.35172413793103452</v>
      </c>
      <c r="I153" s="41">
        <v>94</v>
      </c>
      <c r="J153" s="33">
        <v>1.8856998992950653</v>
      </c>
      <c r="K153" s="41">
        <v>5731</v>
      </c>
      <c r="L153" s="33">
        <v>0.32361938090862163</v>
      </c>
      <c r="M153" s="41">
        <v>105147</v>
      </c>
    </row>
    <row r="154" spans="3:13" ht="24" customHeight="1" thickBot="1">
      <c r="C154" s="84" t="s">
        <v>57</v>
      </c>
      <c r="D154" s="33">
        <v>0.20933434560498254</v>
      </c>
      <c r="E154" s="41">
        <v>93981</v>
      </c>
      <c r="F154" s="33">
        <v>0.67255594817432263</v>
      </c>
      <c r="G154" s="41">
        <v>1420</v>
      </c>
      <c r="H154" s="33">
        <v>-1.8248175182481785E-2</v>
      </c>
      <c r="I154" s="41">
        <v>269</v>
      </c>
      <c r="J154" s="33">
        <v>0.94002221399481667</v>
      </c>
      <c r="K154" s="41">
        <v>5240</v>
      </c>
      <c r="L154" s="33">
        <v>0.17814559677353858</v>
      </c>
      <c r="M154" s="41">
        <v>87052</v>
      </c>
    </row>
    <row r="155" spans="3:13" ht="24" customHeight="1" thickBot="1">
      <c r="C155" s="84" t="s">
        <v>58</v>
      </c>
      <c r="D155" s="33">
        <v>0.18475019249330349</v>
      </c>
      <c r="E155" s="41">
        <v>109247</v>
      </c>
      <c r="F155" s="33">
        <v>9.9079588521927553E-2</v>
      </c>
      <c r="G155" s="41">
        <v>2030</v>
      </c>
      <c r="H155" s="33">
        <v>7.1556350626118537E-3</v>
      </c>
      <c r="I155" s="41">
        <v>563</v>
      </c>
      <c r="J155" s="33">
        <v>0.29385352225104766</v>
      </c>
      <c r="K155" s="41">
        <v>12967</v>
      </c>
      <c r="L155" s="33">
        <v>0.17427271473872885</v>
      </c>
      <c r="M155" s="41">
        <v>93687</v>
      </c>
    </row>
    <row r="156" spans="3:13" ht="24" customHeight="1" thickBot="1">
      <c r="C156" s="84" t="s">
        <v>59</v>
      </c>
      <c r="D156" s="33">
        <v>3.7288135593220417E-2</v>
      </c>
      <c r="E156" s="41">
        <v>13158</v>
      </c>
      <c r="F156" s="33">
        <v>-0.22615131578947367</v>
      </c>
      <c r="G156" s="41">
        <v>941</v>
      </c>
      <c r="H156" s="33">
        <v>-0.43390804597701149</v>
      </c>
      <c r="I156" s="41">
        <v>197</v>
      </c>
      <c r="J156" s="33">
        <v>-0.22698471859858371</v>
      </c>
      <c r="K156" s="41">
        <v>2074</v>
      </c>
      <c r="L156" s="33">
        <v>0.17871533538753259</v>
      </c>
      <c r="M156" s="41">
        <v>9946</v>
      </c>
    </row>
    <row r="157" spans="3:13" ht="24" customHeight="1" thickBot="1">
      <c r="C157" s="84" t="s">
        <v>60</v>
      </c>
      <c r="D157" s="33">
        <v>-2.2343153157867168E-2</v>
      </c>
      <c r="E157" s="41">
        <v>18684</v>
      </c>
      <c r="F157" s="33">
        <v>-0.1986108096375081</v>
      </c>
      <c r="G157" s="41">
        <v>3692</v>
      </c>
      <c r="H157" s="33">
        <v>-0.45051837888784163</v>
      </c>
      <c r="I157" s="41">
        <v>583</v>
      </c>
      <c r="J157" s="33">
        <v>-4.339289220498721E-2</v>
      </c>
      <c r="K157" s="41">
        <v>4872</v>
      </c>
      <c r="L157" s="33">
        <v>0.14215568862275441</v>
      </c>
      <c r="M157" s="41">
        <v>9537</v>
      </c>
    </row>
    <row r="158" spans="3:13" ht="24" customHeight="1" thickBot="1">
      <c r="C158" s="84" t="s">
        <v>61</v>
      </c>
      <c r="D158" s="33">
        <v>1.6331720527767324E-2</v>
      </c>
      <c r="E158" s="41">
        <v>61546</v>
      </c>
      <c r="F158" s="33">
        <v>0.11261730969760175</v>
      </c>
      <c r="G158" s="41">
        <v>4268</v>
      </c>
      <c r="H158" s="33">
        <v>-0.30425531914893622</v>
      </c>
      <c r="I158" s="41">
        <v>327</v>
      </c>
      <c r="J158" s="33">
        <v>4.6076980014803759E-2</v>
      </c>
      <c r="K158" s="41">
        <v>5653</v>
      </c>
      <c r="L158" s="33">
        <v>8.8697464943852111E-3</v>
      </c>
      <c r="M158" s="41">
        <v>51298</v>
      </c>
    </row>
    <row r="159" spans="3:13" ht="24" customHeight="1" thickBot="1">
      <c r="C159" s="84" t="s">
        <v>62</v>
      </c>
      <c r="D159" s="33">
        <v>0.14643071419592824</v>
      </c>
      <c r="E159" s="41">
        <v>3857901</v>
      </c>
      <c r="F159" s="33">
        <v>0.13665182786995822</v>
      </c>
      <c r="G159" s="41">
        <v>33704</v>
      </c>
      <c r="H159" s="33">
        <v>-4.0023992584110379E-2</v>
      </c>
      <c r="I159" s="41">
        <v>17605</v>
      </c>
      <c r="J159" s="33">
        <v>0.22542619793313157</v>
      </c>
      <c r="K159" s="41">
        <v>376011</v>
      </c>
      <c r="L159" s="33">
        <v>0.13961091701881756</v>
      </c>
      <c r="M159" s="41">
        <v>3430581</v>
      </c>
    </row>
    <row r="160" spans="3:13" ht="24" customHeight="1" thickBot="1">
      <c r="C160" s="84" t="s">
        <v>10</v>
      </c>
      <c r="D160" s="33">
        <v>6.8072009231421982E-2</v>
      </c>
      <c r="E160" s="41">
        <v>5160203</v>
      </c>
      <c r="F160" s="33">
        <v>-4.1813281184667206E-3</v>
      </c>
      <c r="G160" s="41">
        <v>154803</v>
      </c>
      <c r="H160" s="33">
        <v>-0.28021658388150539</v>
      </c>
      <c r="I160" s="41">
        <v>32170</v>
      </c>
      <c r="J160" s="33">
        <v>3.1737441824758239E-2</v>
      </c>
      <c r="K160" s="41">
        <v>819800</v>
      </c>
      <c r="L160" s="33">
        <v>8.2582059721690859E-2</v>
      </c>
      <c r="M160" s="41">
        <v>4153430</v>
      </c>
    </row>
    <row r="161" spans="3:18" ht="18" customHeight="1">
      <c r="C161" s="7"/>
    </row>
    <row r="162" spans="3:18" ht="17.25" hidden="1" customHeight="1" thickBot="1">
      <c r="C162" s="68"/>
      <c r="D162" s="69"/>
      <c r="E162" s="69"/>
      <c r="F162" s="69"/>
      <c r="G162" s="69"/>
      <c r="H162" s="69"/>
      <c r="I162" s="69"/>
      <c r="J162" s="69"/>
      <c r="K162" s="69"/>
      <c r="L162" s="69"/>
      <c r="M162" s="70"/>
    </row>
    <row r="163" spans="3:18" ht="21.75" hidden="1" customHeight="1" thickBot="1">
      <c r="C163" s="1"/>
      <c r="D163" s="2"/>
      <c r="E163" s="3" t="str">
        <f>$E$1</f>
        <v>INDICADORES TURÍSTICOS DE TENERIFE (definitivo 63,2%)</v>
      </c>
      <c r="F163" s="4"/>
      <c r="G163" s="4"/>
      <c r="H163" s="4"/>
      <c r="I163" s="4"/>
      <c r="J163" s="4"/>
      <c r="K163" s="5"/>
      <c r="L163" s="2"/>
      <c r="M163" s="6"/>
    </row>
    <row r="164" spans="3:18" s="57" customFormat="1" ht="21.75" hidden="1" customHeight="1" thickBot="1">
      <c r="C164" s="1"/>
      <c r="D164" s="2"/>
      <c r="E164" s="71"/>
      <c r="F164" s="71"/>
      <c r="G164" s="71"/>
      <c r="H164" s="71"/>
      <c r="I164" s="71"/>
      <c r="J164" s="71"/>
      <c r="K164" s="71"/>
      <c r="L164" s="2"/>
      <c r="M164" s="6"/>
    </row>
    <row r="165" spans="3:18" ht="33" hidden="1" customHeight="1">
      <c r="C165" s="93" t="s">
        <v>30</v>
      </c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73"/>
    </row>
    <row r="166" spans="3:18" ht="20.100000000000001" hidden="1" customHeight="1">
      <c r="C166" s="95" t="str">
        <f>E3</f>
        <v>diciembre 2011</v>
      </c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57"/>
    </row>
    <row r="167" spans="3:18" ht="17.25" hidden="1" customHeight="1" thickBot="1">
      <c r="C167" s="97"/>
      <c r="D167" s="80" t="s">
        <v>26</v>
      </c>
      <c r="E167" s="81"/>
      <c r="F167" s="80" t="s">
        <v>25</v>
      </c>
      <c r="G167" s="81"/>
      <c r="H167" s="80" t="s">
        <v>24</v>
      </c>
      <c r="I167" s="81"/>
      <c r="J167" s="80" t="s">
        <v>23</v>
      </c>
      <c r="K167" s="81"/>
      <c r="L167" s="80" t="s">
        <v>22</v>
      </c>
      <c r="M167" s="81"/>
      <c r="N167" s="80" t="s">
        <v>65</v>
      </c>
      <c r="O167" s="81"/>
      <c r="P167" s="80" t="s">
        <v>66</v>
      </c>
      <c r="Q167" s="81"/>
    </row>
    <row r="168" spans="3:18" ht="28.5" hidden="1" customHeight="1" thickBot="1">
      <c r="C168" s="97"/>
      <c r="D168" s="82" t="s">
        <v>35</v>
      </c>
      <c r="E168" s="82" t="s">
        <v>36</v>
      </c>
      <c r="F168" s="82" t="s">
        <v>35</v>
      </c>
      <c r="G168" s="82" t="s">
        <v>36</v>
      </c>
      <c r="H168" s="82" t="s">
        <v>35</v>
      </c>
      <c r="I168" s="82" t="s">
        <v>36</v>
      </c>
      <c r="J168" s="82" t="s">
        <v>35</v>
      </c>
      <c r="K168" s="82" t="s">
        <v>36</v>
      </c>
      <c r="L168" s="82" t="s">
        <v>35</v>
      </c>
      <c r="M168" s="82" t="s">
        <v>36</v>
      </c>
      <c r="N168" s="82" t="s">
        <v>35</v>
      </c>
      <c r="O168" s="82" t="s">
        <v>36</v>
      </c>
      <c r="P168" s="82" t="s">
        <v>35</v>
      </c>
      <c r="Q168" s="82" t="s">
        <v>36</v>
      </c>
    </row>
    <row r="169" spans="3:18" ht="24" hidden="1" customHeight="1" thickBot="1">
      <c r="C169" s="98" t="s">
        <v>37</v>
      </c>
      <c r="D169" s="99" t="e">
        <f>VLOOKUP("españa",#REF!,6,FALSE)/VLOOKUP("españa",#REF!,6,FALSE)-1</f>
        <v>#REF!</v>
      </c>
      <c r="E169" s="100" t="e">
        <f>VLOOKUP("españa",#REF!,6,FALSE)</f>
        <v>#REF!</v>
      </c>
      <c r="F169" s="99" t="e">
        <f>VLOOKUP("españa",#REF!,5,FALSE)/VLOOKUP("españa",#REF!,5,FALSE)-1</f>
        <v>#REF!</v>
      </c>
      <c r="G169" s="100" t="e">
        <f>VLOOKUP("españa",#REF!,5,FALSE)</f>
        <v>#REF!</v>
      </c>
      <c r="H169" s="99" t="e">
        <f>VLOOKUP("españa",#REF!,4,FALSE)/VLOOKUP("españa",#REF!,4,FALSE)-1</f>
        <v>#REF!</v>
      </c>
      <c r="I169" s="100" t="e">
        <f>VLOOKUP("españa",#REF!,4,FALSE)</f>
        <v>#REF!</v>
      </c>
      <c r="J169" s="99" t="e">
        <f>VLOOKUP("españa",#REF!,3,FALSE)/VLOOKUP("españa",#REF!,3,FALSE)-1</f>
        <v>#REF!</v>
      </c>
      <c r="K169" s="100" t="e">
        <f>VLOOKUP("españa",#REF!,3,FALSE)</f>
        <v>#REF!</v>
      </c>
      <c r="L169" s="99" t="e">
        <f>VLOOKUP("españa",#REF!,2,FALSE)/VLOOKUP("españa",#REF!,2,FALSE)-1</f>
        <v>#REF!</v>
      </c>
      <c r="M169" s="100" t="e">
        <f>VLOOKUP("españa",#REF!,2,FALSE)</f>
        <v>#REF!</v>
      </c>
      <c r="N169" s="99" t="e">
        <f>VLOOKUP("españa",#REF!,7,FALSE)/VLOOKUP("españa",#REF!,7,FALSE)-1</f>
        <v>#REF!</v>
      </c>
      <c r="O169" s="100" t="e">
        <f>VLOOKUP("españa",#REF!,7,FALSE)</f>
        <v>#REF!</v>
      </c>
      <c r="P169" s="99" t="e">
        <f>VLOOKUP("españa",#REF!,8,FALSE)/VLOOKUP("españa",#REF!,8,FALSE)-1</f>
        <v>#REF!</v>
      </c>
      <c r="Q169" s="100" t="e">
        <f>VLOOKUP("españa",#REF!,8,FALSE)</f>
        <v>#REF!</v>
      </c>
    </row>
    <row r="170" spans="3:18" ht="24" hidden="1" customHeight="1" thickBot="1">
      <c r="C170" s="98" t="s">
        <v>42</v>
      </c>
      <c r="D170" s="99" t="e">
        <f>VLOOKUP("holanda",#REF!,6,FALSE)/VLOOKUP("holanda",#REF!,6,FALSE)-1</f>
        <v>#REF!</v>
      </c>
      <c r="E170" s="100" t="e">
        <f>VLOOKUP("holanda",#REF!,6,FALSE)</f>
        <v>#REF!</v>
      </c>
      <c r="F170" s="99" t="e">
        <f>VLOOKUP("holanda",#REF!,5,FALSE)/VLOOKUP("holanda",#REF!,5,FALSE)-1</f>
        <v>#REF!</v>
      </c>
      <c r="G170" s="100" t="e">
        <f>VLOOKUP("holanda",#REF!,5,FALSE)</f>
        <v>#REF!</v>
      </c>
      <c r="H170" s="99" t="e">
        <f>VLOOKUP("holanda",#REF!,4,FALSE)/VLOOKUP("holanda",#REF!,4,FALSE)-1</f>
        <v>#REF!</v>
      </c>
      <c r="I170" s="100" t="e">
        <f>VLOOKUP("holanda",#REF!,4,FALSE)</f>
        <v>#REF!</v>
      </c>
      <c r="J170" s="99" t="e">
        <f>VLOOKUP("holanda",#REF!,3,FALSE)/VLOOKUP("holanda",#REF!,3,FALSE)-1</f>
        <v>#REF!</v>
      </c>
      <c r="K170" s="100" t="e">
        <f>VLOOKUP("holanda",#REF!,3,FALSE)</f>
        <v>#REF!</v>
      </c>
      <c r="L170" s="99" t="e">
        <f>VLOOKUP("holanda",#REF!,2,FALSE)/VLOOKUP("holanda",#REF!,2,FALSE)-1</f>
        <v>#REF!</v>
      </c>
      <c r="M170" s="100" t="e">
        <f>VLOOKUP("holanda",#REF!,2,FALSE)</f>
        <v>#REF!</v>
      </c>
      <c r="N170" s="99" t="e">
        <f>VLOOKUP("holanda",#REF!,7,FALSE)/VLOOKUP("holanda",#REF!,7,FALSE)-1</f>
        <v>#REF!</v>
      </c>
      <c r="O170" s="100" t="e">
        <f>VLOOKUP("holanda",#REF!,7,FALSE)</f>
        <v>#REF!</v>
      </c>
      <c r="P170" s="99" t="e">
        <f>VLOOKUP("holanda",#REF!,8,FALSE)/VLOOKUP("holanda",#REF!,8,FALSE)-1</f>
        <v>#REF!</v>
      </c>
      <c r="Q170" s="100" t="e">
        <f>VLOOKUP("holanda",#REF!,8,FALSE)</f>
        <v>#REF!</v>
      </c>
    </row>
    <row r="171" spans="3:18" ht="24" hidden="1" customHeight="1" thickBot="1">
      <c r="C171" s="98" t="s">
        <v>43</v>
      </c>
      <c r="D171" s="99" t="e">
        <f>VLOOKUP("belgica",#REF!,6,FALSE)/VLOOKUP("belgica",#REF!,6,FALSE)-1</f>
        <v>#REF!</v>
      </c>
      <c r="E171" s="100" t="e">
        <f>VLOOKUP("belgica",#REF!,6,FALSE)</f>
        <v>#REF!</v>
      </c>
      <c r="F171" s="99" t="e">
        <f>VLOOKUP("belgica",#REF!,5,FALSE)/VLOOKUP("belgica",#REF!,5,FALSE)-1</f>
        <v>#REF!</v>
      </c>
      <c r="G171" s="100" t="e">
        <f>VLOOKUP("belgica",#REF!,5,FALSE)</f>
        <v>#REF!</v>
      </c>
      <c r="H171" s="99" t="e">
        <f>VLOOKUP("belgica",#REF!,4,FALSE)/VLOOKUP("belgica",#REF!,4,FALSE)-1</f>
        <v>#REF!</v>
      </c>
      <c r="I171" s="100" t="e">
        <f>VLOOKUP("belgica",#REF!,4,FALSE)</f>
        <v>#REF!</v>
      </c>
      <c r="J171" s="99" t="e">
        <f>VLOOKUP("belgica",#REF!,3,FALSE)/VLOOKUP("belgica",#REF!,3,FALSE)-1</f>
        <v>#REF!</v>
      </c>
      <c r="K171" s="100" t="e">
        <f>VLOOKUP("belgica",#REF!,3,FALSE)</f>
        <v>#REF!</v>
      </c>
      <c r="L171" s="99" t="e">
        <f>VLOOKUP("belgica",#REF!,2,FALSE)/VLOOKUP("belgica",#REF!,2,FALSE)-1</f>
        <v>#REF!</v>
      </c>
      <c r="M171" s="100" t="e">
        <f>VLOOKUP("belgica",#REF!,2,FALSE)</f>
        <v>#REF!</v>
      </c>
      <c r="N171" s="99" t="e">
        <f>VLOOKUP("belgica",#REF!,7,FALSE)/VLOOKUP("belgica",#REF!,7,FALSE)-1</f>
        <v>#REF!</v>
      </c>
      <c r="O171" s="100" t="e">
        <f>VLOOKUP("belgica",#REF!,7,FALSE)</f>
        <v>#REF!</v>
      </c>
      <c r="P171" s="99" t="e">
        <f>VLOOKUP("belgica",#REF!,8,FALSE)/VLOOKUP("belgica",#REF!,8,FALSE)-1</f>
        <v>#REF!</v>
      </c>
      <c r="Q171" s="100" t="e">
        <f>VLOOKUP("belgica",#REF!,8,FALSE)</f>
        <v>#REF!</v>
      </c>
    </row>
    <row r="172" spans="3:18" ht="24" hidden="1" customHeight="1" thickBot="1">
      <c r="C172" s="98" t="s">
        <v>44</v>
      </c>
      <c r="D172" s="99" t="e">
        <f>VLOOKUP("alemania",#REF!,6,FALSE)/VLOOKUP("alemania",#REF!,6,FALSE)-1</f>
        <v>#REF!</v>
      </c>
      <c r="E172" s="100" t="e">
        <f>VLOOKUP("alemania",#REF!,6,FALSE)</f>
        <v>#REF!</v>
      </c>
      <c r="F172" s="99" t="e">
        <f>VLOOKUP("alemania",#REF!,5,FALSE)/VLOOKUP("alemania",#REF!,5,FALSE)-1</f>
        <v>#REF!</v>
      </c>
      <c r="G172" s="100" t="e">
        <f>VLOOKUP("alemania",#REF!,5,FALSE)</f>
        <v>#REF!</v>
      </c>
      <c r="H172" s="99" t="e">
        <f>VLOOKUP("alemania",#REF!,4,FALSE)/VLOOKUP("alemania",#REF!,4,FALSE)-1</f>
        <v>#REF!</v>
      </c>
      <c r="I172" s="100" t="e">
        <f>VLOOKUP("alemania",#REF!,4,FALSE)</f>
        <v>#REF!</v>
      </c>
      <c r="J172" s="99" t="e">
        <f>VLOOKUP("alemania",#REF!,3,FALSE)/VLOOKUP("alemania",#REF!,3,FALSE)-1</f>
        <v>#REF!</v>
      </c>
      <c r="K172" s="100" t="e">
        <f>VLOOKUP("alemania",#REF!,3,FALSE)</f>
        <v>#REF!</v>
      </c>
      <c r="L172" s="99" t="e">
        <f>VLOOKUP("alemania",#REF!,2,FALSE)/VLOOKUP("alemania",#REF!,2,FALSE)-1</f>
        <v>#REF!</v>
      </c>
      <c r="M172" s="100" t="e">
        <f>VLOOKUP("alemania",#REF!,2,FALSE)</f>
        <v>#REF!</v>
      </c>
      <c r="N172" s="99" t="e">
        <f>VLOOKUP("alemania",#REF!,7,FALSE)/VLOOKUP("alemania",#REF!,7,FALSE)-1</f>
        <v>#REF!</v>
      </c>
      <c r="O172" s="100" t="e">
        <f>VLOOKUP("alemania",#REF!,7,FALSE)</f>
        <v>#REF!</v>
      </c>
      <c r="P172" s="99" t="e">
        <f>VLOOKUP("alemania",#REF!,8,FALSE)/VLOOKUP("alemania",#REF!,8,FALSE)-1</f>
        <v>#REF!</v>
      </c>
      <c r="Q172" s="100" t="e">
        <f>VLOOKUP("alemania",#REF!,8,FALSE)</f>
        <v>#REF!</v>
      </c>
    </row>
    <row r="173" spans="3:18" ht="24" hidden="1" customHeight="1" thickBot="1">
      <c r="C173" s="98" t="s">
        <v>45</v>
      </c>
      <c r="D173" s="99" t="e">
        <f>VLOOKUP("francia",#REF!,6,FALSE)/VLOOKUP("francia",#REF!,6,FALSE)-1</f>
        <v>#REF!</v>
      </c>
      <c r="E173" s="100" t="e">
        <f>VLOOKUP("francia",#REF!,6,FALSE)</f>
        <v>#REF!</v>
      </c>
      <c r="F173" s="99" t="e">
        <f>VLOOKUP("francia",#REF!,5,FALSE)/VLOOKUP("francia",#REF!,5,FALSE)-1</f>
        <v>#REF!</v>
      </c>
      <c r="G173" s="100" t="e">
        <f>VLOOKUP("francia",#REF!,5,FALSE)</f>
        <v>#REF!</v>
      </c>
      <c r="H173" s="99" t="e">
        <f>VLOOKUP("francia",#REF!,4,FALSE)/VLOOKUP("francia",#REF!,4,FALSE)-1</f>
        <v>#REF!</v>
      </c>
      <c r="I173" s="100" t="e">
        <f>VLOOKUP("francia",#REF!,4,FALSE)</f>
        <v>#REF!</v>
      </c>
      <c r="J173" s="99" t="e">
        <f>VLOOKUP("francia",#REF!,3,FALSE)/VLOOKUP("francia",#REF!,3,FALSE)-1</f>
        <v>#REF!</v>
      </c>
      <c r="K173" s="100" t="e">
        <f>VLOOKUP("francia",#REF!,3,FALSE)</f>
        <v>#REF!</v>
      </c>
      <c r="L173" s="99" t="e">
        <f>VLOOKUP("francia",#REF!,2,FALSE)/VLOOKUP("francia",#REF!,2,FALSE)-1</f>
        <v>#REF!</v>
      </c>
      <c r="M173" s="100" t="e">
        <f>VLOOKUP("francia",#REF!,2,FALSE)</f>
        <v>#REF!</v>
      </c>
      <c r="N173" s="99" t="e">
        <f>VLOOKUP("francia",#REF!,7,FALSE)/VLOOKUP("francia",#REF!,7,FALSE)-1</f>
        <v>#REF!</v>
      </c>
      <c r="O173" s="100" t="e">
        <f>VLOOKUP("francia",#REF!,7,FALSE)</f>
        <v>#REF!</v>
      </c>
      <c r="P173" s="99" t="e">
        <f>VLOOKUP("francia",#REF!,8,FALSE)/VLOOKUP("francia",#REF!,8,FALSE)-1</f>
        <v>#REF!</v>
      </c>
      <c r="Q173" s="100" t="e">
        <f>VLOOKUP("francia",#REF!,8,FALSE)</f>
        <v>#REF!</v>
      </c>
    </row>
    <row r="174" spans="3:18" ht="24" hidden="1" customHeight="1" thickBot="1">
      <c r="C174" s="98" t="s">
        <v>46</v>
      </c>
      <c r="D174" s="99" t="e">
        <f>VLOOKUP("reino unido",#REF!,6,FALSE)/VLOOKUP("reino unido",#REF!,6,FALSE)-1</f>
        <v>#REF!</v>
      </c>
      <c r="E174" s="100" t="e">
        <f>VLOOKUP("reino unido",#REF!,6,FALSE)</f>
        <v>#REF!</v>
      </c>
      <c r="F174" s="99" t="e">
        <f>VLOOKUP("reino unido",#REF!,5,FALSE)/VLOOKUP("reino unido",#REF!,5,FALSE)-1</f>
        <v>#REF!</v>
      </c>
      <c r="G174" s="100" t="e">
        <f>VLOOKUP("reino unido",#REF!,5,FALSE)</f>
        <v>#REF!</v>
      </c>
      <c r="H174" s="99" t="e">
        <f>VLOOKUP("reino unido",#REF!,4,FALSE)/VLOOKUP("reino unido",#REF!,4,FALSE)-1</f>
        <v>#REF!</v>
      </c>
      <c r="I174" s="100" t="e">
        <f>VLOOKUP("reino unido",#REF!,4,FALSE)</f>
        <v>#REF!</v>
      </c>
      <c r="J174" s="99" t="e">
        <f>VLOOKUP("reino unido",#REF!,3,FALSE)/VLOOKUP("reino unido",#REF!,3,FALSE)-1</f>
        <v>#REF!</v>
      </c>
      <c r="K174" s="100" t="e">
        <f>VLOOKUP("reino unido",#REF!,3,FALSE)</f>
        <v>#REF!</v>
      </c>
      <c r="L174" s="99" t="e">
        <f>VLOOKUP("reino unido",#REF!,2,FALSE)/VLOOKUP("reino unido",#REF!,2,FALSE)-1</f>
        <v>#REF!</v>
      </c>
      <c r="M174" s="100" t="e">
        <f>VLOOKUP("reino unido",#REF!,2,FALSE)</f>
        <v>#REF!</v>
      </c>
      <c r="N174" s="99" t="e">
        <f>VLOOKUP("reino unido",#REF!,7,FALSE)/VLOOKUP("reino unido",#REF!,7,FALSE)-1</f>
        <v>#REF!</v>
      </c>
      <c r="O174" s="100" t="e">
        <f>VLOOKUP("reino unido",#REF!,7,FALSE)</f>
        <v>#REF!</v>
      </c>
      <c r="P174" s="99" t="e">
        <f>VLOOKUP("reino unido",#REF!,8,FALSE)/VLOOKUP("reino unido",#REF!,8,FALSE)-1</f>
        <v>#REF!</v>
      </c>
      <c r="Q174" s="100" t="e">
        <f>VLOOKUP("reino unido",#REF!,8,FALSE)</f>
        <v>#REF!</v>
      </c>
    </row>
    <row r="175" spans="3:18" ht="24" hidden="1" customHeight="1" thickBot="1">
      <c r="C175" s="98" t="s">
        <v>47</v>
      </c>
      <c r="D175" s="99" t="e">
        <f>VLOOKUP("irlanda",#REF!,6,FALSE)/VLOOKUP("irlanda",#REF!,6,FALSE)-1</f>
        <v>#REF!</v>
      </c>
      <c r="E175" s="100" t="e">
        <f>VLOOKUP("irlanda",#REF!,6,FALSE)</f>
        <v>#REF!</v>
      </c>
      <c r="F175" s="99" t="e">
        <f>VLOOKUP("irlanda",#REF!,5,FALSE)/VLOOKUP("irlanda",#REF!,5,FALSE)-1</f>
        <v>#REF!</v>
      </c>
      <c r="G175" s="100" t="e">
        <f>VLOOKUP("irlanda",#REF!,5,FALSE)</f>
        <v>#REF!</v>
      </c>
      <c r="H175" s="99" t="e">
        <f>VLOOKUP("irlanda",#REF!,4,FALSE)/VLOOKUP("irlanda",#REF!,4,FALSE)-1</f>
        <v>#REF!</v>
      </c>
      <c r="I175" s="100" t="e">
        <f>VLOOKUP("irlanda",#REF!,4,FALSE)</f>
        <v>#REF!</v>
      </c>
      <c r="J175" s="99" t="e">
        <f>VLOOKUP("irlanda",#REF!,3,FALSE)/VLOOKUP("irlanda",#REF!,3,FALSE)-1</f>
        <v>#REF!</v>
      </c>
      <c r="K175" s="100" t="e">
        <f>VLOOKUP("irlanda",#REF!,3,FALSE)</f>
        <v>#REF!</v>
      </c>
      <c r="L175" s="99" t="e">
        <f>VLOOKUP("irlanda",#REF!,2,FALSE)/VLOOKUP("irlanda",#REF!,2,FALSE)-1</f>
        <v>#REF!</v>
      </c>
      <c r="M175" s="100" t="e">
        <f>VLOOKUP("irlanda",#REF!,2,FALSE)</f>
        <v>#REF!</v>
      </c>
      <c r="N175" s="99" t="e">
        <f>VLOOKUP("irlanda",#REF!,7,FALSE)/VLOOKUP("irlanda",#REF!,7,FALSE)-1</f>
        <v>#REF!</v>
      </c>
      <c r="O175" s="100" t="e">
        <f>VLOOKUP("irlanda",#REF!,7,FALSE)</f>
        <v>#REF!</v>
      </c>
      <c r="P175" s="99" t="e">
        <f>VLOOKUP("irlanda",#REF!,8,FALSE)/VLOOKUP("irlanda",#REF!,8,FALSE)-1</f>
        <v>#REF!</v>
      </c>
      <c r="Q175" s="100" t="e">
        <f>VLOOKUP("irlanda",#REF!,8,FALSE)</f>
        <v>#REF!</v>
      </c>
    </row>
    <row r="176" spans="3:18" ht="24" hidden="1" customHeight="1" thickBot="1">
      <c r="C176" s="98" t="s">
        <v>48</v>
      </c>
      <c r="D176" s="99" t="e">
        <f>VLOOKUP("italia",#REF!,6,FALSE)/VLOOKUP("italia",#REF!,6,FALSE)-1</f>
        <v>#REF!</v>
      </c>
      <c r="E176" s="100" t="e">
        <f>VLOOKUP("italia",#REF!,6,FALSE)</f>
        <v>#REF!</v>
      </c>
      <c r="F176" s="99" t="e">
        <f>VLOOKUP("italia",#REF!,5,FALSE)/VLOOKUP("italia",#REF!,5,FALSE)-1</f>
        <v>#REF!</v>
      </c>
      <c r="G176" s="100" t="e">
        <f>VLOOKUP("italia",#REF!,5,FALSE)</f>
        <v>#REF!</v>
      </c>
      <c r="H176" s="99" t="e">
        <f>VLOOKUP("italia",#REF!,4,FALSE)/VLOOKUP("italia",#REF!,4,FALSE)-1</f>
        <v>#REF!</v>
      </c>
      <c r="I176" s="100" t="e">
        <f>VLOOKUP("italia",#REF!,4,FALSE)</f>
        <v>#REF!</v>
      </c>
      <c r="J176" s="99" t="e">
        <f>VLOOKUP("italia",#REF!,3,FALSE)/VLOOKUP("italia",#REF!,3,FALSE)-1</f>
        <v>#REF!</v>
      </c>
      <c r="K176" s="100" t="e">
        <f>VLOOKUP("italia",#REF!,3,FALSE)</f>
        <v>#REF!</v>
      </c>
      <c r="L176" s="99" t="e">
        <f>VLOOKUP("italia",#REF!,2,FALSE)/VLOOKUP("italia",#REF!,2,FALSE)-1</f>
        <v>#REF!</v>
      </c>
      <c r="M176" s="100" t="e">
        <f>VLOOKUP("italia",#REF!,2,FALSE)</f>
        <v>#REF!</v>
      </c>
      <c r="N176" s="99" t="e">
        <f>VLOOKUP("italia",#REF!,7,FALSE)/VLOOKUP("italia",#REF!,7,FALSE)-1</f>
        <v>#REF!</v>
      </c>
      <c r="O176" s="100" t="e">
        <f>VLOOKUP("italia",#REF!,7,FALSE)</f>
        <v>#REF!</v>
      </c>
      <c r="P176" s="99" t="e">
        <f>VLOOKUP("italia",#REF!,8,FALSE)/VLOOKUP("italia",#REF!,8,FALSE)-1</f>
        <v>#REF!</v>
      </c>
      <c r="Q176" s="100" t="e">
        <f>VLOOKUP("italia",#REF!,8,FALSE)</f>
        <v>#REF!</v>
      </c>
    </row>
    <row r="177" spans="3:17" ht="24" hidden="1" customHeight="1" thickBot="1">
      <c r="C177" s="98" t="s">
        <v>49</v>
      </c>
      <c r="D177" s="99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77" s="100" t="e">
        <f>(VLOOKUP("suecia",#REF!,6,FALSE)+VLOOKUP("noruega",#REF!,6,FALSE)+VLOOKUP("dinamarca",#REF!,6,FALSE)+VLOOKUP("finlandia",#REF!,6,FALSE))</f>
        <v>#REF!</v>
      </c>
      <c r="F177" s="99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77" s="100" t="e">
        <f>(VLOOKUP("suecia",#REF!,5,FALSE)+VLOOKUP("noruega",#REF!,5,FALSE)+VLOOKUP("dinamarca",#REF!,5,FALSE)+VLOOKUP("finlandia",#REF!,5,FALSE))</f>
        <v>#REF!</v>
      </c>
      <c r="H177" s="99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77" s="100" t="e">
        <f>(VLOOKUP("suecia",#REF!,4,FALSE)+VLOOKUP("noruega",#REF!,4,FALSE)+VLOOKUP("dinamarca",#REF!,4,FALSE)+VLOOKUP("finlandia",#REF!,4,FALSE))</f>
        <v>#REF!</v>
      </c>
      <c r="J177" s="99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77" s="100" t="e">
        <f>(VLOOKUP("suecia",#REF!,3,FALSE)+VLOOKUP("noruega",#REF!,3,FALSE)+VLOOKUP("dinamarca",#REF!,3,FALSE)+VLOOKUP("finlandia",#REF!,3,FALSE))</f>
        <v>#REF!</v>
      </c>
      <c r="L177" s="99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77" s="100" t="e">
        <f>(VLOOKUP("suecia",#REF!,2,FALSE)+VLOOKUP("noruega",#REF!,2,FALSE)+VLOOKUP("dinamarca",#REF!,2,FALSE)+VLOOKUP("finlandia",#REF!,2,FALSE))</f>
        <v>#REF!</v>
      </c>
      <c r="N177" s="99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77" s="100" t="e">
        <f>(VLOOKUP("suecia",#REF!,7,FALSE)+VLOOKUP("noruega",#REF!,7,FALSE)+VLOOKUP("dinamarca",#REF!,7,FALSE)+VLOOKUP("finlandia",#REF!,7,FALSE))</f>
        <v>#REF!</v>
      </c>
      <c r="P177" s="99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77" s="100" t="e">
        <f>(VLOOKUP("suecia",#REF!,8,FALSE)+VLOOKUP("noruega",#REF!,8,FALSE)+VLOOKUP("dinamarca",#REF!,8,FALSE)+VLOOKUP("finlandia",#REF!,8,FALSE))</f>
        <v>#REF!</v>
      </c>
    </row>
    <row r="178" spans="3:17" ht="24" hidden="1" customHeight="1" thickBot="1">
      <c r="C178" s="101" t="s">
        <v>50</v>
      </c>
      <c r="D178" s="99" t="e">
        <f>VLOOKUP("suecia",#REF!,6,FALSE)/VLOOKUP("suecia",#REF!,6,FALSE)-1</f>
        <v>#REF!</v>
      </c>
      <c r="E178" s="100" t="e">
        <f>VLOOKUP("suecia",#REF!,6,FALSE)</f>
        <v>#REF!</v>
      </c>
      <c r="F178" s="99" t="e">
        <f>VLOOKUP("suecia",#REF!,5,FALSE)/VLOOKUP("suecia",#REF!,5,FALSE)-1</f>
        <v>#REF!</v>
      </c>
      <c r="G178" s="100" t="e">
        <f>VLOOKUP("suecia",#REF!,5,FALSE)</f>
        <v>#REF!</v>
      </c>
      <c r="H178" s="99" t="e">
        <f>VLOOKUP("suecia",#REF!,4,FALSE)/VLOOKUP("suecia",#REF!,4,FALSE)-1</f>
        <v>#REF!</v>
      </c>
      <c r="I178" s="100" t="e">
        <f>VLOOKUP("suecia",#REF!,4,FALSE)</f>
        <v>#REF!</v>
      </c>
      <c r="J178" s="99" t="e">
        <f>VLOOKUP("suecia",#REF!,3,FALSE)/VLOOKUP("suecia",#REF!,3,FALSE)-1</f>
        <v>#REF!</v>
      </c>
      <c r="K178" s="100" t="e">
        <f>VLOOKUP("suecia",#REF!,3,FALSE)</f>
        <v>#REF!</v>
      </c>
      <c r="L178" s="99" t="e">
        <f>VLOOKUP("suecia",#REF!,2,FALSE)/VLOOKUP("suecia",#REF!,2,FALSE)-1</f>
        <v>#REF!</v>
      </c>
      <c r="M178" s="100" t="e">
        <f>VLOOKUP("suecia",#REF!,2,FALSE)</f>
        <v>#REF!</v>
      </c>
      <c r="N178" s="99" t="e">
        <f>VLOOKUP("suecia",#REF!,7,FALSE)/VLOOKUP("suecia",#REF!,7,FALSE)-1</f>
        <v>#REF!</v>
      </c>
      <c r="O178" s="100" t="e">
        <f>VLOOKUP("suecia",#REF!,7,FALSE)</f>
        <v>#REF!</v>
      </c>
      <c r="P178" s="99" t="e">
        <f>VLOOKUP("suecia",#REF!,8,FALSE)/VLOOKUP("suecia",#REF!,8,FALSE)-1</f>
        <v>#REF!</v>
      </c>
      <c r="Q178" s="100" t="e">
        <f>VLOOKUP("suecia",#REF!,8,FALSE)</f>
        <v>#REF!</v>
      </c>
    </row>
    <row r="179" spans="3:17" ht="24" hidden="1" customHeight="1" thickBot="1">
      <c r="C179" s="101" t="s">
        <v>51</v>
      </c>
      <c r="D179" s="99" t="e">
        <f>VLOOKUP("noruega",#REF!,6,FALSE)/VLOOKUP("noruega",#REF!,6,FALSE)-1</f>
        <v>#REF!</v>
      </c>
      <c r="E179" s="100" t="e">
        <f>VLOOKUP("noruega",#REF!,6,FALSE)</f>
        <v>#REF!</v>
      </c>
      <c r="F179" s="99" t="e">
        <f>VLOOKUP("noruega",#REF!,5,FALSE)/VLOOKUP("noruega",#REF!,5,FALSE)-1</f>
        <v>#REF!</v>
      </c>
      <c r="G179" s="100" t="e">
        <f>VLOOKUP("noruega",#REF!,5,FALSE)</f>
        <v>#REF!</v>
      </c>
      <c r="H179" s="99" t="e">
        <f>VLOOKUP("noruega",#REF!,4,FALSE)/VLOOKUP("noruega",#REF!,4,FALSE)-1</f>
        <v>#REF!</v>
      </c>
      <c r="I179" s="100" t="e">
        <f>VLOOKUP("noruega",#REF!,4,FALSE)</f>
        <v>#REF!</v>
      </c>
      <c r="J179" s="99" t="e">
        <f>VLOOKUP("noruega",#REF!,3,FALSE)/VLOOKUP("noruega",#REF!,3,FALSE)-1</f>
        <v>#REF!</v>
      </c>
      <c r="K179" s="100" t="e">
        <f>VLOOKUP("noruega",#REF!,3,FALSE)</f>
        <v>#REF!</v>
      </c>
      <c r="L179" s="99" t="e">
        <f>VLOOKUP("noruega",#REF!,2,FALSE)/VLOOKUP("noruega",#REF!,2,FALSE)-1</f>
        <v>#REF!</v>
      </c>
      <c r="M179" s="100" t="e">
        <f>VLOOKUP("noruega",#REF!,2,FALSE)</f>
        <v>#REF!</v>
      </c>
      <c r="N179" s="99" t="e">
        <f>VLOOKUP("noruega",#REF!,7,FALSE)/VLOOKUP("noruega",#REF!,7,FALSE)-1</f>
        <v>#REF!</v>
      </c>
      <c r="O179" s="100" t="e">
        <f>VLOOKUP("noruega",#REF!,7,FALSE)</f>
        <v>#REF!</v>
      </c>
      <c r="P179" s="99" t="e">
        <f>VLOOKUP("noruega",#REF!,8,FALSE)/VLOOKUP("noruega",#REF!,8,FALSE)-1</f>
        <v>#REF!</v>
      </c>
      <c r="Q179" s="100" t="e">
        <f>VLOOKUP("noruega",#REF!,8,FALSE)</f>
        <v>#REF!</v>
      </c>
    </row>
    <row r="180" spans="3:17" ht="24" hidden="1" customHeight="1" thickBot="1">
      <c r="C180" s="101" t="s">
        <v>52</v>
      </c>
      <c r="D180" s="99" t="e">
        <f>VLOOKUP("dinamarca",#REF!,6,FALSE)/VLOOKUP("dinamarca",#REF!,6,FALSE)-1</f>
        <v>#REF!</v>
      </c>
      <c r="E180" s="100" t="e">
        <f>VLOOKUP("dinamarca",#REF!,6,FALSE)</f>
        <v>#REF!</v>
      </c>
      <c r="F180" s="99" t="e">
        <f>VLOOKUP("dinamarca",#REF!,5,FALSE)/VLOOKUP("dinamarca",#REF!,5,FALSE)-1</f>
        <v>#REF!</v>
      </c>
      <c r="G180" s="100" t="e">
        <f>VLOOKUP("dinamarca",#REF!,5,FALSE)</f>
        <v>#REF!</v>
      </c>
      <c r="H180" s="99" t="e">
        <f>VLOOKUP("dinamarca",#REF!,4,FALSE)/VLOOKUP("dinamarca",#REF!,4,FALSE)-1</f>
        <v>#REF!</v>
      </c>
      <c r="I180" s="100" t="e">
        <f>VLOOKUP("dinamarca",#REF!,4,FALSE)</f>
        <v>#REF!</v>
      </c>
      <c r="J180" s="99" t="e">
        <f>VLOOKUP("dinamarca",#REF!,3,FALSE)/VLOOKUP("dinamarca",#REF!,3,FALSE)-1</f>
        <v>#REF!</v>
      </c>
      <c r="K180" s="100" t="e">
        <f>VLOOKUP("dinamarca",#REF!,3,FALSE)</f>
        <v>#REF!</v>
      </c>
      <c r="L180" s="99" t="e">
        <f>VLOOKUP("dinamarca",#REF!,2,FALSE)/VLOOKUP("dinamarca",#REF!,2,FALSE)-1</f>
        <v>#REF!</v>
      </c>
      <c r="M180" s="100" t="e">
        <f>VLOOKUP("dinamarca",#REF!,2,FALSE)</f>
        <v>#REF!</v>
      </c>
      <c r="N180" s="99" t="e">
        <f>VLOOKUP("dinamarca",#REF!,7,FALSE)/VLOOKUP("dinamarca",#REF!,7,FALSE)-1</f>
        <v>#REF!</v>
      </c>
      <c r="O180" s="100" t="e">
        <f>VLOOKUP("dinamarca",#REF!,7,FALSE)</f>
        <v>#REF!</v>
      </c>
      <c r="P180" s="99" t="e">
        <f>VLOOKUP("dinamarca",#REF!,8,FALSE)/VLOOKUP("dinamarca",#REF!,8,FALSE)-1</f>
        <v>#REF!</v>
      </c>
      <c r="Q180" s="100" t="e">
        <f>VLOOKUP("dinamarca",#REF!,8,FALSE)</f>
        <v>#REF!</v>
      </c>
    </row>
    <row r="181" spans="3:17" ht="24" hidden="1" customHeight="1" thickBot="1">
      <c r="C181" s="101" t="s">
        <v>53</v>
      </c>
      <c r="D181" s="99" t="s">
        <v>39</v>
      </c>
      <c r="E181" s="100" t="e">
        <f>VLOOKUP("finlandia",#REF!,6,FALSE)</f>
        <v>#REF!</v>
      </c>
      <c r="F181" s="99" t="e">
        <f>VLOOKUP("finlandia",#REF!,5,FALSE)/VLOOKUP("finlandia",#REF!,5,FALSE)-1</f>
        <v>#REF!</v>
      </c>
      <c r="G181" s="100" t="e">
        <f>VLOOKUP("finlandia",#REF!,5,FALSE)</f>
        <v>#REF!</v>
      </c>
      <c r="H181" s="99" t="e">
        <f>VLOOKUP("finlandia",#REF!,4,FALSE)/VLOOKUP("finlandia",#REF!,4,FALSE)-1</f>
        <v>#REF!</v>
      </c>
      <c r="I181" s="100" t="e">
        <f>VLOOKUP("finlandia",#REF!,4,FALSE)</f>
        <v>#REF!</v>
      </c>
      <c r="J181" s="99" t="e">
        <f>VLOOKUP("finlandia",#REF!,3,FALSE)/VLOOKUP("finlandia",#REF!,3,FALSE)-1</f>
        <v>#REF!</v>
      </c>
      <c r="K181" s="100" t="e">
        <f>VLOOKUP("finlandia",#REF!,3,FALSE)</f>
        <v>#REF!</v>
      </c>
      <c r="L181" s="99" t="s">
        <v>39</v>
      </c>
      <c r="M181" s="100" t="e">
        <f>VLOOKUP("finlandia",#REF!,2,FALSE)</f>
        <v>#REF!</v>
      </c>
      <c r="N181" s="99" t="e">
        <f>VLOOKUP("finlandia",#REF!,7,FALSE)/VLOOKUP("finlandia",#REF!,7,FALSE)-1</f>
        <v>#REF!</v>
      </c>
      <c r="O181" s="100" t="e">
        <f>VLOOKUP("finlandia",#REF!,7,FALSE)</f>
        <v>#REF!</v>
      </c>
      <c r="P181" s="99" t="e">
        <f>VLOOKUP("finlandia",#REF!,8,FALSE)/VLOOKUP("finlandia",#REF!,8,FALSE)-1</f>
        <v>#REF!</v>
      </c>
      <c r="Q181" s="100" t="e">
        <f>VLOOKUP("finlandia",#REF!,8,FALSE)</f>
        <v>#REF!</v>
      </c>
    </row>
    <row r="182" spans="3:17" ht="24" hidden="1" customHeight="1" thickBot="1">
      <c r="C182" s="98" t="s">
        <v>54</v>
      </c>
      <c r="D182" s="99" t="e">
        <f>VLOOKUP("suiza",#REF!,6,FALSE)/VLOOKUP("suiza",#REF!,6,FALSE)-1</f>
        <v>#REF!</v>
      </c>
      <c r="E182" s="100" t="e">
        <f>VLOOKUP("suiza",#REF!,6,FALSE)</f>
        <v>#REF!</v>
      </c>
      <c r="F182" s="99" t="e">
        <f>VLOOKUP("suiza",#REF!,5,FALSE)/VLOOKUP("suiza",#REF!,5,FALSE)-1</f>
        <v>#REF!</v>
      </c>
      <c r="G182" s="100" t="e">
        <f>VLOOKUP("suiza",#REF!,5,FALSE)</f>
        <v>#REF!</v>
      </c>
      <c r="H182" s="99" t="e">
        <f>VLOOKUP("suiza",#REF!,4,FALSE)/VLOOKUP("suiza",#REF!,4,FALSE)-1</f>
        <v>#REF!</v>
      </c>
      <c r="I182" s="100" t="e">
        <f>VLOOKUP("suiza",#REF!,4,FALSE)</f>
        <v>#REF!</v>
      </c>
      <c r="J182" s="99" t="e">
        <f>VLOOKUP("suiza",#REF!,3,FALSE)/VLOOKUP("suiza",#REF!,3,FALSE)-1</f>
        <v>#REF!</v>
      </c>
      <c r="K182" s="100" t="e">
        <f>VLOOKUP("suiza",#REF!,3,FALSE)</f>
        <v>#REF!</v>
      </c>
      <c r="L182" s="99" t="e">
        <f>VLOOKUP("suiza",#REF!,2,FALSE)/VLOOKUP("suiza",#REF!,2,FALSE)-1</f>
        <v>#REF!</v>
      </c>
      <c r="M182" s="100" t="e">
        <f>VLOOKUP("suiza",#REF!,2,FALSE)</f>
        <v>#REF!</v>
      </c>
      <c r="N182" s="99" t="e">
        <f>VLOOKUP("suiza",#REF!,7,FALSE)/VLOOKUP("suiza",#REF!,7,FALSE)-1</f>
        <v>#REF!</v>
      </c>
      <c r="O182" s="100" t="e">
        <f>VLOOKUP("suiza",#REF!,7,FALSE)</f>
        <v>#REF!</v>
      </c>
      <c r="P182" s="99" t="e">
        <f>VLOOKUP("suiza",#REF!,8,FALSE)/VLOOKUP("suiza",#REF!,8,FALSE)-1</f>
        <v>#REF!</v>
      </c>
      <c r="Q182" s="100" t="e">
        <f>VLOOKUP("suiza",#REF!,8,FALSE)</f>
        <v>#REF!</v>
      </c>
    </row>
    <row r="183" spans="3:17" ht="24" hidden="1" customHeight="1" thickBot="1">
      <c r="C183" s="98" t="s">
        <v>55</v>
      </c>
      <c r="D183" s="99" t="e">
        <f>VLOOKUP("austria",#REF!,6,FALSE)/VLOOKUP("austria",#REF!,6,FALSE)-1</f>
        <v>#REF!</v>
      </c>
      <c r="E183" s="100" t="e">
        <f>VLOOKUP("austria",#REF!,6,FALSE)</f>
        <v>#REF!</v>
      </c>
      <c r="F183" s="99" t="e">
        <f>VLOOKUP("austria",#REF!,5,FALSE)/VLOOKUP("austria",#REF!,5,FALSE)-1</f>
        <v>#REF!</v>
      </c>
      <c r="G183" s="100" t="e">
        <f>VLOOKUP("austria",#REF!,5,FALSE)</f>
        <v>#REF!</v>
      </c>
      <c r="H183" s="99" t="e">
        <f>VLOOKUP("austria",#REF!,4,FALSE)/VLOOKUP("austria",#REF!,4,FALSE)-1</f>
        <v>#REF!</v>
      </c>
      <c r="I183" s="100" t="e">
        <f>VLOOKUP("austria",#REF!,4,FALSE)</f>
        <v>#REF!</v>
      </c>
      <c r="J183" s="99" t="e">
        <f>VLOOKUP("austria",#REF!,3,FALSE)/VLOOKUP("austria",#REF!,3,FALSE)-1</f>
        <v>#REF!</v>
      </c>
      <c r="K183" s="100" t="e">
        <f>VLOOKUP("austria",#REF!,3,FALSE)</f>
        <v>#REF!</v>
      </c>
      <c r="L183" s="99" t="e">
        <f>VLOOKUP("austria",#REF!,2,FALSE)/VLOOKUP("austria",#REF!,2,FALSE)-1</f>
        <v>#REF!</v>
      </c>
      <c r="M183" s="100" t="e">
        <f>VLOOKUP("austria",#REF!,2,FALSE)</f>
        <v>#REF!</v>
      </c>
      <c r="N183" s="99" t="e">
        <f>VLOOKUP("austria",#REF!,7,FALSE)/VLOOKUP("austria",#REF!,7,FALSE)-1</f>
        <v>#REF!</v>
      </c>
      <c r="O183" s="100" t="e">
        <f>VLOOKUP("austria",#REF!,7,FALSE)</f>
        <v>#REF!</v>
      </c>
      <c r="P183" s="99" t="e">
        <f>VLOOKUP("austria",#REF!,8,FALSE)/VLOOKUP("austria",#REF!,8,FALSE)-1</f>
        <v>#REF!</v>
      </c>
      <c r="Q183" s="100" t="e">
        <f>VLOOKUP("austria",#REF!,8,FALSE)</f>
        <v>#REF!</v>
      </c>
    </row>
    <row r="184" spans="3:17" ht="24" hidden="1" customHeight="1" thickBot="1">
      <c r="C184" s="98" t="s">
        <v>56</v>
      </c>
      <c r="D184" s="99" t="e">
        <f>VLOOKUP("rusia",#REF!,6,FALSE)/VLOOKUP("rusia",#REF!,6,FALSE)-1</f>
        <v>#REF!</v>
      </c>
      <c r="E184" s="100" t="e">
        <f>VLOOKUP("rusia",#REF!,6,FALSE)</f>
        <v>#REF!</v>
      </c>
      <c r="F184" s="99" t="e">
        <f>VLOOKUP("rusia",#REF!,5,FALSE)/VLOOKUP("rusia",#REF!,5,FALSE)-1</f>
        <v>#REF!</v>
      </c>
      <c r="G184" s="100" t="e">
        <f>VLOOKUP("rusia",#REF!,5,FALSE)</f>
        <v>#REF!</v>
      </c>
      <c r="H184" s="99" t="e">
        <f>VLOOKUP("rusia",#REF!,4,FALSE)/VLOOKUP("rusia",#REF!,4,FALSE)-1</f>
        <v>#REF!</v>
      </c>
      <c r="I184" s="100" t="e">
        <f>VLOOKUP("rusia",#REF!,4,FALSE)</f>
        <v>#REF!</v>
      </c>
      <c r="J184" s="99" t="e">
        <f>VLOOKUP("rusia",#REF!,3,FALSE)/VLOOKUP("rusia",#REF!,3,FALSE)-1</f>
        <v>#REF!</v>
      </c>
      <c r="K184" s="100" t="e">
        <f>VLOOKUP("rusia",#REF!,3,FALSE)</f>
        <v>#REF!</v>
      </c>
      <c r="L184" s="99" t="e">
        <f>VLOOKUP("rusia",#REF!,2,FALSE)/VLOOKUP("rusia",#REF!,2,FALSE)-1</f>
        <v>#REF!</v>
      </c>
      <c r="M184" s="100" t="e">
        <f>VLOOKUP("rusia",#REF!,2,FALSE)</f>
        <v>#REF!</v>
      </c>
      <c r="N184" s="99" t="e">
        <f>VLOOKUP("rusia",#REF!,7,FALSE)/VLOOKUP("rusia",#REF!,7,FALSE)-1</f>
        <v>#REF!</v>
      </c>
      <c r="O184" s="100" t="e">
        <f>VLOOKUP("rusia",#REF!,7,FALSE)</f>
        <v>#REF!</v>
      </c>
      <c r="P184" s="99" t="e">
        <f>VLOOKUP("rusia",#REF!,8,FALSE)/VLOOKUP("rusia",#REF!,8,FALSE)-1</f>
        <v>#REF!</v>
      </c>
      <c r="Q184" s="100" t="e">
        <f>VLOOKUP("rusia",#REF!,8,FALSE)</f>
        <v>#REF!</v>
      </c>
    </row>
    <row r="185" spans="3:17" ht="24" hidden="1" customHeight="1" thickBot="1">
      <c r="C185" s="98" t="s">
        <v>57</v>
      </c>
      <c r="D185" s="99" t="e">
        <f>VLOOKUP("paises del este",#REF!,6,FALSE)/VLOOKUP("paises del este",#REF!,6,FALSE)-1</f>
        <v>#REF!</v>
      </c>
      <c r="E185" s="100" t="e">
        <f>VLOOKUP("paises del este",#REF!,6,FALSE)</f>
        <v>#REF!</v>
      </c>
      <c r="F185" s="99" t="e">
        <f>VLOOKUP("paises del este",#REF!,5,FALSE)/VLOOKUP("paises del este",#REF!,5,FALSE)-1</f>
        <v>#REF!</v>
      </c>
      <c r="G185" s="100" t="e">
        <f>VLOOKUP("paises del este",#REF!,5,FALSE)</f>
        <v>#REF!</v>
      </c>
      <c r="H185" s="99" t="e">
        <f>VLOOKUP("paises del este",#REF!,4,FALSE)/VLOOKUP("paises del este",#REF!,4,FALSE)-1</f>
        <v>#REF!</v>
      </c>
      <c r="I185" s="100" t="e">
        <f>VLOOKUP("paises del este",#REF!,4,FALSE)</f>
        <v>#REF!</v>
      </c>
      <c r="J185" s="99" t="e">
        <f>VLOOKUP("paises del este",#REF!,3,FALSE)/VLOOKUP("paises del este",#REF!,3,FALSE)-1</f>
        <v>#REF!</v>
      </c>
      <c r="K185" s="100" t="e">
        <f>VLOOKUP("paises del este",#REF!,3,FALSE)</f>
        <v>#REF!</v>
      </c>
      <c r="L185" s="99" t="e">
        <f>VLOOKUP("paises del este",#REF!,2,FALSE)/VLOOKUP("paises del este",#REF!,2,FALSE)-1</f>
        <v>#REF!</v>
      </c>
      <c r="M185" s="100" t="e">
        <f>VLOOKUP("paises del este",#REF!,2,FALSE)</f>
        <v>#REF!</v>
      </c>
      <c r="N185" s="99" t="e">
        <f>VLOOKUP("paises del este",#REF!,7,FALSE)/VLOOKUP("paises del este",#REF!,7,FALSE)-1</f>
        <v>#REF!</v>
      </c>
      <c r="O185" s="100" t="e">
        <f>VLOOKUP("paises del este",#REF!,7,FALSE)</f>
        <v>#REF!</v>
      </c>
      <c r="P185" s="99" t="e">
        <f>VLOOKUP("paises del este",#REF!,8,FALSE)/VLOOKUP("paises del este",#REF!,8,FALSE)-1</f>
        <v>#REF!</v>
      </c>
      <c r="Q185" s="100" t="e">
        <f>VLOOKUP("paises del este",#REF!,8,FALSE)</f>
        <v>#REF!</v>
      </c>
    </row>
    <row r="186" spans="3:17" ht="24" hidden="1" customHeight="1" thickBot="1">
      <c r="C186" s="98" t="s">
        <v>58</v>
      </c>
      <c r="D186" s="99" t="e">
        <f>VLOOKUP("resto de europa",#REF!,6,FALSE)/VLOOKUP("resto de europa",#REF!,6,FALSE)-1</f>
        <v>#REF!</v>
      </c>
      <c r="E186" s="100" t="e">
        <f>VLOOKUP("resto de europa",#REF!,6,FALSE)</f>
        <v>#REF!</v>
      </c>
      <c r="F186" s="99" t="e">
        <f>VLOOKUP("resto de europa",#REF!,5,FALSE)/VLOOKUP("resto de europa",#REF!,5,FALSE)-1</f>
        <v>#REF!</v>
      </c>
      <c r="G186" s="100" t="e">
        <f>VLOOKUP("resto de europa",#REF!,5,FALSE)</f>
        <v>#REF!</v>
      </c>
      <c r="H186" s="99" t="e">
        <f>VLOOKUP("resto de europa",#REF!,4,FALSE)/VLOOKUP("resto de europa",#REF!,4,FALSE)-1</f>
        <v>#REF!</v>
      </c>
      <c r="I186" s="100" t="e">
        <f>VLOOKUP("resto de europa",#REF!,4,FALSE)</f>
        <v>#REF!</v>
      </c>
      <c r="J186" s="99" t="e">
        <f>VLOOKUP("resto de europa",#REF!,3,FALSE)/VLOOKUP("resto de europa",#REF!,3,FALSE)-1</f>
        <v>#REF!</v>
      </c>
      <c r="K186" s="100" t="e">
        <f>VLOOKUP("resto de europa",#REF!,3,FALSE)</f>
        <v>#REF!</v>
      </c>
      <c r="L186" s="99" t="e">
        <f>VLOOKUP("resto de europa",#REF!,2,FALSE)/VLOOKUP("resto de europa",#REF!,2,FALSE)-1</f>
        <v>#REF!</v>
      </c>
      <c r="M186" s="100" t="e">
        <f>VLOOKUP("resto de europa",#REF!,2,FALSE)</f>
        <v>#REF!</v>
      </c>
      <c r="N186" s="99" t="e">
        <f>VLOOKUP("resto de europa",#REF!,7,FALSE)/VLOOKUP("resto de europa",#REF!,7,FALSE)-1</f>
        <v>#REF!</v>
      </c>
      <c r="O186" s="100" t="e">
        <f>VLOOKUP("resto de europa",#REF!,7,FALSE)</f>
        <v>#REF!</v>
      </c>
      <c r="P186" s="99" t="e">
        <f>VLOOKUP("resto de europa",#REF!,8,FALSE)/VLOOKUP("resto de europa",#REF!,8,FALSE)-1</f>
        <v>#REF!</v>
      </c>
      <c r="Q186" s="100" t="e">
        <f>VLOOKUP("resto de europa",#REF!,8,FALSE)</f>
        <v>#REF!</v>
      </c>
    </row>
    <row r="187" spans="3:17" ht="24" hidden="1" customHeight="1" thickBot="1">
      <c r="C187" s="98" t="s">
        <v>59</v>
      </c>
      <c r="D187" s="99" t="e">
        <f>VLOOKUP("usa",#REF!,6,FALSE)/VLOOKUP("usa",#REF!,6,FALSE)-1</f>
        <v>#REF!</v>
      </c>
      <c r="E187" s="100" t="e">
        <f>VLOOKUP("usa",#REF!,6,FALSE)</f>
        <v>#REF!</v>
      </c>
      <c r="F187" s="99" t="e">
        <f>VLOOKUP("usa",#REF!,5,FALSE)/VLOOKUP("usa",#REF!,5,FALSE)-1</f>
        <v>#REF!</v>
      </c>
      <c r="G187" s="100" t="e">
        <f>VLOOKUP("usa",#REF!,5,FALSE)</f>
        <v>#REF!</v>
      </c>
      <c r="H187" s="99" t="e">
        <f>VLOOKUP("usa",#REF!,4,FALSE)/VLOOKUP("usa",#REF!,4,FALSE)-1</f>
        <v>#REF!</v>
      </c>
      <c r="I187" s="100" t="e">
        <f>VLOOKUP("usa",#REF!,4,FALSE)</f>
        <v>#REF!</v>
      </c>
      <c r="J187" s="99" t="e">
        <f>VLOOKUP("usa",#REF!,3,FALSE)/VLOOKUP("usa",#REF!,3,FALSE)-1</f>
        <v>#REF!</v>
      </c>
      <c r="K187" s="100" t="e">
        <f>VLOOKUP("usa",#REF!,3,FALSE)</f>
        <v>#REF!</v>
      </c>
      <c r="L187" s="99" t="e">
        <f>VLOOKUP("usa",#REF!,2,FALSE)/VLOOKUP("usa",#REF!,2,FALSE)-1</f>
        <v>#REF!</v>
      </c>
      <c r="M187" s="100" t="e">
        <f>VLOOKUP("usa",#REF!,2,FALSE)</f>
        <v>#REF!</v>
      </c>
      <c r="N187" s="99" t="e">
        <f>VLOOKUP("usa",#REF!,7,FALSE)/VLOOKUP("usa",#REF!,7,FALSE)-1</f>
        <v>#REF!</v>
      </c>
      <c r="O187" s="100" t="e">
        <f>VLOOKUP("usa",#REF!,7,FALSE)</f>
        <v>#REF!</v>
      </c>
      <c r="P187" s="99" t="e">
        <f>VLOOKUP("usa",#REF!,8,FALSE)/VLOOKUP("usa",#REF!,8,FALSE)-1</f>
        <v>#REF!</v>
      </c>
      <c r="Q187" s="100" t="e">
        <f>VLOOKUP("usa",#REF!,8,FALSE)</f>
        <v>#REF!</v>
      </c>
    </row>
    <row r="188" spans="3:17" ht="24" hidden="1" customHeight="1" thickBot="1">
      <c r="C188" s="98" t="s">
        <v>60</v>
      </c>
      <c r="D188" s="99" t="e">
        <f>VLOOKUP("resto de america",#REF!,6,FALSE)/VLOOKUP("resto de america",#REF!,6,FALSE)-1</f>
        <v>#REF!</v>
      </c>
      <c r="E188" s="100" t="e">
        <f>VLOOKUP("resto de america",#REF!,6,FALSE)</f>
        <v>#REF!</v>
      </c>
      <c r="F188" s="99" t="e">
        <f>VLOOKUP("resto de america",#REF!,5,FALSE)/VLOOKUP("resto de america",#REF!,5,FALSE)-1</f>
        <v>#REF!</v>
      </c>
      <c r="G188" s="100" t="e">
        <f>VLOOKUP("resto de america",#REF!,5,FALSE)</f>
        <v>#REF!</v>
      </c>
      <c r="H188" s="99" t="e">
        <f>VLOOKUP("resto de america",#REF!,4,FALSE)/VLOOKUP("resto de america",#REF!,4,FALSE)-1</f>
        <v>#REF!</v>
      </c>
      <c r="I188" s="100" t="e">
        <f>VLOOKUP("resto de america",#REF!,4,FALSE)</f>
        <v>#REF!</v>
      </c>
      <c r="J188" s="99" t="e">
        <f>VLOOKUP("resto de america",#REF!,3,FALSE)/VLOOKUP("resto de america",#REF!,3,FALSE)-1</f>
        <v>#REF!</v>
      </c>
      <c r="K188" s="100" t="e">
        <f>VLOOKUP("resto de america",#REF!,3,FALSE)</f>
        <v>#REF!</v>
      </c>
      <c r="L188" s="99" t="e">
        <f>VLOOKUP("resto de america",#REF!,2,FALSE)/VLOOKUP("resto de america",#REF!,2,FALSE)-1</f>
        <v>#REF!</v>
      </c>
      <c r="M188" s="100" t="e">
        <f>VLOOKUP("resto de america",#REF!,2,FALSE)</f>
        <v>#REF!</v>
      </c>
      <c r="N188" s="99" t="e">
        <f>VLOOKUP("resto de america",#REF!,7,FALSE)/VLOOKUP("resto de america",#REF!,7,FALSE)-1</f>
        <v>#REF!</v>
      </c>
      <c r="O188" s="100" t="e">
        <f>VLOOKUP("resto de america",#REF!,7,FALSE)</f>
        <v>#REF!</v>
      </c>
      <c r="P188" s="99" t="e">
        <f>VLOOKUP("resto de america",#REF!,8,FALSE)/VLOOKUP("resto de america",#REF!,8,FALSE)-1</f>
        <v>#REF!</v>
      </c>
      <c r="Q188" s="100" t="e">
        <f>VLOOKUP("resto de america",#REF!,8,FALSE)</f>
        <v>#REF!</v>
      </c>
    </row>
    <row r="189" spans="3:17" ht="24" hidden="1" customHeight="1" thickBot="1">
      <c r="C189" s="98" t="s">
        <v>61</v>
      </c>
      <c r="D189" s="99" t="e">
        <f>VLOOKUP("resto del mundo",#REF!,6,FALSE)/VLOOKUP("resto del mundo",#REF!,6,FALSE)-1</f>
        <v>#REF!</v>
      </c>
      <c r="E189" s="100" t="e">
        <f>VLOOKUP("resto del mundo",#REF!,6,FALSE)</f>
        <v>#REF!</v>
      </c>
      <c r="F189" s="99" t="e">
        <f>VLOOKUP("resto del mundo",#REF!,5,FALSE)/VLOOKUP("resto del mundo",#REF!,5,FALSE)-1</f>
        <v>#REF!</v>
      </c>
      <c r="G189" s="100" t="e">
        <f>VLOOKUP("resto del mundo",#REF!,5,FALSE)</f>
        <v>#REF!</v>
      </c>
      <c r="H189" s="99" t="e">
        <f>VLOOKUP("resto del mundo",#REF!,4,FALSE)/VLOOKUP("resto del mundo",#REF!,4,FALSE)-1</f>
        <v>#REF!</v>
      </c>
      <c r="I189" s="100" t="e">
        <f>VLOOKUP("resto del mundo",#REF!,4,FALSE)</f>
        <v>#REF!</v>
      </c>
      <c r="J189" s="99" t="e">
        <f>VLOOKUP("resto del mundo",#REF!,3,FALSE)/VLOOKUP("resto del mundo",#REF!,3,FALSE)-1</f>
        <v>#REF!</v>
      </c>
      <c r="K189" s="100" t="e">
        <f>VLOOKUP("resto del mundo",#REF!,3,FALSE)</f>
        <v>#REF!</v>
      </c>
      <c r="L189" s="99" t="e">
        <f>VLOOKUP("resto del mundo",#REF!,2,FALSE)/VLOOKUP("resto del mundo",#REF!,2,FALSE)-1</f>
        <v>#REF!</v>
      </c>
      <c r="M189" s="100" t="e">
        <f>VLOOKUP("resto del mundo",#REF!,2,FALSE)</f>
        <v>#REF!</v>
      </c>
      <c r="N189" s="99" t="e">
        <f>VLOOKUP("resto del mundo",#REF!,7,FALSE)/VLOOKUP("resto del mundo",#REF!,7,FALSE)-1</f>
        <v>#REF!</v>
      </c>
      <c r="O189" s="100" t="e">
        <f>VLOOKUP("resto del mundo",#REF!,7,FALSE)</f>
        <v>#REF!</v>
      </c>
      <c r="P189" s="99" t="e">
        <f>VLOOKUP("resto del mundo",#REF!,8,FALSE)/VLOOKUP("resto del mundo",#REF!,8,FALSE)-1</f>
        <v>#REF!</v>
      </c>
      <c r="Q189" s="100" t="e">
        <f>VLOOKUP("resto del mundo",#REF!,8,FALSE)</f>
        <v>#REF!</v>
      </c>
    </row>
    <row r="190" spans="3:17" ht="24" hidden="1" customHeight="1" thickBot="1">
      <c r="C190" s="98" t="s">
        <v>62</v>
      </c>
      <c r="D190" s="99" t="e">
        <f>(VLOOKUP("total",#REF!,6,FALSE)-VLOOKUP("españa",#REF!,6,FALSE))/(VLOOKUP("total",#REF!,6,FALSE)-VLOOKUP("españa",#REF!,6,FALSE))-1</f>
        <v>#REF!</v>
      </c>
      <c r="E190" s="100" t="e">
        <f>VLOOKUP("total",#REF!,6,FALSE)-VLOOKUP("españa",#REF!,6,FALSE)</f>
        <v>#REF!</v>
      </c>
      <c r="F190" s="99" t="e">
        <f>(VLOOKUP("total",#REF!,5,FALSE)-VLOOKUP("españa",#REF!,5,FALSE))/(VLOOKUP("total",#REF!,5,FALSE)-VLOOKUP("españa",#REF!,5,FALSE))-1</f>
        <v>#REF!</v>
      </c>
      <c r="G190" s="100" t="e">
        <f>VLOOKUP("total",#REF!,5,FALSE)-VLOOKUP("españa",#REF!,5,FALSE)</f>
        <v>#REF!</v>
      </c>
      <c r="H190" s="99" t="e">
        <f>(VLOOKUP("total",#REF!,4,FALSE)-VLOOKUP("españa",#REF!,4,FALSE))/(VLOOKUP("total",#REF!,4,FALSE)-VLOOKUP("españa",#REF!,4,FALSE))-1</f>
        <v>#REF!</v>
      </c>
      <c r="I190" s="100" t="e">
        <f>VLOOKUP("total",#REF!,4,FALSE)-VLOOKUP("españa",#REF!,4,FALSE)</f>
        <v>#REF!</v>
      </c>
      <c r="J190" s="99" t="e">
        <f>(VLOOKUP("total",#REF!,3,FALSE)-VLOOKUP("españa",#REF!,3,FALSE))/(VLOOKUP("total",#REF!,3,FALSE)-VLOOKUP("españa",#REF!,3,FALSE))-1</f>
        <v>#REF!</v>
      </c>
      <c r="K190" s="100" t="e">
        <f>VLOOKUP("total",#REF!,3,FALSE)-VLOOKUP("españa",#REF!,3,FALSE)</f>
        <v>#REF!</v>
      </c>
      <c r="L190" s="99" t="e">
        <f>(VLOOKUP("total",#REF!,2,FALSE)-VLOOKUP("españa",#REF!,2,FALSE))/(VLOOKUP("total",#REF!,2,FALSE)-VLOOKUP("españa",#REF!,2,FALSE))-1</f>
        <v>#REF!</v>
      </c>
      <c r="M190" s="100" t="e">
        <f>VLOOKUP("total",#REF!,2,FALSE)-VLOOKUP("españa",#REF!,2,FALSE)</f>
        <v>#REF!</v>
      </c>
      <c r="N190" s="99" t="e">
        <f>(VLOOKUP("total",#REF!,7,FALSE)-VLOOKUP("españa",#REF!,7,FALSE))/(VLOOKUP("total",#REF!,7,FALSE)-VLOOKUP("españa",#REF!,7,FALSE))-1</f>
        <v>#REF!</v>
      </c>
      <c r="O190" s="100" t="e">
        <f>VLOOKUP("total",#REF!,7,FALSE)-VLOOKUP("españa",#REF!,7,FALSE)</f>
        <v>#REF!</v>
      </c>
      <c r="P190" s="99" t="e">
        <f>(VLOOKUP("total",#REF!,8,FALSE)-VLOOKUP("españa",#REF!,8,FALSE))/(VLOOKUP("total",#REF!,8,FALSE)-VLOOKUP("españa",#REF!,8,FALSE))-1</f>
        <v>#REF!</v>
      </c>
      <c r="Q190" s="100" t="e">
        <f>VLOOKUP("total",#REF!,8,FALSE)-VLOOKUP("españa",#REF!,8,FALSE)</f>
        <v>#REF!</v>
      </c>
    </row>
    <row r="191" spans="3:17" ht="24" hidden="1" customHeight="1" thickBot="1">
      <c r="C191" s="98" t="s">
        <v>10</v>
      </c>
      <c r="D191" s="99" t="e">
        <f>VLOOKUP("total",#REF!,6,FALSE)/VLOOKUP("total",#REF!,6,FALSE)-1</f>
        <v>#REF!</v>
      </c>
      <c r="E191" s="100" t="e">
        <f>VLOOKUP("total",#REF!,6,FALSE)</f>
        <v>#REF!</v>
      </c>
      <c r="F191" s="99" t="e">
        <f>VLOOKUP("total",#REF!,5,FALSE)/VLOOKUP("total",#REF!,5,FALSE)-1</f>
        <v>#REF!</v>
      </c>
      <c r="G191" s="100" t="e">
        <f>VLOOKUP("total",#REF!,5,FALSE)</f>
        <v>#REF!</v>
      </c>
      <c r="H191" s="99" t="e">
        <f>VLOOKUP("total",#REF!,4,FALSE)/VLOOKUP("total",#REF!,4,FALSE)-1</f>
        <v>#REF!</v>
      </c>
      <c r="I191" s="100" t="e">
        <f>VLOOKUP("total",#REF!,4,FALSE)</f>
        <v>#REF!</v>
      </c>
      <c r="J191" s="99" t="e">
        <f>VLOOKUP("total",#REF!,3,FALSE)/VLOOKUP("total",#REF!,3,FALSE)-1</f>
        <v>#REF!</v>
      </c>
      <c r="K191" s="100" t="e">
        <f>VLOOKUP("total",#REF!,3,FALSE)</f>
        <v>#REF!</v>
      </c>
      <c r="L191" s="99" t="e">
        <f>VLOOKUP("total",#REF!,2,FALSE)/VLOOKUP("total",#REF!,2,FALSE)-1</f>
        <v>#REF!</v>
      </c>
      <c r="M191" s="100" t="e">
        <f>VLOOKUP("total",#REF!,2,FALSE)</f>
        <v>#REF!</v>
      </c>
      <c r="N191" s="99" t="e">
        <f>VLOOKUP("total",#REF!,7,FALSE)/VLOOKUP("total",#REF!,7,FALSE)-1</f>
        <v>#REF!</v>
      </c>
      <c r="O191" s="100" t="e">
        <f>VLOOKUP("total",#REF!,7,FALSE)</f>
        <v>#REF!</v>
      </c>
      <c r="P191" s="99" t="e">
        <f>VLOOKUP("total",#REF!,8,FALSE)/VLOOKUP("total",#REF!,8,FALSE)-1</f>
        <v>#REF!</v>
      </c>
      <c r="Q191" s="100" t="e">
        <f>VLOOKUP("total",#REF!,8,FALSE)</f>
        <v>#REF!</v>
      </c>
    </row>
    <row r="192" spans="3:17" hidden="1"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6"/>
    </row>
    <row r="193" spans="3:18" ht="35.25" hidden="1" customHeight="1">
      <c r="C193" s="93" t="s">
        <v>30</v>
      </c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87"/>
    </row>
    <row r="194" spans="3:18" ht="20.100000000000001" hidden="1" customHeight="1" thickBot="1">
      <c r="C194" s="102" t="str">
        <f>I2</f>
        <v>año 2011</v>
      </c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92"/>
    </row>
    <row r="195" spans="3:18" ht="13.5" hidden="1" thickBot="1">
      <c r="C195" s="97"/>
      <c r="D195" s="80" t="s">
        <v>26</v>
      </c>
      <c r="E195" s="81"/>
      <c r="F195" s="80" t="s">
        <v>25</v>
      </c>
      <c r="G195" s="81"/>
      <c r="H195" s="80" t="s">
        <v>24</v>
      </c>
      <c r="I195" s="81"/>
      <c r="J195" s="80" t="s">
        <v>23</v>
      </c>
      <c r="K195" s="81"/>
      <c r="L195" s="80" t="s">
        <v>22</v>
      </c>
      <c r="M195" s="81"/>
      <c r="N195" s="80" t="s">
        <v>65</v>
      </c>
      <c r="O195" s="81"/>
      <c r="P195" s="80" t="s">
        <v>66</v>
      </c>
      <c r="Q195" s="81"/>
    </row>
    <row r="196" spans="3:18" ht="28.5" hidden="1" customHeight="1" thickBot="1">
      <c r="C196" s="97"/>
      <c r="D196" s="82" t="s">
        <v>63</v>
      </c>
      <c r="E196" s="82" t="s">
        <v>64</v>
      </c>
      <c r="F196" s="82" t="s">
        <v>63</v>
      </c>
      <c r="G196" s="82" t="s">
        <v>64</v>
      </c>
      <c r="H196" s="82" t="s">
        <v>63</v>
      </c>
      <c r="I196" s="82" t="s">
        <v>64</v>
      </c>
      <c r="J196" s="82" t="s">
        <v>63</v>
      </c>
      <c r="K196" s="82" t="s">
        <v>64</v>
      </c>
      <c r="L196" s="82" t="s">
        <v>63</v>
      </c>
      <c r="M196" s="82" t="s">
        <v>64</v>
      </c>
      <c r="N196" s="82" t="s">
        <v>63</v>
      </c>
      <c r="O196" s="82" t="s">
        <v>64</v>
      </c>
      <c r="P196" s="82" t="s">
        <v>63</v>
      </c>
      <c r="Q196" s="82" t="s">
        <v>64</v>
      </c>
    </row>
    <row r="197" spans="3:18" ht="24" hidden="1" customHeight="1" thickBot="1">
      <c r="C197" s="98" t="s">
        <v>37</v>
      </c>
      <c r="D197" s="99" t="e">
        <f>VLOOKUP("españa",#REF!,6,FALSE)/VLOOKUP("españa",#REF!,6,FALSE)-1</f>
        <v>#REF!</v>
      </c>
      <c r="E197" s="100" t="e">
        <f>VLOOKUP("españa",#REF!,6,FALSE)</f>
        <v>#REF!</v>
      </c>
      <c r="F197" s="99" t="e">
        <f>VLOOKUP("españa",#REF!,5,FALSE)/VLOOKUP("españa",#REF!,5,FALSE)-1</f>
        <v>#REF!</v>
      </c>
      <c r="G197" s="100" t="e">
        <f>VLOOKUP("españa",#REF!,5,FALSE)</f>
        <v>#REF!</v>
      </c>
      <c r="H197" s="99" t="e">
        <f>VLOOKUP("españa",#REF!,4,FALSE)/VLOOKUP("españa",#REF!,4,FALSE)-1</f>
        <v>#REF!</v>
      </c>
      <c r="I197" s="100" t="e">
        <f>VLOOKUP("españa",#REF!,4,FALSE)</f>
        <v>#REF!</v>
      </c>
      <c r="J197" s="99" t="e">
        <f>VLOOKUP("españa",#REF!,3,FALSE)/VLOOKUP("españa",#REF!,3,FALSE)-1</f>
        <v>#REF!</v>
      </c>
      <c r="K197" s="100" t="e">
        <f>VLOOKUP("españa",#REF!,3,FALSE)</f>
        <v>#REF!</v>
      </c>
      <c r="L197" s="99" t="e">
        <f>VLOOKUP("españa",#REF!,2,FALSE)/VLOOKUP("españa",#REF!,2,FALSE)-1</f>
        <v>#REF!</v>
      </c>
      <c r="M197" s="100" t="e">
        <f>VLOOKUP("españa",#REF!,2,FALSE)</f>
        <v>#REF!</v>
      </c>
      <c r="N197" s="99" t="e">
        <f>VLOOKUP("españa",#REF!,7,FALSE)/VLOOKUP("españa",#REF!,7,FALSE)-1</f>
        <v>#REF!</v>
      </c>
      <c r="O197" s="100" t="e">
        <f>VLOOKUP("españa",#REF!,7,FALSE)</f>
        <v>#REF!</v>
      </c>
      <c r="P197" s="99" t="e">
        <f>VLOOKUP("españa",#REF!,8,FALSE)/VLOOKUP("españa",#REF!,8,FALSE)-1</f>
        <v>#REF!</v>
      </c>
      <c r="Q197" s="100" t="e">
        <f>VLOOKUP("españa",#REF!,8,FALSE)</f>
        <v>#REF!</v>
      </c>
    </row>
    <row r="198" spans="3:18" ht="24" hidden="1" customHeight="1" thickBot="1">
      <c r="C198" s="98" t="s">
        <v>42</v>
      </c>
      <c r="D198" s="99" t="e">
        <f>VLOOKUP("holanda",#REF!,6,FALSE)/VLOOKUP("holanda",#REF!,6,FALSE)-1</f>
        <v>#REF!</v>
      </c>
      <c r="E198" s="100" t="e">
        <f>VLOOKUP("holanda",#REF!,6,FALSE)</f>
        <v>#REF!</v>
      </c>
      <c r="F198" s="99" t="e">
        <f>VLOOKUP("holanda",#REF!,5,FALSE)/VLOOKUP("holanda",#REF!,5,FALSE)-1</f>
        <v>#REF!</v>
      </c>
      <c r="G198" s="100" t="e">
        <f>VLOOKUP("holanda",#REF!,5,FALSE)</f>
        <v>#REF!</v>
      </c>
      <c r="H198" s="99" t="e">
        <f>VLOOKUP("holanda",#REF!,4,FALSE)/VLOOKUP("holanda",#REF!,4,FALSE)-1</f>
        <v>#REF!</v>
      </c>
      <c r="I198" s="100" t="e">
        <f>VLOOKUP("holanda",#REF!,4,FALSE)</f>
        <v>#REF!</v>
      </c>
      <c r="J198" s="99" t="e">
        <f>VLOOKUP("holanda",#REF!,3,FALSE)/VLOOKUP("holanda",#REF!,3,FALSE)-1</f>
        <v>#REF!</v>
      </c>
      <c r="K198" s="100" t="e">
        <f>VLOOKUP("holanda",#REF!,3,FALSE)</f>
        <v>#REF!</v>
      </c>
      <c r="L198" s="99" t="e">
        <f>VLOOKUP("holanda",#REF!,2,FALSE)/VLOOKUP("holanda",#REF!,2,FALSE)-1</f>
        <v>#REF!</v>
      </c>
      <c r="M198" s="100" t="e">
        <f>VLOOKUP("holanda",#REF!,2,FALSE)</f>
        <v>#REF!</v>
      </c>
      <c r="N198" s="99" t="e">
        <f>VLOOKUP("holanda",#REF!,7,FALSE)/VLOOKUP("holanda",#REF!,7,FALSE)-1</f>
        <v>#REF!</v>
      </c>
      <c r="O198" s="100" t="e">
        <f>VLOOKUP("holanda",#REF!,7,FALSE)</f>
        <v>#REF!</v>
      </c>
      <c r="P198" s="99" t="e">
        <f>VLOOKUP("holanda",#REF!,8,FALSE)/VLOOKUP("holanda",#REF!,8,FALSE)-1</f>
        <v>#REF!</v>
      </c>
      <c r="Q198" s="100" t="e">
        <f>VLOOKUP("holanda",#REF!,8,FALSE)</f>
        <v>#REF!</v>
      </c>
    </row>
    <row r="199" spans="3:18" ht="24" hidden="1" customHeight="1" thickBot="1">
      <c r="C199" s="98" t="s">
        <v>43</v>
      </c>
      <c r="D199" s="99" t="e">
        <f>VLOOKUP("belgica",#REF!,6,FALSE)/VLOOKUP("belgica",#REF!,6,FALSE)-1</f>
        <v>#REF!</v>
      </c>
      <c r="E199" s="100" t="e">
        <f>VLOOKUP("belgica",#REF!,6,FALSE)</f>
        <v>#REF!</v>
      </c>
      <c r="F199" s="99" t="e">
        <f>VLOOKUP("belgica",#REF!,5,FALSE)/VLOOKUP("belgica",#REF!,5,FALSE)-1</f>
        <v>#REF!</v>
      </c>
      <c r="G199" s="100" t="e">
        <f>VLOOKUP("belgica",#REF!,5,FALSE)</f>
        <v>#REF!</v>
      </c>
      <c r="H199" s="99" t="e">
        <f>VLOOKUP("belgica",#REF!,4,FALSE)/VLOOKUP("belgica",#REF!,4,FALSE)-1</f>
        <v>#REF!</v>
      </c>
      <c r="I199" s="100" t="e">
        <f>VLOOKUP("belgica",#REF!,4,FALSE)</f>
        <v>#REF!</v>
      </c>
      <c r="J199" s="99" t="e">
        <f>VLOOKUP("belgica",#REF!,3,FALSE)/VLOOKUP("belgica",#REF!,3,FALSE)-1</f>
        <v>#REF!</v>
      </c>
      <c r="K199" s="100" t="e">
        <f>VLOOKUP("belgica",#REF!,3,FALSE)</f>
        <v>#REF!</v>
      </c>
      <c r="L199" s="99" t="e">
        <f>VLOOKUP("belgica",#REF!,2,FALSE)/VLOOKUP("belgica",#REF!,2,FALSE)-1</f>
        <v>#REF!</v>
      </c>
      <c r="M199" s="100" t="e">
        <f>VLOOKUP("belgica",#REF!,2,FALSE)</f>
        <v>#REF!</v>
      </c>
      <c r="N199" s="99" t="e">
        <f>VLOOKUP("belgica",#REF!,7,FALSE)/VLOOKUP("belgica",#REF!,7,FALSE)-1</f>
        <v>#REF!</v>
      </c>
      <c r="O199" s="100" t="e">
        <f>VLOOKUP("belgica",#REF!,7,FALSE)</f>
        <v>#REF!</v>
      </c>
      <c r="P199" s="99" t="e">
        <f>VLOOKUP("belgica",#REF!,8,FALSE)/VLOOKUP("belgica",#REF!,8,FALSE)-1</f>
        <v>#REF!</v>
      </c>
      <c r="Q199" s="100" t="e">
        <f>VLOOKUP("belgica",#REF!,8,FALSE)</f>
        <v>#REF!</v>
      </c>
    </row>
    <row r="200" spans="3:18" ht="24" hidden="1" customHeight="1" thickBot="1">
      <c r="C200" s="98" t="s">
        <v>44</v>
      </c>
      <c r="D200" s="99" t="e">
        <f>VLOOKUP("alemania",#REF!,6,FALSE)/VLOOKUP("alemania",#REF!,6,FALSE)-1</f>
        <v>#REF!</v>
      </c>
      <c r="E200" s="100" t="e">
        <f>VLOOKUP("alemania",#REF!,6,FALSE)</f>
        <v>#REF!</v>
      </c>
      <c r="F200" s="99" t="e">
        <f>VLOOKUP("alemania",#REF!,5,FALSE)/VLOOKUP("alemania",#REF!,5,FALSE)-1</f>
        <v>#REF!</v>
      </c>
      <c r="G200" s="100" t="e">
        <f>VLOOKUP("alemania",#REF!,5,FALSE)</f>
        <v>#REF!</v>
      </c>
      <c r="H200" s="99" t="e">
        <f>VLOOKUP("alemania",#REF!,4,FALSE)/VLOOKUP("alemania",#REF!,4,FALSE)-1</f>
        <v>#REF!</v>
      </c>
      <c r="I200" s="100" t="e">
        <f>VLOOKUP("alemania",#REF!,4,FALSE)</f>
        <v>#REF!</v>
      </c>
      <c r="J200" s="99" t="e">
        <f>VLOOKUP("alemania",#REF!,3,FALSE)/VLOOKUP("alemania",#REF!,3,FALSE)-1</f>
        <v>#REF!</v>
      </c>
      <c r="K200" s="100" t="e">
        <f>VLOOKUP("alemania",#REF!,3,FALSE)</f>
        <v>#REF!</v>
      </c>
      <c r="L200" s="99" t="e">
        <f>VLOOKUP("alemania",#REF!,2,FALSE)/VLOOKUP("alemania",#REF!,2,FALSE)-1</f>
        <v>#REF!</v>
      </c>
      <c r="M200" s="100" t="e">
        <f>VLOOKUP("alemania",#REF!,2,FALSE)</f>
        <v>#REF!</v>
      </c>
      <c r="N200" s="99" t="e">
        <f>VLOOKUP("alemania",#REF!,7,FALSE)/VLOOKUP("alemania",#REF!,7,FALSE)-1</f>
        <v>#REF!</v>
      </c>
      <c r="O200" s="100" t="e">
        <f>VLOOKUP("alemania",#REF!,7,FALSE)</f>
        <v>#REF!</v>
      </c>
      <c r="P200" s="99" t="e">
        <f>VLOOKUP("alemania",#REF!,8,FALSE)/VLOOKUP("alemania",#REF!,8,FALSE)-1</f>
        <v>#REF!</v>
      </c>
      <c r="Q200" s="100" t="e">
        <f>VLOOKUP("alemania",#REF!,8,FALSE)</f>
        <v>#REF!</v>
      </c>
    </row>
    <row r="201" spans="3:18" ht="24" hidden="1" customHeight="1" thickBot="1">
      <c r="C201" s="98" t="s">
        <v>45</v>
      </c>
      <c r="D201" s="99" t="e">
        <f>VLOOKUP("francia",#REF!,6,FALSE)/VLOOKUP("francia",#REF!,6,FALSE)-1</f>
        <v>#REF!</v>
      </c>
      <c r="E201" s="100" t="e">
        <f>VLOOKUP("francia",#REF!,6,FALSE)</f>
        <v>#REF!</v>
      </c>
      <c r="F201" s="99" t="e">
        <f>VLOOKUP("francia",#REF!,5,FALSE)/VLOOKUP("francia",#REF!,5,FALSE)-1</f>
        <v>#REF!</v>
      </c>
      <c r="G201" s="100" t="e">
        <f>VLOOKUP("francia",#REF!,5,FALSE)</f>
        <v>#REF!</v>
      </c>
      <c r="H201" s="99" t="e">
        <f>VLOOKUP("francia",#REF!,4,FALSE)/VLOOKUP("francia",#REF!,4,FALSE)-1</f>
        <v>#REF!</v>
      </c>
      <c r="I201" s="100" t="e">
        <f>VLOOKUP("francia",#REF!,4,FALSE)</f>
        <v>#REF!</v>
      </c>
      <c r="J201" s="99" t="e">
        <f>VLOOKUP("francia",#REF!,3,FALSE)/VLOOKUP("francia",#REF!,3,FALSE)-1</f>
        <v>#REF!</v>
      </c>
      <c r="K201" s="100" t="e">
        <f>VLOOKUP("francia",#REF!,3,FALSE)</f>
        <v>#REF!</v>
      </c>
      <c r="L201" s="99" t="e">
        <f>VLOOKUP("francia",#REF!,2,FALSE)/VLOOKUP("francia",#REF!,2,FALSE)-1</f>
        <v>#REF!</v>
      </c>
      <c r="M201" s="100" t="e">
        <f>VLOOKUP("francia",#REF!,2,FALSE)</f>
        <v>#REF!</v>
      </c>
      <c r="N201" s="99" t="e">
        <f>VLOOKUP("francia",#REF!,7,FALSE)/VLOOKUP("francia",#REF!,7,FALSE)-1</f>
        <v>#REF!</v>
      </c>
      <c r="O201" s="100" t="e">
        <f>VLOOKUP("francia",#REF!,7,FALSE)</f>
        <v>#REF!</v>
      </c>
      <c r="P201" s="99" t="e">
        <f>VLOOKUP("francia",#REF!,8,FALSE)/VLOOKUP("francia",#REF!,8,FALSE)-1</f>
        <v>#REF!</v>
      </c>
      <c r="Q201" s="100" t="e">
        <f>VLOOKUP("francia",#REF!,8,FALSE)</f>
        <v>#REF!</v>
      </c>
    </row>
    <row r="202" spans="3:18" ht="24" hidden="1" customHeight="1" thickBot="1">
      <c r="C202" s="98" t="s">
        <v>46</v>
      </c>
      <c r="D202" s="99" t="e">
        <f>VLOOKUP("reino unido",#REF!,6,FALSE)/VLOOKUP("reino unido",#REF!,6,FALSE)-1</f>
        <v>#REF!</v>
      </c>
      <c r="E202" s="100" t="e">
        <f>VLOOKUP("reino unido",#REF!,6,FALSE)</f>
        <v>#REF!</v>
      </c>
      <c r="F202" s="99" t="e">
        <f>VLOOKUP("reino unido",#REF!,5,FALSE)/VLOOKUP("reino unido",#REF!,5,FALSE)-1</f>
        <v>#REF!</v>
      </c>
      <c r="G202" s="100" t="e">
        <f>VLOOKUP("reino unido",#REF!,5,FALSE)</f>
        <v>#REF!</v>
      </c>
      <c r="H202" s="99" t="e">
        <f>VLOOKUP("reino unido",#REF!,4,FALSE)/VLOOKUP("reino unido",#REF!,4,FALSE)-1</f>
        <v>#REF!</v>
      </c>
      <c r="I202" s="100" t="e">
        <f>VLOOKUP("reino unido",#REF!,4,FALSE)</f>
        <v>#REF!</v>
      </c>
      <c r="J202" s="99" t="e">
        <f>VLOOKUP("reino unido",#REF!,3,FALSE)/VLOOKUP("reino unido",#REF!,3,FALSE)-1</f>
        <v>#REF!</v>
      </c>
      <c r="K202" s="100" t="e">
        <f>VLOOKUP("reino unido",#REF!,3,FALSE)</f>
        <v>#REF!</v>
      </c>
      <c r="L202" s="99" t="e">
        <f>VLOOKUP("reino unido",#REF!,2,FALSE)/VLOOKUP("reino unido",#REF!,2,FALSE)-1</f>
        <v>#REF!</v>
      </c>
      <c r="M202" s="100" t="e">
        <f>VLOOKUP("reino unido",#REF!,2,FALSE)</f>
        <v>#REF!</v>
      </c>
      <c r="N202" s="99" t="e">
        <f>VLOOKUP("reino unido",#REF!,7,FALSE)/VLOOKUP("reino unido",#REF!,7,FALSE)-1</f>
        <v>#REF!</v>
      </c>
      <c r="O202" s="100" t="e">
        <f>VLOOKUP("reino unido",#REF!,7,FALSE)</f>
        <v>#REF!</v>
      </c>
      <c r="P202" s="99" t="e">
        <f>VLOOKUP("reino unido",#REF!,8,FALSE)/VLOOKUP("reino unido",#REF!,8,FALSE)-1</f>
        <v>#REF!</v>
      </c>
      <c r="Q202" s="100" t="e">
        <f>VLOOKUP("reino unido",#REF!,8,FALSE)</f>
        <v>#REF!</v>
      </c>
    </row>
    <row r="203" spans="3:18" ht="24" hidden="1" customHeight="1" thickBot="1">
      <c r="C203" s="98" t="s">
        <v>47</v>
      </c>
      <c r="D203" s="99" t="e">
        <f>VLOOKUP("irlanda",#REF!,6,FALSE)/VLOOKUP("irlanda",#REF!,6,FALSE)-1</f>
        <v>#REF!</v>
      </c>
      <c r="E203" s="100" t="e">
        <f>VLOOKUP("irlanda",#REF!,6,FALSE)</f>
        <v>#REF!</v>
      </c>
      <c r="F203" s="99" t="e">
        <f>VLOOKUP("irlanda",#REF!,5,FALSE)/VLOOKUP("irlanda",#REF!,5,FALSE)-1</f>
        <v>#REF!</v>
      </c>
      <c r="G203" s="100" t="e">
        <f>VLOOKUP("irlanda",#REF!,5,FALSE)</f>
        <v>#REF!</v>
      </c>
      <c r="H203" s="99" t="e">
        <f>VLOOKUP("irlanda",#REF!,4,FALSE)/VLOOKUP("irlanda",#REF!,4,FALSE)-1</f>
        <v>#REF!</v>
      </c>
      <c r="I203" s="100" t="e">
        <f>VLOOKUP("irlanda",#REF!,4,FALSE)</f>
        <v>#REF!</v>
      </c>
      <c r="J203" s="99" t="e">
        <f>VLOOKUP("irlanda",#REF!,3,FALSE)/VLOOKUP("irlanda",#REF!,3,FALSE)-1</f>
        <v>#REF!</v>
      </c>
      <c r="K203" s="100" t="e">
        <f>VLOOKUP("irlanda",#REF!,3,FALSE)</f>
        <v>#REF!</v>
      </c>
      <c r="L203" s="99" t="e">
        <f>VLOOKUP("irlanda",#REF!,2,FALSE)/VLOOKUP("irlanda",#REF!,2,FALSE)-1</f>
        <v>#REF!</v>
      </c>
      <c r="M203" s="100" t="e">
        <f>VLOOKUP("irlanda",#REF!,2,FALSE)</f>
        <v>#REF!</v>
      </c>
      <c r="N203" s="99" t="e">
        <f>VLOOKUP("irlanda",#REF!,7,FALSE)/VLOOKUP("irlanda",#REF!,7,FALSE)-1</f>
        <v>#REF!</v>
      </c>
      <c r="O203" s="100" t="e">
        <f>VLOOKUP("irlanda",#REF!,7,FALSE)</f>
        <v>#REF!</v>
      </c>
      <c r="P203" s="99" t="e">
        <f>VLOOKUP("irlanda",#REF!,8,FALSE)/VLOOKUP("irlanda",#REF!,8,FALSE)-1</f>
        <v>#REF!</v>
      </c>
      <c r="Q203" s="100" t="e">
        <f>VLOOKUP("irlanda",#REF!,8,FALSE)</f>
        <v>#REF!</v>
      </c>
    </row>
    <row r="204" spans="3:18" ht="24" hidden="1" customHeight="1" thickBot="1">
      <c r="C204" s="98" t="s">
        <v>48</v>
      </c>
      <c r="D204" s="99" t="e">
        <f>VLOOKUP("italia",#REF!,6,FALSE)/VLOOKUP("italia",#REF!,6,FALSE)-1</f>
        <v>#REF!</v>
      </c>
      <c r="E204" s="100" t="e">
        <f>VLOOKUP("italia",#REF!,6,FALSE)</f>
        <v>#REF!</v>
      </c>
      <c r="F204" s="99" t="e">
        <f>VLOOKUP("italia",#REF!,5,FALSE)/VLOOKUP("italia",#REF!,5,FALSE)-1</f>
        <v>#REF!</v>
      </c>
      <c r="G204" s="100" t="e">
        <f>VLOOKUP("italia",#REF!,5,FALSE)</f>
        <v>#REF!</v>
      </c>
      <c r="H204" s="99" t="e">
        <f>VLOOKUP("italia",#REF!,4,FALSE)/VLOOKUP("italia",#REF!,4,FALSE)-1</f>
        <v>#REF!</v>
      </c>
      <c r="I204" s="100" t="e">
        <f>VLOOKUP("italia",#REF!,4,FALSE)</f>
        <v>#REF!</v>
      </c>
      <c r="J204" s="99" t="e">
        <f>VLOOKUP("italia",#REF!,3,FALSE)/VLOOKUP("italia",#REF!,3,FALSE)-1</f>
        <v>#REF!</v>
      </c>
      <c r="K204" s="100" t="e">
        <f>VLOOKUP("italia",#REF!,3,FALSE)</f>
        <v>#REF!</v>
      </c>
      <c r="L204" s="99" t="e">
        <f>VLOOKUP("italia",#REF!,2,FALSE)/VLOOKUP("italia",#REF!,2,FALSE)-1</f>
        <v>#REF!</v>
      </c>
      <c r="M204" s="100" t="e">
        <f>VLOOKUP("italia",#REF!,2,FALSE)</f>
        <v>#REF!</v>
      </c>
      <c r="N204" s="99" t="e">
        <f>VLOOKUP("italia",#REF!,7,FALSE)/VLOOKUP("italia",#REF!,7,FALSE)-1</f>
        <v>#REF!</v>
      </c>
      <c r="O204" s="100" t="e">
        <f>VLOOKUP("italia",#REF!,7,FALSE)</f>
        <v>#REF!</v>
      </c>
      <c r="P204" s="99" t="e">
        <f>VLOOKUP("italia",#REF!,8,FALSE)/VLOOKUP("italia",#REF!,8,FALSE)-1</f>
        <v>#REF!</v>
      </c>
      <c r="Q204" s="100" t="e">
        <f>VLOOKUP("italia",#REF!,8,FALSE)</f>
        <v>#REF!</v>
      </c>
    </row>
    <row r="205" spans="3:18" ht="24" hidden="1" customHeight="1" thickBot="1">
      <c r="C205" s="98" t="s">
        <v>49</v>
      </c>
      <c r="D205" s="99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05" s="100" t="e">
        <f>(VLOOKUP("suecia",#REF!,6,FALSE)+VLOOKUP("noruega",#REF!,6,FALSE)+VLOOKUP("dinamarca",#REF!,6,FALSE)+VLOOKUP("finlandia",#REF!,6,FALSE))</f>
        <v>#REF!</v>
      </c>
      <c r="F205" s="99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05" s="100" t="e">
        <f>(VLOOKUP("suecia",#REF!,5,FALSE)+VLOOKUP("noruega",#REF!,5,FALSE)+VLOOKUP("dinamarca",#REF!,5,FALSE)+VLOOKUP("finlandia",#REF!,5,FALSE))</f>
        <v>#REF!</v>
      </c>
      <c r="H205" s="99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05" s="100" t="e">
        <f>(VLOOKUP("suecia",#REF!,4,FALSE)+VLOOKUP("noruega",#REF!,4,FALSE)+VLOOKUP("dinamarca",#REF!,4,FALSE)+VLOOKUP("finlandia",#REF!,4,FALSE))</f>
        <v>#REF!</v>
      </c>
      <c r="J205" s="99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05" s="100" t="e">
        <f>(VLOOKUP("suecia",#REF!,3,FALSE)+VLOOKUP("noruega",#REF!,3,FALSE)+VLOOKUP("dinamarca",#REF!,3,FALSE)+VLOOKUP("finlandia",#REF!,3,FALSE))</f>
        <v>#REF!</v>
      </c>
      <c r="L205" s="99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05" s="100" t="e">
        <f>(VLOOKUP("suecia",#REF!,2,FALSE)+VLOOKUP("noruega",#REF!,2,FALSE)+VLOOKUP("dinamarca",#REF!,2,FALSE)+VLOOKUP("finlandia",#REF!,2,FALSE))</f>
        <v>#REF!</v>
      </c>
      <c r="N205" s="99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05" s="100" t="e">
        <f>(VLOOKUP("suecia",#REF!,7,FALSE)+VLOOKUP("noruega",#REF!,7,FALSE)+VLOOKUP("dinamarca",#REF!,7,FALSE)+VLOOKUP("finlandia",#REF!,7,FALSE))</f>
        <v>#REF!</v>
      </c>
      <c r="P205" s="99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05" s="100" t="e">
        <f>(VLOOKUP("suecia",#REF!,8,FALSE)+VLOOKUP("noruega",#REF!,8,FALSE)+VLOOKUP("dinamarca",#REF!,8,FALSE)+VLOOKUP("finlandia",#REF!,8,FALSE))</f>
        <v>#REF!</v>
      </c>
    </row>
    <row r="206" spans="3:18" ht="24" hidden="1" customHeight="1" thickBot="1">
      <c r="C206" s="101" t="s">
        <v>50</v>
      </c>
      <c r="D206" s="99" t="e">
        <f>VLOOKUP("suecia",#REF!,6,FALSE)/VLOOKUP("suecia",#REF!,6,FALSE)-1</f>
        <v>#REF!</v>
      </c>
      <c r="E206" s="100" t="e">
        <f>VLOOKUP("suecia",#REF!,6,FALSE)</f>
        <v>#REF!</v>
      </c>
      <c r="F206" s="99" t="e">
        <f>VLOOKUP("suecia",#REF!,5,FALSE)/VLOOKUP("suecia",#REF!,5,FALSE)-1</f>
        <v>#REF!</v>
      </c>
      <c r="G206" s="100" t="e">
        <f>VLOOKUP("suecia",#REF!,5,FALSE)</f>
        <v>#REF!</v>
      </c>
      <c r="H206" s="99" t="e">
        <f>VLOOKUP("suecia",#REF!,4,FALSE)/VLOOKUP("suecia",#REF!,4,FALSE)-1</f>
        <v>#REF!</v>
      </c>
      <c r="I206" s="100" t="e">
        <f>VLOOKUP("suecia",#REF!,4,FALSE)</f>
        <v>#REF!</v>
      </c>
      <c r="J206" s="99" t="e">
        <f>VLOOKUP("suecia",#REF!,3,FALSE)/VLOOKUP("suecia",#REF!,3,FALSE)-1</f>
        <v>#REF!</v>
      </c>
      <c r="K206" s="100" t="e">
        <f>VLOOKUP("suecia",#REF!,3,FALSE)</f>
        <v>#REF!</v>
      </c>
      <c r="L206" s="99" t="e">
        <f>VLOOKUP("suecia",#REF!,2,FALSE)/VLOOKUP("suecia",#REF!,2,FALSE)-1</f>
        <v>#REF!</v>
      </c>
      <c r="M206" s="100" t="e">
        <f>VLOOKUP("suecia",#REF!,2,FALSE)</f>
        <v>#REF!</v>
      </c>
      <c r="N206" s="99" t="e">
        <f>VLOOKUP("suecia",#REF!,7,FALSE)/VLOOKUP("suecia",#REF!,7,FALSE)-1</f>
        <v>#REF!</v>
      </c>
      <c r="O206" s="100" t="e">
        <f>VLOOKUP("suecia",#REF!,7,FALSE)</f>
        <v>#REF!</v>
      </c>
      <c r="P206" s="99" t="e">
        <f>VLOOKUP("suecia",#REF!,8,FALSE)/VLOOKUP("suecia",#REF!,8,FALSE)-1</f>
        <v>#REF!</v>
      </c>
      <c r="Q206" s="100" t="e">
        <f>VLOOKUP("suecia",#REF!,8,FALSE)</f>
        <v>#REF!</v>
      </c>
    </row>
    <row r="207" spans="3:18" ht="24" hidden="1" customHeight="1" thickBot="1">
      <c r="C207" s="101" t="s">
        <v>51</v>
      </c>
      <c r="D207" s="99" t="e">
        <f>VLOOKUP("noruega",#REF!,6,FALSE)/VLOOKUP("noruega",#REF!,6,FALSE)-1</f>
        <v>#REF!</v>
      </c>
      <c r="E207" s="100" t="e">
        <f>VLOOKUP("noruega",#REF!,6,FALSE)</f>
        <v>#REF!</v>
      </c>
      <c r="F207" s="99" t="e">
        <f>VLOOKUP("noruega",#REF!,5,FALSE)/VLOOKUP("noruega",#REF!,5,FALSE)-1</f>
        <v>#REF!</v>
      </c>
      <c r="G207" s="100" t="e">
        <f>VLOOKUP("noruega",#REF!,5,FALSE)</f>
        <v>#REF!</v>
      </c>
      <c r="H207" s="99" t="e">
        <f>VLOOKUP("noruega",#REF!,4,FALSE)/VLOOKUP("noruega",#REF!,4,FALSE)-1</f>
        <v>#REF!</v>
      </c>
      <c r="I207" s="100" t="e">
        <f>VLOOKUP("noruega",#REF!,4,FALSE)</f>
        <v>#REF!</v>
      </c>
      <c r="J207" s="99" t="e">
        <f>VLOOKUP("noruega",#REF!,3,FALSE)/VLOOKUP("noruega",#REF!,3,FALSE)-1</f>
        <v>#REF!</v>
      </c>
      <c r="K207" s="100" t="e">
        <f>VLOOKUP("noruega",#REF!,3,FALSE)</f>
        <v>#REF!</v>
      </c>
      <c r="L207" s="99" t="e">
        <f>VLOOKUP("noruega",#REF!,2,FALSE)/VLOOKUP("noruega",#REF!,2,FALSE)-1</f>
        <v>#REF!</v>
      </c>
      <c r="M207" s="100" t="e">
        <f>VLOOKUP("noruega",#REF!,2,FALSE)</f>
        <v>#REF!</v>
      </c>
      <c r="N207" s="99" t="e">
        <f>VLOOKUP("noruega",#REF!,7,FALSE)/VLOOKUP("noruega",#REF!,7,FALSE)-1</f>
        <v>#REF!</v>
      </c>
      <c r="O207" s="100" t="e">
        <f>VLOOKUP("noruega",#REF!,7,FALSE)</f>
        <v>#REF!</v>
      </c>
      <c r="P207" s="99" t="e">
        <f>VLOOKUP("noruega",#REF!,8,FALSE)/VLOOKUP("noruega",#REF!,8,FALSE)-1</f>
        <v>#REF!</v>
      </c>
      <c r="Q207" s="100" t="e">
        <f>VLOOKUP("noruega",#REF!,8,FALSE)</f>
        <v>#REF!</v>
      </c>
    </row>
    <row r="208" spans="3:18" ht="24" hidden="1" customHeight="1" thickBot="1">
      <c r="C208" s="101" t="s">
        <v>52</v>
      </c>
      <c r="D208" s="99" t="e">
        <f>VLOOKUP("dinamarca",#REF!,6,FALSE)/VLOOKUP("dinamarca",#REF!,6,FALSE)-1</f>
        <v>#REF!</v>
      </c>
      <c r="E208" s="100" t="e">
        <f>VLOOKUP("dinamarca",#REF!,6,FALSE)</f>
        <v>#REF!</v>
      </c>
      <c r="F208" s="99" t="e">
        <f>VLOOKUP("dinamarca",#REF!,5,FALSE)/VLOOKUP("dinamarca",#REF!,5,FALSE)-1</f>
        <v>#REF!</v>
      </c>
      <c r="G208" s="100" t="e">
        <f>VLOOKUP("dinamarca",#REF!,5,FALSE)</f>
        <v>#REF!</v>
      </c>
      <c r="H208" s="99" t="e">
        <f>VLOOKUP("dinamarca",#REF!,4,FALSE)/VLOOKUP("dinamarca",#REF!,4,FALSE)-1</f>
        <v>#REF!</v>
      </c>
      <c r="I208" s="100" t="e">
        <f>VLOOKUP("dinamarca",#REF!,4,FALSE)</f>
        <v>#REF!</v>
      </c>
      <c r="J208" s="99" t="e">
        <f>VLOOKUP("dinamarca",#REF!,3,FALSE)/VLOOKUP("dinamarca",#REF!,3,FALSE)-1</f>
        <v>#REF!</v>
      </c>
      <c r="K208" s="100" t="e">
        <f>VLOOKUP("dinamarca",#REF!,3,FALSE)</f>
        <v>#REF!</v>
      </c>
      <c r="L208" s="99" t="e">
        <f>VLOOKUP("dinamarca",#REF!,2,FALSE)/VLOOKUP("dinamarca",#REF!,2,FALSE)-1</f>
        <v>#REF!</v>
      </c>
      <c r="M208" s="100" t="e">
        <f>VLOOKUP("dinamarca",#REF!,2,FALSE)</f>
        <v>#REF!</v>
      </c>
      <c r="N208" s="99" t="e">
        <f>VLOOKUP("dinamarca",#REF!,7,FALSE)/VLOOKUP("dinamarca",#REF!,7,FALSE)-1</f>
        <v>#REF!</v>
      </c>
      <c r="O208" s="100" t="e">
        <f>VLOOKUP("dinamarca",#REF!,7,FALSE)</f>
        <v>#REF!</v>
      </c>
      <c r="P208" s="99" t="e">
        <f>VLOOKUP("dinamarca",#REF!,8,FALSE)/VLOOKUP("dinamarca",#REF!,8,FALSE)-1</f>
        <v>#REF!</v>
      </c>
      <c r="Q208" s="100" t="e">
        <f>VLOOKUP("dinamarca",#REF!,8,FALSE)</f>
        <v>#REF!</v>
      </c>
    </row>
    <row r="209" spans="3:17" ht="24" hidden="1" customHeight="1" thickBot="1">
      <c r="C209" s="101" t="s">
        <v>53</v>
      </c>
      <c r="D209" s="99" t="s">
        <v>39</v>
      </c>
      <c r="E209" s="100" t="e">
        <f>VLOOKUP("finlandia",#REF!,6,FALSE)</f>
        <v>#REF!</v>
      </c>
      <c r="F209" s="99" t="e">
        <f>VLOOKUP("finlandia",#REF!,5,FALSE)/VLOOKUP("finlandia",#REF!,5,FALSE)-1</f>
        <v>#REF!</v>
      </c>
      <c r="G209" s="100" t="e">
        <f>VLOOKUP("finlandia",#REF!,5,FALSE)</f>
        <v>#REF!</v>
      </c>
      <c r="H209" s="99" t="e">
        <f>VLOOKUP("finlandia",#REF!,4,FALSE)/VLOOKUP("finlandia",#REF!,4,FALSE)-1</f>
        <v>#REF!</v>
      </c>
      <c r="I209" s="100" t="e">
        <f>VLOOKUP("finlandia",#REF!,4,FALSE)</f>
        <v>#REF!</v>
      </c>
      <c r="J209" s="99" t="e">
        <f>VLOOKUP("finlandia",#REF!,3,FALSE)/VLOOKUP("finlandia",#REF!,3,FALSE)-1</f>
        <v>#REF!</v>
      </c>
      <c r="K209" s="100" t="e">
        <f>VLOOKUP("finlandia",#REF!,3,FALSE)</f>
        <v>#REF!</v>
      </c>
      <c r="L209" s="99" t="s">
        <v>39</v>
      </c>
      <c r="M209" s="100" t="e">
        <f>VLOOKUP("finlandia",#REF!,2,FALSE)</f>
        <v>#REF!</v>
      </c>
      <c r="N209" s="99" t="e">
        <f>VLOOKUP("finlandia",#REF!,7,FALSE)/VLOOKUP("finlandia",#REF!,7,FALSE)-1</f>
        <v>#REF!</v>
      </c>
      <c r="O209" s="100" t="e">
        <f>VLOOKUP("finlandia",#REF!,7,FALSE)</f>
        <v>#REF!</v>
      </c>
      <c r="P209" s="99" t="e">
        <f>VLOOKUP("finlandia",#REF!,8,FALSE)/VLOOKUP("finlandia",#REF!,8,FALSE)-1</f>
        <v>#REF!</v>
      </c>
      <c r="Q209" s="100" t="e">
        <f>VLOOKUP("finlandia",#REF!,8,FALSE)</f>
        <v>#REF!</v>
      </c>
    </row>
    <row r="210" spans="3:17" ht="24" hidden="1" customHeight="1" thickBot="1">
      <c r="C210" s="98" t="s">
        <v>54</v>
      </c>
      <c r="D210" s="99" t="e">
        <f>VLOOKUP("suiza",#REF!,6,FALSE)/VLOOKUP("suiza",#REF!,6,FALSE)-1</f>
        <v>#REF!</v>
      </c>
      <c r="E210" s="100" t="e">
        <f>VLOOKUP("suiza",#REF!,6,FALSE)</f>
        <v>#REF!</v>
      </c>
      <c r="F210" s="99" t="e">
        <f>VLOOKUP("suiza",#REF!,5,FALSE)/VLOOKUP("suiza",#REF!,5,FALSE)-1</f>
        <v>#REF!</v>
      </c>
      <c r="G210" s="100" t="e">
        <f>VLOOKUP("suiza",#REF!,5,FALSE)</f>
        <v>#REF!</v>
      </c>
      <c r="H210" s="99" t="e">
        <f>VLOOKUP("suiza",#REF!,4,FALSE)/VLOOKUP("suiza",#REF!,4,FALSE)-1</f>
        <v>#REF!</v>
      </c>
      <c r="I210" s="100" t="e">
        <f>VLOOKUP("suiza",#REF!,4,FALSE)</f>
        <v>#REF!</v>
      </c>
      <c r="J210" s="99" t="e">
        <f>VLOOKUP("suiza",#REF!,3,FALSE)/VLOOKUP("suiza",#REF!,3,FALSE)-1</f>
        <v>#REF!</v>
      </c>
      <c r="K210" s="100" t="e">
        <f>VLOOKUP("suiza",#REF!,3,FALSE)</f>
        <v>#REF!</v>
      </c>
      <c r="L210" s="99" t="e">
        <f>VLOOKUP("suiza",#REF!,2,FALSE)/VLOOKUP("suiza",#REF!,2,FALSE)-1</f>
        <v>#REF!</v>
      </c>
      <c r="M210" s="100" t="e">
        <f>VLOOKUP("suiza",#REF!,2,FALSE)</f>
        <v>#REF!</v>
      </c>
      <c r="N210" s="99" t="e">
        <f>VLOOKUP("suiza",#REF!,7,FALSE)/VLOOKUP("suiza",#REF!,7,FALSE)-1</f>
        <v>#REF!</v>
      </c>
      <c r="O210" s="100" t="e">
        <f>VLOOKUP("suiza",#REF!,7,FALSE)</f>
        <v>#REF!</v>
      </c>
      <c r="P210" s="99" t="e">
        <f>VLOOKUP("suiza",#REF!,8,FALSE)/VLOOKUP("suiza",#REF!,8,FALSE)-1</f>
        <v>#REF!</v>
      </c>
      <c r="Q210" s="100" t="e">
        <f>VLOOKUP("suiza",#REF!,8,FALSE)</f>
        <v>#REF!</v>
      </c>
    </row>
    <row r="211" spans="3:17" ht="24" hidden="1" customHeight="1" thickBot="1">
      <c r="C211" s="98" t="s">
        <v>55</v>
      </c>
      <c r="D211" s="99" t="e">
        <f>VLOOKUP("austria",#REF!,6,FALSE)/VLOOKUP("austria",#REF!,6,FALSE)-1</f>
        <v>#REF!</v>
      </c>
      <c r="E211" s="100" t="e">
        <f>VLOOKUP("austria",#REF!,6,FALSE)</f>
        <v>#REF!</v>
      </c>
      <c r="F211" s="99" t="e">
        <f>VLOOKUP("austria",#REF!,5,FALSE)/VLOOKUP("austria",#REF!,5,FALSE)-1</f>
        <v>#REF!</v>
      </c>
      <c r="G211" s="100" t="e">
        <f>VLOOKUP("austria",#REF!,5,FALSE)</f>
        <v>#REF!</v>
      </c>
      <c r="H211" s="99" t="e">
        <f>VLOOKUP("austria",#REF!,4,FALSE)/VLOOKUP("austria",#REF!,4,FALSE)-1</f>
        <v>#REF!</v>
      </c>
      <c r="I211" s="100" t="e">
        <f>VLOOKUP("austria",#REF!,4,FALSE)</f>
        <v>#REF!</v>
      </c>
      <c r="J211" s="99" t="e">
        <f>VLOOKUP("austria",#REF!,3,FALSE)/VLOOKUP("austria",#REF!,3,FALSE)-1</f>
        <v>#REF!</v>
      </c>
      <c r="K211" s="100" t="e">
        <f>VLOOKUP("austria",#REF!,3,FALSE)</f>
        <v>#REF!</v>
      </c>
      <c r="L211" s="99" t="e">
        <f>VLOOKUP("austria",#REF!,2,FALSE)/VLOOKUP("austria",#REF!,2,FALSE)-1</f>
        <v>#REF!</v>
      </c>
      <c r="M211" s="100" t="e">
        <f>VLOOKUP("austria",#REF!,2,FALSE)</f>
        <v>#REF!</v>
      </c>
      <c r="N211" s="99" t="e">
        <f>VLOOKUP("austria",#REF!,7,FALSE)/VLOOKUP("austria",#REF!,7,FALSE)-1</f>
        <v>#REF!</v>
      </c>
      <c r="O211" s="100" t="e">
        <f>VLOOKUP("austria",#REF!,7,FALSE)</f>
        <v>#REF!</v>
      </c>
      <c r="P211" s="99" t="e">
        <f>VLOOKUP("austria",#REF!,8,FALSE)/VLOOKUP("austria",#REF!,8,FALSE)-1</f>
        <v>#REF!</v>
      </c>
      <c r="Q211" s="100" t="e">
        <f>VLOOKUP("austria",#REF!,8,FALSE)</f>
        <v>#REF!</v>
      </c>
    </row>
    <row r="212" spans="3:17" ht="24" hidden="1" customHeight="1" thickBot="1">
      <c r="C212" s="98" t="s">
        <v>56</v>
      </c>
      <c r="D212" s="99" t="e">
        <f>VLOOKUP("rusia",#REF!,6,FALSE)/VLOOKUP("rusia",#REF!,6,FALSE)-1</f>
        <v>#REF!</v>
      </c>
      <c r="E212" s="100" t="e">
        <f>VLOOKUP("rusia",#REF!,6,FALSE)</f>
        <v>#REF!</v>
      </c>
      <c r="F212" s="99" t="e">
        <f>VLOOKUP("rusia",#REF!,5,FALSE)/VLOOKUP("rusia",#REF!,5,FALSE)-1</f>
        <v>#REF!</v>
      </c>
      <c r="G212" s="100" t="e">
        <f>VLOOKUP("rusia",#REF!,5,FALSE)</f>
        <v>#REF!</v>
      </c>
      <c r="H212" s="99" t="e">
        <f>VLOOKUP("rusia",#REF!,4,FALSE)/VLOOKUP("rusia",#REF!,4,FALSE)-1</f>
        <v>#REF!</v>
      </c>
      <c r="I212" s="100" t="e">
        <f>VLOOKUP("rusia",#REF!,4,FALSE)</f>
        <v>#REF!</v>
      </c>
      <c r="J212" s="99" t="e">
        <f>VLOOKUP("rusia",#REF!,3,FALSE)/VLOOKUP("rusia",#REF!,3,FALSE)-1</f>
        <v>#REF!</v>
      </c>
      <c r="K212" s="100" t="e">
        <f>VLOOKUP("rusia",#REF!,3,FALSE)</f>
        <v>#REF!</v>
      </c>
      <c r="L212" s="99" t="e">
        <f>VLOOKUP("rusia",#REF!,2,FALSE)/VLOOKUP("rusia",#REF!,2,FALSE)-1</f>
        <v>#REF!</v>
      </c>
      <c r="M212" s="100" t="e">
        <f>VLOOKUP("rusia",#REF!,2,FALSE)</f>
        <v>#REF!</v>
      </c>
      <c r="N212" s="99" t="e">
        <f>VLOOKUP("rusia",#REF!,7,FALSE)/VLOOKUP("rusia",#REF!,7,FALSE)-1</f>
        <v>#REF!</v>
      </c>
      <c r="O212" s="100" t="e">
        <f>VLOOKUP("rusia",#REF!,7,FALSE)</f>
        <v>#REF!</v>
      </c>
      <c r="P212" s="99" t="e">
        <f>VLOOKUP("rusia",#REF!,8,FALSE)/VLOOKUP("rusia",#REF!,8,FALSE)-1</f>
        <v>#REF!</v>
      </c>
      <c r="Q212" s="100" t="e">
        <f>VLOOKUP("rusia",#REF!,8,FALSE)</f>
        <v>#REF!</v>
      </c>
    </row>
    <row r="213" spans="3:17" ht="24" hidden="1" customHeight="1" thickBot="1">
      <c r="C213" s="98" t="s">
        <v>57</v>
      </c>
      <c r="D213" s="99" t="e">
        <f>VLOOKUP("paises del este",#REF!,6,FALSE)/VLOOKUP("paises del este",#REF!,6,FALSE)-1</f>
        <v>#REF!</v>
      </c>
      <c r="E213" s="100" t="e">
        <f>VLOOKUP("paises del este",#REF!,6,FALSE)</f>
        <v>#REF!</v>
      </c>
      <c r="F213" s="99" t="e">
        <f>VLOOKUP("paises del este",#REF!,5,FALSE)/VLOOKUP("paises del este",#REF!,5,FALSE)-1</f>
        <v>#REF!</v>
      </c>
      <c r="G213" s="100" t="e">
        <f>VLOOKUP("paises del este",#REF!,5,FALSE)</f>
        <v>#REF!</v>
      </c>
      <c r="H213" s="99" t="e">
        <f>VLOOKUP("paises del este",#REF!,4,FALSE)/VLOOKUP("paises del este",#REF!,4,FALSE)-1</f>
        <v>#REF!</v>
      </c>
      <c r="I213" s="100" t="e">
        <f>VLOOKUP("paises del este",#REF!,4,FALSE)</f>
        <v>#REF!</v>
      </c>
      <c r="J213" s="99" t="e">
        <f>VLOOKUP("paises del este",#REF!,3,FALSE)/VLOOKUP("paises del este",#REF!,3,FALSE)-1</f>
        <v>#REF!</v>
      </c>
      <c r="K213" s="100" t="e">
        <f>VLOOKUP("paises del este",#REF!,3,FALSE)</f>
        <v>#REF!</v>
      </c>
      <c r="L213" s="99" t="e">
        <f>VLOOKUP("paises del este",#REF!,2,FALSE)/VLOOKUP("paises del este",#REF!,2,FALSE)-1</f>
        <v>#REF!</v>
      </c>
      <c r="M213" s="100" t="e">
        <f>VLOOKUP("paises del este",#REF!,2,FALSE)</f>
        <v>#REF!</v>
      </c>
      <c r="N213" s="99" t="e">
        <f>VLOOKUP("paises del este",#REF!,7,FALSE)/VLOOKUP("paises del este",#REF!,7,FALSE)-1</f>
        <v>#REF!</v>
      </c>
      <c r="O213" s="100" t="e">
        <f>VLOOKUP("paises del este",#REF!,7,FALSE)</f>
        <v>#REF!</v>
      </c>
      <c r="P213" s="99" t="e">
        <f>VLOOKUP("paises del este",#REF!,8,FALSE)/VLOOKUP("paises del este",#REF!,8,FALSE)-1</f>
        <v>#REF!</v>
      </c>
      <c r="Q213" s="100" t="e">
        <f>VLOOKUP("paises del este",#REF!,8,FALSE)</f>
        <v>#REF!</v>
      </c>
    </row>
    <row r="214" spans="3:17" ht="24" hidden="1" customHeight="1" thickBot="1">
      <c r="C214" s="98" t="s">
        <v>58</v>
      </c>
      <c r="D214" s="99" t="e">
        <f>VLOOKUP("resto de europa",#REF!,6,FALSE)/VLOOKUP("resto de europa",#REF!,6,FALSE)-1</f>
        <v>#REF!</v>
      </c>
      <c r="E214" s="100" t="e">
        <f>VLOOKUP("resto de europa",#REF!,6,FALSE)</f>
        <v>#REF!</v>
      </c>
      <c r="F214" s="99" t="e">
        <f>VLOOKUP("resto de europa",#REF!,5,FALSE)/VLOOKUP("resto de europa",#REF!,5,FALSE)-1</f>
        <v>#REF!</v>
      </c>
      <c r="G214" s="100" t="e">
        <f>VLOOKUP("resto de europa",#REF!,5,FALSE)</f>
        <v>#REF!</v>
      </c>
      <c r="H214" s="99" t="e">
        <f>VLOOKUP("resto de europa",#REF!,4,FALSE)/VLOOKUP("resto de europa",#REF!,4,FALSE)-1</f>
        <v>#REF!</v>
      </c>
      <c r="I214" s="100" t="e">
        <f>VLOOKUP("resto de europa",#REF!,4,FALSE)</f>
        <v>#REF!</v>
      </c>
      <c r="J214" s="99" t="e">
        <f>VLOOKUP("resto de europa",#REF!,3,FALSE)/VLOOKUP("resto de europa",#REF!,3,FALSE)-1</f>
        <v>#REF!</v>
      </c>
      <c r="K214" s="100" t="e">
        <f>VLOOKUP("resto de europa",#REF!,3,FALSE)</f>
        <v>#REF!</v>
      </c>
      <c r="L214" s="99" t="e">
        <f>VLOOKUP("resto de europa",#REF!,2,FALSE)/VLOOKUP("resto de europa",#REF!,2,FALSE)-1</f>
        <v>#REF!</v>
      </c>
      <c r="M214" s="100" t="e">
        <f>VLOOKUP("resto de europa",#REF!,2,FALSE)</f>
        <v>#REF!</v>
      </c>
      <c r="N214" s="99" t="e">
        <f>VLOOKUP("resto de europa",#REF!,7,FALSE)/VLOOKUP("resto de europa",#REF!,7,FALSE)-1</f>
        <v>#REF!</v>
      </c>
      <c r="O214" s="100" t="e">
        <f>VLOOKUP("resto de europa",#REF!,7,FALSE)</f>
        <v>#REF!</v>
      </c>
      <c r="P214" s="99" t="e">
        <f>VLOOKUP("resto de europa",#REF!,8,FALSE)/VLOOKUP("resto de europa",#REF!,8,FALSE)-1</f>
        <v>#REF!</v>
      </c>
      <c r="Q214" s="100" t="e">
        <f>VLOOKUP("resto de europa",#REF!,8,FALSE)</f>
        <v>#REF!</v>
      </c>
    </row>
    <row r="215" spans="3:17" ht="24" hidden="1" customHeight="1" thickBot="1">
      <c r="C215" s="98" t="s">
        <v>59</v>
      </c>
      <c r="D215" s="99" t="e">
        <f>VLOOKUP("usa",#REF!,6,FALSE)/VLOOKUP("usa",#REF!,6,FALSE)-1</f>
        <v>#REF!</v>
      </c>
      <c r="E215" s="100" t="e">
        <f>VLOOKUP("usa",#REF!,6,FALSE)</f>
        <v>#REF!</v>
      </c>
      <c r="F215" s="99" t="e">
        <f>VLOOKUP("usa",#REF!,5,FALSE)/VLOOKUP("usa",#REF!,5,FALSE)-1</f>
        <v>#REF!</v>
      </c>
      <c r="G215" s="100" t="e">
        <f>VLOOKUP("usa",#REF!,5,FALSE)</f>
        <v>#REF!</v>
      </c>
      <c r="H215" s="99" t="e">
        <f>VLOOKUP("usa",#REF!,4,FALSE)/VLOOKUP("usa",#REF!,4,FALSE)-1</f>
        <v>#REF!</v>
      </c>
      <c r="I215" s="100" t="e">
        <f>VLOOKUP("usa",#REF!,4,FALSE)</f>
        <v>#REF!</v>
      </c>
      <c r="J215" s="99" t="e">
        <f>VLOOKUP("usa",#REF!,3,FALSE)/VLOOKUP("usa",#REF!,3,FALSE)-1</f>
        <v>#REF!</v>
      </c>
      <c r="K215" s="100" t="e">
        <f>VLOOKUP("usa",#REF!,3,FALSE)</f>
        <v>#REF!</v>
      </c>
      <c r="L215" s="99" t="e">
        <f>VLOOKUP("usa",#REF!,2,FALSE)/VLOOKUP("usa",#REF!,2,FALSE)-1</f>
        <v>#REF!</v>
      </c>
      <c r="M215" s="100" t="e">
        <f>VLOOKUP("usa",#REF!,2,FALSE)</f>
        <v>#REF!</v>
      </c>
      <c r="N215" s="99" t="e">
        <f>VLOOKUP("usa",#REF!,7,FALSE)/VLOOKUP("usa",#REF!,7,FALSE)-1</f>
        <v>#REF!</v>
      </c>
      <c r="O215" s="100" t="e">
        <f>VLOOKUP("usa",#REF!,7,FALSE)</f>
        <v>#REF!</v>
      </c>
      <c r="P215" s="99" t="e">
        <f>VLOOKUP("usa",#REF!,8,FALSE)/VLOOKUP("usa",#REF!,8,FALSE)-1</f>
        <v>#REF!</v>
      </c>
      <c r="Q215" s="100" t="e">
        <f>VLOOKUP("usa",#REF!,8,FALSE)</f>
        <v>#REF!</v>
      </c>
    </row>
    <row r="216" spans="3:17" ht="24" hidden="1" customHeight="1" thickBot="1">
      <c r="C216" s="98" t="s">
        <v>60</v>
      </c>
      <c r="D216" s="99" t="e">
        <f>VLOOKUP("resto de america",#REF!,6,FALSE)/VLOOKUP("resto de america",#REF!,6,FALSE)-1</f>
        <v>#REF!</v>
      </c>
      <c r="E216" s="100" t="e">
        <f>VLOOKUP("resto de america",#REF!,6,FALSE)</f>
        <v>#REF!</v>
      </c>
      <c r="F216" s="99" t="e">
        <f>VLOOKUP("resto de america",#REF!,5,FALSE)/VLOOKUP("resto de america",#REF!,5,FALSE)-1</f>
        <v>#REF!</v>
      </c>
      <c r="G216" s="100" t="e">
        <f>VLOOKUP("resto de america",#REF!,5,FALSE)</f>
        <v>#REF!</v>
      </c>
      <c r="H216" s="99" t="e">
        <f>VLOOKUP("resto de america",#REF!,4,FALSE)/VLOOKUP("resto de america",#REF!,4,FALSE)-1</f>
        <v>#REF!</v>
      </c>
      <c r="I216" s="100" t="e">
        <f>VLOOKUP("resto de america",#REF!,4,FALSE)</f>
        <v>#REF!</v>
      </c>
      <c r="J216" s="99" t="e">
        <f>VLOOKUP("resto de america",#REF!,3,FALSE)/VLOOKUP("resto de america",#REF!,3,FALSE)-1</f>
        <v>#REF!</v>
      </c>
      <c r="K216" s="100" t="e">
        <f>VLOOKUP("resto de america",#REF!,3,FALSE)</f>
        <v>#REF!</v>
      </c>
      <c r="L216" s="99" t="e">
        <f>VLOOKUP("resto de america",#REF!,2,FALSE)/VLOOKUP("resto de america",#REF!,2,FALSE)-1</f>
        <v>#REF!</v>
      </c>
      <c r="M216" s="100" t="e">
        <f>VLOOKUP("resto de america",#REF!,2,FALSE)</f>
        <v>#REF!</v>
      </c>
      <c r="N216" s="99" t="e">
        <f>VLOOKUP("resto de america",#REF!,7,FALSE)/VLOOKUP("resto de america",#REF!,7,FALSE)-1</f>
        <v>#REF!</v>
      </c>
      <c r="O216" s="100" t="e">
        <f>VLOOKUP("resto de america",#REF!,7,FALSE)</f>
        <v>#REF!</v>
      </c>
      <c r="P216" s="99" t="e">
        <f>VLOOKUP("resto de america",#REF!,8,FALSE)/VLOOKUP("resto de america",#REF!,8,FALSE)-1</f>
        <v>#REF!</v>
      </c>
      <c r="Q216" s="100" t="e">
        <f>VLOOKUP("resto de america",#REF!,8,FALSE)</f>
        <v>#REF!</v>
      </c>
    </row>
    <row r="217" spans="3:17" ht="24" hidden="1" customHeight="1" thickBot="1">
      <c r="C217" s="98" t="s">
        <v>61</v>
      </c>
      <c r="D217" s="99" t="e">
        <f>VLOOKUP("resto del mundo",#REF!,6,FALSE)/VLOOKUP("resto del mundo",#REF!,6,FALSE)-1</f>
        <v>#REF!</v>
      </c>
      <c r="E217" s="100" t="e">
        <f>VLOOKUP("resto del mundo",#REF!,6,FALSE)</f>
        <v>#REF!</v>
      </c>
      <c r="F217" s="99" t="e">
        <f>VLOOKUP("resto del mundo",#REF!,5,FALSE)/VLOOKUP("resto del mundo",#REF!,5,FALSE)-1</f>
        <v>#REF!</v>
      </c>
      <c r="G217" s="100" t="e">
        <f>VLOOKUP("resto del mundo",#REF!,5,FALSE)</f>
        <v>#REF!</v>
      </c>
      <c r="H217" s="99" t="e">
        <f>VLOOKUP("resto del mundo",#REF!,4,FALSE)/VLOOKUP("resto del mundo",#REF!,4,FALSE)-1</f>
        <v>#REF!</v>
      </c>
      <c r="I217" s="100" t="e">
        <f>VLOOKUP("resto del mundo",#REF!,4,FALSE)</f>
        <v>#REF!</v>
      </c>
      <c r="J217" s="99" t="e">
        <f>VLOOKUP("resto del mundo",#REF!,3,FALSE)/VLOOKUP("resto del mundo",#REF!,3,FALSE)-1</f>
        <v>#REF!</v>
      </c>
      <c r="K217" s="100" t="e">
        <f>VLOOKUP("resto del mundo",#REF!,3,FALSE)</f>
        <v>#REF!</v>
      </c>
      <c r="L217" s="99" t="e">
        <f>VLOOKUP("resto del mundo",#REF!,2,FALSE)/VLOOKUP("resto del mundo",#REF!,2,FALSE)-1</f>
        <v>#REF!</v>
      </c>
      <c r="M217" s="100" t="e">
        <f>VLOOKUP("resto del mundo",#REF!,2,FALSE)</f>
        <v>#REF!</v>
      </c>
      <c r="N217" s="99" t="e">
        <f>VLOOKUP("resto del mundo",#REF!,7,FALSE)/VLOOKUP("resto del mundo",#REF!,7,FALSE)-1</f>
        <v>#REF!</v>
      </c>
      <c r="O217" s="100" t="e">
        <f>VLOOKUP("resto del mundo",#REF!,7,FALSE)</f>
        <v>#REF!</v>
      </c>
      <c r="P217" s="99" t="e">
        <f>VLOOKUP("resto del mundo",#REF!,8,FALSE)/VLOOKUP("resto del mundo",#REF!,8,FALSE)-1</f>
        <v>#REF!</v>
      </c>
      <c r="Q217" s="100" t="e">
        <f>VLOOKUP("resto del mundo",#REF!,8,FALSE)</f>
        <v>#REF!</v>
      </c>
    </row>
    <row r="218" spans="3:17" ht="24" hidden="1" customHeight="1" thickBot="1">
      <c r="C218" s="98" t="s">
        <v>62</v>
      </c>
      <c r="D218" s="99" t="e">
        <f>(VLOOKUP("total",#REF!,6,FALSE)-VLOOKUP("españa",#REF!,6,FALSE))/(VLOOKUP("total",#REF!,6,FALSE)-VLOOKUP("españa",#REF!,6,FALSE))-1</f>
        <v>#REF!</v>
      </c>
      <c r="E218" s="100" t="e">
        <f>VLOOKUP("total",#REF!,6,FALSE)-VLOOKUP("españa",#REF!,6,FALSE)</f>
        <v>#REF!</v>
      </c>
      <c r="F218" s="99" t="e">
        <f>(VLOOKUP("total",#REF!,5,FALSE)-VLOOKUP("españa",#REF!,5,FALSE))/(VLOOKUP("total",#REF!,5,FALSE)-VLOOKUP("españa",#REF!,5,FALSE))-1</f>
        <v>#REF!</v>
      </c>
      <c r="G218" s="100" t="e">
        <f>VLOOKUP("total",#REF!,5,FALSE)-VLOOKUP("españa",#REF!,5,FALSE)</f>
        <v>#REF!</v>
      </c>
      <c r="H218" s="99" t="e">
        <f>(VLOOKUP("total",#REF!,4,FALSE)-VLOOKUP("españa",#REF!,4,FALSE))/(VLOOKUP("total",#REF!,4,FALSE)-VLOOKUP("españa",#REF!,4,FALSE))-1</f>
        <v>#REF!</v>
      </c>
      <c r="I218" s="100" t="e">
        <f>VLOOKUP("total",#REF!,4,FALSE)-VLOOKUP("españa",#REF!,4,FALSE)</f>
        <v>#REF!</v>
      </c>
      <c r="J218" s="99" t="e">
        <f>(VLOOKUP("total",#REF!,3,FALSE)-VLOOKUP("españa",#REF!,3,FALSE))/(VLOOKUP("total",#REF!,3,FALSE)-VLOOKUP("españa",#REF!,3,FALSE))-1</f>
        <v>#REF!</v>
      </c>
      <c r="K218" s="100" t="e">
        <f>VLOOKUP("total",#REF!,3,FALSE)-VLOOKUP("españa",#REF!,3,FALSE)</f>
        <v>#REF!</v>
      </c>
      <c r="L218" s="99" t="e">
        <f>(VLOOKUP("total",#REF!,2,FALSE)-VLOOKUP("españa",#REF!,2,FALSE))/(VLOOKUP("total",#REF!,2,FALSE)-VLOOKUP("españa",#REF!,2,FALSE))-1</f>
        <v>#REF!</v>
      </c>
      <c r="M218" s="100" t="e">
        <f>VLOOKUP("total",#REF!,2,FALSE)-VLOOKUP("españa",#REF!,2,FALSE)</f>
        <v>#REF!</v>
      </c>
      <c r="N218" s="99" t="e">
        <f>(VLOOKUP("total",#REF!,7,FALSE)-VLOOKUP("españa",#REF!,7,FALSE))/(VLOOKUP("total",#REF!,7,FALSE)-VLOOKUP("españa",#REF!,7,FALSE))-1</f>
        <v>#REF!</v>
      </c>
      <c r="O218" s="100" t="e">
        <f>VLOOKUP("total",#REF!,7,FALSE)-VLOOKUP("españa",#REF!,7,FALSE)</f>
        <v>#REF!</v>
      </c>
      <c r="P218" s="99" t="e">
        <f>(VLOOKUP("total",#REF!,8,FALSE)-VLOOKUP("españa",#REF!,8,FALSE))/(VLOOKUP("total",#REF!,8,FALSE)-VLOOKUP("españa",#REF!,8,FALSE))-1</f>
        <v>#REF!</v>
      </c>
      <c r="Q218" s="100" t="e">
        <f>VLOOKUP("total",#REF!,8,FALSE)-VLOOKUP("españa",#REF!,8,FALSE)</f>
        <v>#REF!</v>
      </c>
    </row>
    <row r="219" spans="3:17" ht="24" hidden="1" customHeight="1" thickBot="1">
      <c r="C219" s="98" t="s">
        <v>10</v>
      </c>
      <c r="D219" s="99" t="e">
        <f>VLOOKUP("total",#REF!,6,FALSE)/VLOOKUP("total",#REF!,6,FALSE)-1</f>
        <v>#REF!</v>
      </c>
      <c r="E219" s="100" t="e">
        <f>VLOOKUP("total",#REF!,6,FALSE)</f>
        <v>#REF!</v>
      </c>
      <c r="F219" s="99" t="e">
        <f>VLOOKUP("total",#REF!,5,FALSE)/VLOOKUP("total",#REF!,5,FALSE)-1</f>
        <v>#REF!</v>
      </c>
      <c r="G219" s="100" t="e">
        <f>VLOOKUP("total",#REF!,5,FALSE)</f>
        <v>#REF!</v>
      </c>
      <c r="H219" s="99" t="e">
        <f>VLOOKUP("total",#REF!,4,FALSE)/VLOOKUP("total",#REF!,4,FALSE)-1</f>
        <v>#REF!</v>
      </c>
      <c r="I219" s="100" t="e">
        <f>VLOOKUP("total",#REF!,4,FALSE)</f>
        <v>#REF!</v>
      </c>
      <c r="J219" s="99" t="e">
        <f>VLOOKUP("total",#REF!,3,FALSE)/VLOOKUP("total",#REF!,3,FALSE)-1</f>
        <v>#REF!</v>
      </c>
      <c r="K219" s="100" t="e">
        <f>VLOOKUP("total",#REF!,3,FALSE)</f>
        <v>#REF!</v>
      </c>
      <c r="L219" s="99" t="e">
        <f>VLOOKUP("total",#REF!,2,FALSE)/VLOOKUP("total",#REF!,2,FALSE)-1</f>
        <v>#REF!</v>
      </c>
      <c r="M219" s="100" t="e">
        <f>VLOOKUP("total",#REF!,2,FALSE)</f>
        <v>#REF!</v>
      </c>
      <c r="N219" s="99" t="e">
        <f>VLOOKUP("total",#REF!,7,FALSE)/VLOOKUP("total",#REF!,7,FALSE)-1</f>
        <v>#REF!</v>
      </c>
      <c r="O219" s="100" t="e">
        <f>VLOOKUP("total",#REF!,7,FALSE)</f>
        <v>#REF!</v>
      </c>
      <c r="P219" s="99" t="e">
        <f>VLOOKUP("total",#REF!,8,FALSE)/VLOOKUP("total",#REF!,8,FALSE)-1</f>
        <v>#REF!</v>
      </c>
      <c r="Q219" s="100" t="e">
        <f>VLOOKUP("total",#REF!,8,FALSE)</f>
        <v>#REF!</v>
      </c>
    </row>
    <row r="220" spans="3:17" ht="18" customHeight="1" thickBot="1">
      <c r="C220" s="7"/>
    </row>
    <row r="221" spans="3:17" ht="22.5" customHeight="1" thickBot="1">
      <c r="C221" s="7"/>
      <c r="E221" s="3" t="str">
        <f>$E$1</f>
        <v>INDICADORES TURÍSTICOS DE TENERIFE (definitivo 63,2%)</v>
      </c>
      <c r="F221" s="4"/>
      <c r="G221" s="4"/>
      <c r="H221" s="4"/>
      <c r="I221" s="4"/>
      <c r="J221" s="4"/>
      <c r="K221" s="5"/>
    </row>
    <row r="222" spans="3:17" ht="18" customHeight="1">
      <c r="C222" s="7"/>
    </row>
    <row r="223" spans="3:17" ht="34.5" customHeight="1" thickBot="1">
      <c r="C223" s="104" t="s">
        <v>67</v>
      </c>
      <c r="D223" s="105"/>
      <c r="E223" s="105"/>
      <c r="F223" s="105"/>
      <c r="G223" s="105"/>
      <c r="H223" s="105"/>
      <c r="I223" s="105"/>
      <c r="J223" s="105"/>
      <c r="K223" s="105"/>
      <c r="L223" s="105"/>
      <c r="M223" s="106"/>
    </row>
    <row r="224" spans="3:17" ht="18" customHeight="1" thickBot="1">
      <c r="C224" s="107"/>
      <c r="D224" s="108" t="s">
        <v>9</v>
      </c>
      <c r="E224" s="109"/>
      <c r="F224" s="108" t="s">
        <v>31</v>
      </c>
      <c r="G224" s="109"/>
      <c r="H224" s="108" t="s">
        <v>32</v>
      </c>
      <c r="I224" s="109"/>
      <c r="J224" s="108" t="s">
        <v>33</v>
      </c>
      <c r="K224" s="109"/>
      <c r="L224" s="108" t="s">
        <v>34</v>
      </c>
      <c r="M224" s="109"/>
    </row>
    <row r="225" spans="3:13" ht="26.25" customHeight="1" thickBot="1">
      <c r="C225" s="110"/>
      <c r="D225" s="82" t="s">
        <v>68</v>
      </c>
      <c r="E225" s="82" t="s">
        <v>69</v>
      </c>
      <c r="F225" s="82" t="s">
        <v>68</v>
      </c>
      <c r="G225" s="82" t="s">
        <v>69</v>
      </c>
      <c r="H225" s="82" t="s">
        <v>68</v>
      </c>
      <c r="I225" s="82" t="s">
        <v>69</v>
      </c>
      <c r="J225" s="82" t="s">
        <v>68</v>
      </c>
      <c r="K225" s="82" t="s">
        <v>69</v>
      </c>
      <c r="L225" s="82" t="s">
        <v>68</v>
      </c>
      <c r="M225" s="82" t="s">
        <v>69</v>
      </c>
    </row>
    <row r="226" spans="3:13" ht="24" customHeight="1" thickBot="1">
      <c r="C226" s="66" t="s">
        <v>37</v>
      </c>
      <c r="D226" s="111">
        <v>0.19835564319907381</v>
      </c>
      <c r="E226" s="111">
        <v>0.25237417985300192</v>
      </c>
      <c r="F226" s="111">
        <v>0.68679639755548405</v>
      </c>
      <c r="G226" s="111">
        <v>0.78227812122504081</v>
      </c>
      <c r="H226" s="111">
        <v>0.36899038461538464</v>
      </c>
      <c r="I226" s="111">
        <v>0.45275101025800435</v>
      </c>
      <c r="J226" s="111">
        <v>0.41863234553199286</v>
      </c>
      <c r="K226" s="111">
        <v>0.54133813125152475</v>
      </c>
      <c r="L226" s="111">
        <v>0.13662713001954066</v>
      </c>
      <c r="M226" s="111">
        <v>0.17403663959667071</v>
      </c>
    </row>
    <row r="227" spans="3:13" ht="24" hidden="1" customHeight="1" thickBot="1">
      <c r="C227" s="66" t="s">
        <v>38</v>
      </c>
      <c r="D227" s="111" t="e">
        <v>#REF!</v>
      </c>
      <c r="E227" s="111" t="e">
        <v>#REF!</v>
      </c>
      <c r="F227" s="111" t="e">
        <v>#REF!</v>
      </c>
      <c r="G227" s="111" t="e">
        <v>#REF!</v>
      </c>
      <c r="H227" s="111" t="e">
        <v>#REF!</v>
      </c>
      <c r="I227" s="111" t="e">
        <v>#REF!</v>
      </c>
      <c r="J227" s="111" t="e">
        <v>#REF!</v>
      </c>
      <c r="K227" s="111" t="e">
        <v>#REF!</v>
      </c>
      <c r="L227" s="111" t="e">
        <v>#REF!</v>
      </c>
      <c r="M227" s="111" t="e">
        <v>#REF!</v>
      </c>
    </row>
    <row r="228" spans="3:13" ht="24" hidden="1" customHeight="1" thickBot="1">
      <c r="C228" s="66" t="s">
        <v>40</v>
      </c>
      <c r="D228" s="111" t="e">
        <v>#REF!</v>
      </c>
      <c r="E228" s="111" t="e">
        <v>#REF!</v>
      </c>
      <c r="F228" s="111" t="e">
        <v>#REF!</v>
      </c>
      <c r="G228" s="111" t="e">
        <v>#REF!</v>
      </c>
      <c r="H228" s="111" t="e">
        <v>#REF!</v>
      </c>
      <c r="I228" s="111" t="e">
        <v>#REF!</v>
      </c>
      <c r="J228" s="111" t="e">
        <v>#REF!</v>
      </c>
      <c r="K228" s="111" t="e">
        <v>#REF!</v>
      </c>
      <c r="L228" s="111" t="e">
        <v>#REF!</v>
      </c>
      <c r="M228" s="111" t="e">
        <v>#REF!</v>
      </c>
    </row>
    <row r="229" spans="3:13" ht="24" hidden="1" customHeight="1" thickBot="1">
      <c r="C229" s="66" t="s">
        <v>41</v>
      </c>
      <c r="D229" s="111" t="e">
        <v>#REF!</v>
      </c>
      <c r="E229" s="111" t="e">
        <v>#REF!</v>
      </c>
      <c r="F229" s="111" t="e">
        <v>#REF!</v>
      </c>
      <c r="G229" s="111" t="e">
        <v>#REF!</v>
      </c>
      <c r="H229" s="111" t="e">
        <v>#REF!</v>
      </c>
      <c r="I229" s="111" t="e">
        <v>#REF!</v>
      </c>
      <c r="J229" s="111" t="e">
        <v>#REF!</v>
      </c>
      <c r="K229" s="111" t="e">
        <v>#REF!</v>
      </c>
      <c r="L229" s="111" t="e">
        <v>#REF!</v>
      </c>
      <c r="M229" s="111" t="e">
        <v>#REF!</v>
      </c>
    </row>
    <row r="230" spans="3:13" ht="24" customHeight="1" thickBot="1">
      <c r="C230" s="66" t="s">
        <v>42</v>
      </c>
      <c r="D230" s="111">
        <v>2.7216194728738773E-2</v>
      </c>
      <c r="E230" s="111">
        <v>2.9869173751497762E-2</v>
      </c>
      <c r="F230" s="111">
        <v>1.0775168864586683E-2</v>
      </c>
      <c r="G230" s="111">
        <v>5.542528245576636E-3</v>
      </c>
      <c r="H230" s="111">
        <v>5.408653846153846E-3</v>
      </c>
      <c r="I230" s="111">
        <v>1.8029219769972023E-2</v>
      </c>
      <c r="J230" s="111">
        <v>6.3359745950319849E-3</v>
      </c>
      <c r="K230" s="111">
        <v>5.8709441327152966E-3</v>
      </c>
      <c r="L230" s="111">
        <v>3.1992611378714356E-2</v>
      </c>
      <c r="M230" s="111">
        <v>3.5604307764907556E-2</v>
      </c>
    </row>
    <row r="231" spans="3:13" ht="24" customHeight="1" thickBot="1">
      <c r="C231" s="66" t="s">
        <v>43</v>
      </c>
      <c r="D231" s="111">
        <v>3.0545260644724296E-2</v>
      </c>
      <c r="E231" s="111">
        <v>2.7277802830625076E-2</v>
      </c>
      <c r="F231" s="111">
        <v>9.8102283692505631E-3</v>
      </c>
      <c r="G231" s="111">
        <v>5.0386620414333057E-3</v>
      </c>
      <c r="H231" s="111">
        <v>1.201923076923077E-3</v>
      </c>
      <c r="I231" s="111">
        <v>7.3049424930059061E-3</v>
      </c>
      <c r="J231" s="111">
        <v>4.2748744255637489E-3</v>
      </c>
      <c r="K231" s="111">
        <v>3.2471334471822397E-3</v>
      </c>
      <c r="L231" s="111">
        <v>3.6565954135905493E-2</v>
      </c>
      <c r="M231" s="111">
        <v>3.3004528787050701E-2</v>
      </c>
    </row>
    <row r="232" spans="3:13" ht="24" customHeight="1" thickBot="1">
      <c r="C232" s="66" t="s">
        <v>44</v>
      </c>
      <c r="D232" s="111">
        <v>0.11999289030655749</v>
      </c>
      <c r="E232" s="111">
        <v>0.11419783291471285</v>
      </c>
      <c r="F232" s="111">
        <v>5.3875844322933422E-2</v>
      </c>
      <c r="G232" s="111">
        <v>3.0664780398312694E-2</v>
      </c>
      <c r="H232" s="111">
        <v>0.46033653846153844</v>
      </c>
      <c r="I232" s="111">
        <v>0.3060615480261113</v>
      </c>
      <c r="J232" s="111">
        <v>0.27508816928502727</v>
      </c>
      <c r="K232" s="111">
        <v>0.21373261771163699</v>
      </c>
      <c r="L232" s="111">
        <v>9.0584853326364428E-2</v>
      </c>
      <c r="M232" s="111">
        <v>9.6179061643027572E-2</v>
      </c>
    </row>
    <row r="233" spans="3:13" ht="24" customHeight="1" thickBot="1">
      <c r="C233" s="66" t="s">
        <v>45</v>
      </c>
      <c r="D233" s="111">
        <v>2.8104906409052371E-2</v>
      </c>
      <c r="E233" s="111">
        <v>3.1279583380731342E-2</v>
      </c>
      <c r="F233" s="111">
        <v>2.621421678996462E-2</v>
      </c>
      <c r="G233" s="111">
        <v>2.2867773880351158E-2</v>
      </c>
      <c r="H233" s="111">
        <v>4.8677884615384616E-2</v>
      </c>
      <c r="I233" s="111">
        <v>3.8762822505439852E-2</v>
      </c>
      <c r="J233" s="111">
        <v>2.7740881540176187E-2</v>
      </c>
      <c r="K233" s="111">
        <v>2.647109050988046E-2</v>
      </c>
      <c r="L233" s="111">
        <v>2.8143876175259999E-2</v>
      </c>
      <c r="M233" s="111">
        <v>3.2484235920672795E-2</v>
      </c>
    </row>
    <row r="234" spans="3:13" ht="24" customHeight="1" thickBot="1">
      <c r="C234" s="66" t="s">
        <v>46</v>
      </c>
      <c r="D234" s="111">
        <v>0.31044620532122125</v>
      </c>
      <c r="E234" s="111">
        <v>0.32136623307261364</v>
      </c>
      <c r="F234" s="111">
        <v>3.1762624638147316E-2</v>
      </c>
      <c r="G234" s="111">
        <v>2.1601648546862785E-2</v>
      </c>
      <c r="H234" s="111">
        <v>3.605769230769231E-3</v>
      </c>
      <c r="I234" s="111">
        <v>1.8557662418402239E-2</v>
      </c>
      <c r="J234" s="111">
        <v>7.4046932014229225E-2</v>
      </c>
      <c r="K234" s="111">
        <v>7.26030739204684E-2</v>
      </c>
      <c r="L234" s="111">
        <v>0.36823724364038085</v>
      </c>
      <c r="M234" s="111">
        <v>0.38398480292192239</v>
      </c>
    </row>
    <row r="235" spans="3:13" ht="24" customHeight="1" thickBot="1">
      <c r="C235" s="66" t="s">
        <v>47</v>
      </c>
      <c r="D235" s="111">
        <v>1.0654932469921913E-2</v>
      </c>
      <c r="E235" s="111">
        <v>1.4356605738185107E-2</v>
      </c>
      <c r="F235" s="111">
        <v>6.1112898037954328E-3</v>
      </c>
      <c r="G235" s="111">
        <v>2.945679347299471E-3</v>
      </c>
      <c r="H235" s="111">
        <v>0</v>
      </c>
      <c r="I235" s="111">
        <v>1.616412806963009E-3</v>
      </c>
      <c r="J235" s="111">
        <v>3.5115039924273651E-3</v>
      </c>
      <c r="K235" s="111">
        <v>2.5676994388875336E-3</v>
      </c>
      <c r="L235" s="111">
        <v>1.2264873757921683E-2</v>
      </c>
      <c r="M235" s="111">
        <v>1.7207464673775652E-2</v>
      </c>
    </row>
    <row r="236" spans="3:13" ht="24" customHeight="1" thickBot="1">
      <c r="C236" s="66" t="s">
        <v>48</v>
      </c>
      <c r="D236" s="111">
        <v>1.8088885579572122E-2</v>
      </c>
      <c r="E236" s="111">
        <v>2.281363737046779E-2</v>
      </c>
      <c r="F236" s="111">
        <v>2.6696687037632678E-2</v>
      </c>
      <c r="G236" s="111">
        <v>2.361711336343611E-2</v>
      </c>
      <c r="H236" s="111">
        <v>6.610576923076923E-3</v>
      </c>
      <c r="I236" s="111">
        <v>3.8607398197078022E-2</v>
      </c>
      <c r="J236" s="111">
        <v>9.1451777889738767E-3</v>
      </c>
      <c r="K236" s="111">
        <v>9.2754330324469388E-3</v>
      </c>
      <c r="L236" s="111">
        <v>1.9567373653982076E-2</v>
      </c>
      <c r="M236" s="111">
        <v>2.5333519524826469E-2</v>
      </c>
    </row>
    <row r="237" spans="3:13" ht="24" customHeight="1" thickBot="1">
      <c r="C237" s="66" t="s">
        <v>49</v>
      </c>
      <c r="D237" s="111">
        <v>0.16356378187652673</v>
      </c>
      <c r="E237" s="111">
        <v>9.2652168916610447E-2</v>
      </c>
      <c r="F237" s="111">
        <v>2.5088452878739145E-2</v>
      </c>
      <c r="G237" s="111">
        <v>1.4172851947313683E-2</v>
      </c>
      <c r="H237" s="111">
        <v>6.610576923076923E-3</v>
      </c>
      <c r="I237" s="111">
        <v>2.2691949020826857E-2</v>
      </c>
      <c r="J237" s="111">
        <v>0.12035298248828226</v>
      </c>
      <c r="K237" s="111">
        <v>6.8626494266894364E-2</v>
      </c>
      <c r="L237" s="111">
        <v>0.1778584877083989</v>
      </c>
      <c r="M237" s="111">
        <v>0.10086121591070513</v>
      </c>
    </row>
    <row r="238" spans="3:13" ht="24" customHeight="1" thickBot="1">
      <c r="C238" s="112" t="s">
        <v>50</v>
      </c>
      <c r="D238" s="111">
        <v>6.5608539318286085E-2</v>
      </c>
      <c r="E238" s="111">
        <v>3.017943286339704E-2</v>
      </c>
      <c r="F238" s="111">
        <v>6.1112898037954328E-3</v>
      </c>
      <c r="G238" s="111">
        <v>3.5335232521333565E-3</v>
      </c>
      <c r="H238" s="111">
        <v>0</v>
      </c>
      <c r="I238" s="111">
        <v>6.9008392912651541E-3</v>
      </c>
      <c r="J238" s="111">
        <v>3.9405181758500128E-2</v>
      </c>
      <c r="K238" s="111">
        <v>1.7181019760917297E-2</v>
      </c>
      <c r="L238" s="111">
        <v>7.3226938770661706E-2</v>
      </c>
      <c r="M238" s="111">
        <v>3.3918472202492882E-2</v>
      </c>
    </row>
    <row r="239" spans="3:13" ht="24" customHeight="1" thickBot="1">
      <c r="C239" s="112" t="s">
        <v>51</v>
      </c>
      <c r="D239" s="111">
        <v>2.6582086935217724E-2</v>
      </c>
      <c r="E239" s="111">
        <v>1.8499659800205535E-2</v>
      </c>
      <c r="F239" s="111">
        <v>7.3978771309102607E-3</v>
      </c>
      <c r="G239" s="111">
        <v>3.2880499731917342E-3</v>
      </c>
      <c r="H239" s="111">
        <v>0</v>
      </c>
      <c r="I239" s="111">
        <v>3.947777432390426E-3</v>
      </c>
      <c r="J239" s="111">
        <v>1.0916197193850287E-2</v>
      </c>
      <c r="K239" s="111">
        <v>7.3030007318858258E-3</v>
      </c>
      <c r="L239" s="111">
        <v>3.0469153694013672E-2</v>
      </c>
      <c r="M239" s="111">
        <v>2.1389309558605778E-2</v>
      </c>
    </row>
    <row r="240" spans="3:13" ht="24" customHeight="1" thickBot="1">
      <c r="C240" s="112" t="s">
        <v>52</v>
      </c>
      <c r="D240" s="111">
        <v>2.5998419534363118E-2</v>
      </c>
      <c r="E240" s="111">
        <v>1.8562254236897269E-2</v>
      </c>
      <c r="F240" s="111">
        <v>6.1112898037954328E-3</v>
      </c>
      <c r="G240" s="111">
        <v>3.3591080276222035E-3</v>
      </c>
      <c r="H240" s="111">
        <v>6.0096153846153849E-3</v>
      </c>
      <c r="I240" s="111">
        <v>9.605222256760958E-3</v>
      </c>
      <c r="J240" s="111">
        <v>9.9696178567611725E-3</v>
      </c>
      <c r="K240" s="111">
        <v>9.3510612344474258E-3</v>
      </c>
      <c r="L240" s="111">
        <v>2.994945565342377E-2</v>
      </c>
      <c r="M240" s="111">
        <v>2.1016364787657432E-2</v>
      </c>
    </row>
    <row r="241" spans="3:18" ht="24" customHeight="1" thickBot="1">
      <c r="C241" s="112" t="s">
        <v>53</v>
      </c>
      <c r="D241" s="111">
        <v>4.5374736088659801E-2</v>
      </c>
      <c r="E241" s="111">
        <v>2.5410822016110605E-2</v>
      </c>
      <c r="F241" s="111">
        <v>5.4679961402380184E-3</v>
      </c>
      <c r="G241" s="111">
        <v>3.9921706943663879E-3</v>
      </c>
      <c r="H241" s="111">
        <v>6.0096153846153849E-4</v>
      </c>
      <c r="I241" s="111">
        <v>2.2381100404103202E-3</v>
      </c>
      <c r="J241" s="111">
        <v>6.0061985679170676E-2</v>
      </c>
      <c r="K241" s="111">
        <v>3.4791412539643816E-2</v>
      </c>
      <c r="L241" s="111">
        <v>4.421293959029976E-2</v>
      </c>
      <c r="M241" s="111">
        <v>2.4537069361949038E-2</v>
      </c>
    </row>
    <row r="242" spans="3:18" ht="24" customHeight="1" thickBot="1">
      <c r="C242" s="66" t="s">
        <v>54</v>
      </c>
      <c r="D242" s="111">
        <v>6.5668587404793758E-3</v>
      </c>
      <c r="E242" s="111">
        <v>8.0188705754405398E-3</v>
      </c>
      <c r="F242" s="111">
        <v>4.9855258925699582E-3</v>
      </c>
      <c r="G242" s="111">
        <v>3.7337777691646805E-3</v>
      </c>
      <c r="H242" s="111">
        <v>1.3221153846153846E-2</v>
      </c>
      <c r="I242" s="111">
        <v>2.1821572894000621E-2</v>
      </c>
      <c r="J242" s="111">
        <v>6.4581138643338065E-3</v>
      </c>
      <c r="K242" s="111">
        <v>5.1890705050012201E-3</v>
      </c>
      <c r="L242" s="111">
        <v>6.613528779392636E-3</v>
      </c>
      <c r="M242" s="111">
        <v>8.6302164716872565E-3</v>
      </c>
    </row>
    <row r="243" spans="3:18" ht="24" customHeight="1" thickBot="1">
      <c r="C243" s="66" t="s">
        <v>55</v>
      </c>
      <c r="D243" s="111">
        <v>6.7926395457482353E-3</v>
      </c>
      <c r="E243" s="111">
        <v>6.650125973726227E-3</v>
      </c>
      <c r="F243" s="111">
        <v>4.2618205210678672E-3</v>
      </c>
      <c r="G243" s="111">
        <v>2.5193310207166529E-3</v>
      </c>
      <c r="H243" s="111">
        <v>3.605769230769231E-3</v>
      </c>
      <c r="I243" s="111">
        <v>1.0599937830276655E-2</v>
      </c>
      <c r="J243" s="111">
        <v>8.8703644330447792E-3</v>
      </c>
      <c r="K243" s="111">
        <v>6.510124420590388E-3</v>
      </c>
      <c r="L243" s="111">
        <v>6.4977103589183155E-3</v>
      </c>
      <c r="M243" s="111">
        <v>6.8011258164938377E-3</v>
      </c>
    </row>
    <row r="244" spans="3:18" ht="24" customHeight="1" thickBot="1">
      <c r="C244" s="66" t="s">
        <v>56</v>
      </c>
      <c r="D244" s="111">
        <v>2.5292254037032856E-2</v>
      </c>
      <c r="E244" s="111">
        <v>2.1662326075156346E-2</v>
      </c>
      <c r="F244" s="111">
        <v>9.086522997748472E-3</v>
      </c>
      <c r="G244" s="111">
        <v>5.2324567353345865E-3</v>
      </c>
      <c r="H244" s="111">
        <v>6.0096153846153849E-3</v>
      </c>
      <c r="I244" s="111">
        <v>2.9219769972023625E-3</v>
      </c>
      <c r="J244" s="111">
        <v>8.412342173162949E-3</v>
      </c>
      <c r="K244" s="111">
        <v>6.9907294462063915E-3</v>
      </c>
      <c r="L244" s="111">
        <v>2.9269393646023271E-2</v>
      </c>
      <c r="M244" s="111">
        <v>2.5315702925052305E-2</v>
      </c>
    </row>
    <row r="245" spans="3:18" ht="24" customHeight="1" thickBot="1">
      <c r="C245" s="66" t="s">
        <v>57</v>
      </c>
      <c r="D245" s="111">
        <v>1.8588485659315979E-2</v>
      </c>
      <c r="E245" s="111">
        <v>1.8212655587386776E-2</v>
      </c>
      <c r="F245" s="111">
        <v>1.3750402058539724E-2</v>
      </c>
      <c r="G245" s="111">
        <v>9.1729488446606333E-3</v>
      </c>
      <c r="H245" s="111">
        <v>1.2620192307692308E-2</v>
      </c>
      <c r="I245" s="111">
        <v>8.3618277898663343E-3</v>
      </c>
      <c r="J245" s="111">
        <v>4.3359440602146601E-3</v>
      </c>
      <c r="K245" s="111">
        <v>6.3918028787509152E-3</v>
      </c>
      <c r="L245" s="111">
        <v>2.1568953536025469E-2</v>
      </c>
      <c r="M245" s="111">
        <v>2.0959062750545935E-2</v>
      </c>
    </row>
    <row r="246" spans="3:18" ht="24" customHeight="1" thickBot="1">
      <c r="C246" s="66" t="s">
        <v>58</v>
      </c>
      <c r="D246" s="111">
        <v>1.9294651156646241E-2</v>
      </c>
      <c r="E246" s="111">
        <v>2.1171066332080348E-2</v>
      </c>
      <c r="F246" s="111">
        <v>1.4232872306207784E-2</v>
      </c>
      <c r="G246" s="111">
        <v>1.311344095398668E-2</v>
      </c>
      <c r="H246" s="111">
        <v>6.610576923076923E-3</v>
      </c>
      <c r="I246" s="111">
        <v>1.750077712154181E-2</v>
      </c>
      <c r="J246" s="111">
        <v>1.2626146964075788E-2</v>
      </c>
      <c r="K246" s="111">
        <v>1.5817272505489144E-2</v>
      </c>
      <c r="L246" s="111">
        <v>2.0841376279199606E-2</v>
      </c>
      <c r="M246" s="111">
        <v>2.255653760867524E-2</v>
      </c>
    </row>
    <row r="247" spans="3:18" ht="24" customHeight="1" thickBot="1">
      <c r="C247" s="66" t="s">
        <v>59</v>
      </c>
      <c r="D247" s="111">
        <v>3.3939178494138108E-3</v>
      </c>
      <c r="E247" s="111">
        <v>2.5498996841790914E-3</v>
      </c>
      <c r="F247" s="111">
        <v>6.9958185911868772E-3</v>
      </c>
      <c r="G247" s="111">
        <v>6.07869356537018E-3</v>
      </c>
      <c r="H247" s="111">
        <v>2.9447115384615384E-2</v>
      </c>
      <c r="I247" s="111">
        <v>6.1237177494560154E-3</v>
      </c>
      <c r="J247" s="111">
        <v>4.8092337287592175E-3</v>
      </c>
      <c r="K247" s="111">
        <v>2.5298853378872897E-3</v>
      </c>
      <c r="L247" s="111">
        <v>2.8568543716999176E-3</v>
      </c>
      <c r="M247" s="111">
        <v>2.3946473155921732E-3</v>
      </c>
    </row>
    <row r="248" spans="3:18" ht="24" customHeight="1" thickBot="1">
      <c r="C248" s="66" t="s">
        <v>60</v>
      </c>
      <c r="D248" s="111">
        <v>4.0064083317920994E-3</v>
      </c>
      <c r="E248" s="111">
        <v>3.620787786837068E-3</v>
      </c>
      <c r="F248" s="111">
        <v>3.3210035381151498E-2</v>
      </c>
      <c r="G248" s="111">
        <v>2.3849666996117645E-2</v>
      </c>
      <c r="H248" s="111">
        <v>1.9831730769230768E-2</v>
      </c>
      <c r="I248" s="111">
        <v>1.8122474354989121E-2</v>
      </c>
      <c r="J248" s="111">
        <v>6.1374982824165258E-3</v>
      </c>
      <c r="K248" s="111">
        <v>5.9429129055867287E-3</v>
      </c>
      <c r="L248" s="111">
        <v>2.4351565330498256E-3</v>
      </c>
      <c r="M248" s="111">
        <v>2.2961744871106532E-3</v>
      </c>
    </row>
    <row r="249" spans="3:18" ht="24" customHeight="1" thickBot="1">
      <c r="C249" s="66" t="s">
        <v>61</v>
      </c>
      <c r="D249" s="111">
        <v>9.0960841441826614E-3</v>
      </c>
      <c r="E249" s="111">
        <v>1.192705015674771E-2</v>
      </c>
      <c r="F249" s="111">
        <v>3.6346091990993888E-2</v>
      </c>
      <c r="G249" s="111">
        <v>2.7570525119022242E-2</v>
      </c>
      <c r="H249" s="111">
        <v>7.2115384615384619E-3</v>
      </c>
      <c r="I249" s="111">
        <v>1.0164749766863537E-2</v>
      </c>
      <c r="J249" s="111">
        <v>9.221514832287515E-3</v>
      </c>
      <c r="K249" s="111">
        <v>6.8955842888509394E-3</v>
      </c>
      <c r="L249" s="111">
        <v>8.0746226992225324E-3</v>
      </c>
      <c r="M249" s="111">
        <v>1.2350755881283662E-2</v>
      </c>
    </row>
    <row r="250" spans="3:18" ht="24" customHeight="1" thickBot="1">
      <c r="C250" s="66" t="s">
        <v>10</v>
      </c>
      <c r="D250" s="111">
        <v>1</v>
      </c>
      <c r="E250" s="111">
        <v>1</v>
      </c>
      <c r="F250" s="111">
        <v>1</v>
      </c>
      <c r="G250" s="111">
        <v>1</v>
      </c>
      <c r="H250" s="111">
        <v>1</v>
      </c>
      <c r="I250" s="111">
        <v>1</v>
      </c>
      <c r="J250" s="111">
        <v>1</v>
      </c>
      <c r="K250" s="111">
        <v>1</v>
      </c>
      <c r="L250" s="111">
        <v>1</v>
      </c>
      <c r="M250" s="111">
        <v>1</v>
      </c>
    </row>
    <row r="251" spans="3:18" ht="18" customHeight="1">
      <c r="C251" s="113"/>
      <c r="D251" s="114"/>
      <c r="E251" s="115"/>
      <c r="F251" s="114"/>
      <c r="G251" s="115"/>
      <c r="H251" s="114"/>
      <c r="I251" s="115"/>
      <c r="J251" s="114"/>
      <c r="K251" s="115"/>
      <c r="L251" s="114"/>
      <c r="M251" s="115"/>
      <c r="N251" s="116"/>
    </row>
    <row r="252" spans="3:18" ht="13.5" customHeight="1" thickBot="1">
      <c r="C252" s="7"/>
      <c r="N252" s="116"/>
    </row>
    <row r="253" spans="3:18" ht="30" customHeight="1" thickBot="1">
      <c r="C253" s="3" t="s">
        <v>70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116"/>
      <c r="Q253" s="67"/>
      <c r="R253" s="67"/>
    </row>
    <row r="254" spans="3:18" ht="45.75" customHeight="1" thickBot="1">
      <c r="C254" s="117" t="s">
        <v>9</v>
      </c>
      <c r="D254" s="118"/>
      <c r="E254" s="119">
        <v>1.3267079819523131E-2</v>
      </c>
      <c r="F254" s="40" t="s">
        <v>71</v>
      </c>
      <c r="G254" s="63">
        <v>1021.9247090413413</v>
      </c>
      <c r="H254" s="120" t="s">
        <v>93</v>
      </c>
      <c r="I254" s="121"/>
      <c r="J254" s="121"/>
      <c r="K254" s="121"/>
      <c r="L254" s="122"/>
      <c r="M254" s="117" t="s">
        <v>102</v>
      </c>
      <c r="N254" s="116"/>
      <c r="O254" s="67"/>
      <c r="P254"/>
      <c r="R254" s="67"/>
    </row>
    <row r="255" spans="3:18" ht="45.75" customHeight="1" thickBot="1">
      <c r="C255" s="123"/>
      <c r="D255" s="124"/>
      <c r="E255" s="119">
        <v>3.046176432490233E-2</v>
      </c>
      <c r="F255" s="40" t="s">
        <v>72</v>
      </c>
      <c r="G255" s="63">
        <v>673.03015379474505</v>
      </c>
      <c r="H255" s="120" t="s">
        <v>94</v>
      </c>
      <c r="I255" s="121"/>
      <c r="J255" s="121"/>
      <c r="K255" s="121"/>
      <c r="L255" s="122"/>
      <c r="M255" s="123"/>
      <c r="N255" s="116"/>
      <c r="O255" s="67"/>
      <c r="P255"/>
      <c r="R255" s="67"/>
    </row>
    <row r="256" spans="3:18" ht="45.75" customHeight="1" thickBot="1">
      <c r="C256" s="123"/>
      <c r="D256" s="124"/>
      <c r="E256" s="119">
        <v>-1.8614200095667166E-2</v>
      </c>
      <c r="F256" s="40" t="s">
        <v>73</v>
      </c>
      <c r="G256" s="63">
        <v>353.1865417631916</v>
      </c>
      <c r="H256" s="120" t="str">
        <f>CONCATENATE("El gasto medio por turista en destino ascendió a ",FIXED(G256,1),"€. Experimenta un ",IF(E256&gt;0,"incremento del ","descenso del "),FIXED(E256*100,1),"% respecto al miso periodo del año anterior.")</f>
        <v>El gasto medio por turista en destino ascendió a 353,2€. Experimenta un descenso del -1,9% respecto al miso periodo del año anterior.</v>
      </c>
      <c r="I256" s="121"/>
      <c r="J256" s="121"/>
      <c r="K256" s="121"/>
      <c r="L256" s="122"/>
      <c r="M256" s="123"/>
      <c r="N256" s="116"/>
      <c r="O256" s="67"/>
      <c r="R256" s="67"/>
    </row>
    <row r="257" spans="3:18" ht="45.75" customHeight="1" thickBot="1">
      <c r="C257" s="123"/>
      <c r="D257" s="124"/>
      <c r="E257" s="119">
        <v>3.9980707080741862E-2</v>
      </c>
      <c r="F257" s="40" t="s">
        <v>74</v>
      </c>
      <c r="G257" s="63">
        <v>108.46194764671914</v>
      </c>
      <c r="H257" s="120" t="s">
        <v>95</v>
      </c>
      <c r="I257" s="121"/>
      <c r="J257" s="121"/>
      <c r="K257" s="121"/>
      <c r="L257" s="122"/>
      <c r="M257" s="123"/>
      <c r="N257" s="116"/>
      <c r="O257" s="67"/>
      <c r="R257" s="67"/>
    </row>
    <row r="258" spans="3:18" ht="45.75" customHeight="1" thickBot="1">
      <c r="C258" s="123"/>
      <c r="D258" s="124"/>
      <c r="E258" s="119">
        <v>5.7060198064515344E-2</v>
      </c>
      <c r="F258" s="40" t="s">
        <v>75</v>
      </c>
      <c r="G258" s="63">
        <v>71.295741495141186</v>
      </c>
      <c r="H258" s="120" t="str">
        <f>CONCATENATE("La media del gasto diario por turista en origen fue de ",FIXED(G258,1),"€, ",IF(E258&gt;0,"aumentando un ","disminuyendo un "),FIXED(E258*100,1),"% respecto al mismo período del año anterior.")</f>
        <v>La media del gasto diario por turista en origen fue de 71,3€, aumentando un 5,7% respecto al mismo período del año anterior.</v>
      </c>
      <c r="I258" s="121"/>
      <c r="J258" s="121"/>
      <c r="K258" s="121"/>
      <c r="L258" s="122"/>
      <c r="M258" s="123"/>
      <c r="N258" s="116"/>
      <c r="O258" s="67"/>
      <c r="R258" s="67"/>
    </row>
    <row r="259" spans="3:18" ht="45.75" customHeight="1" thickBot="1">
      <c r="C259" s="125"/>
      <c r="D259" s="126"/>
      <c r="E259" s="119">
        <v>6.5337160932579241E-3</v>
      </c>
      <c r="F259" s="40" t="s">
        <v>76</v>
      </c>
      <c r="G259" s="63">
        <v>37.557843731647338</v>
      </c>
      <c r="H259" s="120" t="s">
        <v>96</v>
      </c>
      <c r="I259" s="121"/>
      <c r="J259" s="121"/>
      <c r="K259" s="121"/>
      <c r="L259" s="122"/>
      <c r="M259" s="125"/>
      <c r="N259" s="116"/>
      <c r="O259" s="67"/>
      <c r="R259" s="67"/>
    </row>
    <row r="260" spans="3:18" ht="13.5" thickBot="1"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116"/>
      <c r="O260" s="67"/>
      <c r="R260" s="67"/>
    </row>
    <row r="261" spans="3:18" ht="30" customHeight="1" thickBot="1">
      <c r="C261" s="3" t="s">
        <v>77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116"/>
      <c r="O261" s="67"/>
      <c r="P261" s="67"/>
      <c r="Q261" s="67"/>
    </row>
    <row r="262" spans="3:18" s="67" customFormat="1" ht="47.25" customHeight="1" thickBot="1">
      <c r="C262" s="117" t="s">
        <v>9</v>
      </c>
      <c r="D262" s="118"/>
      <c r="E262" s="33">
        <v>-1.7333859052663936E-3</v>
      </c>
      <c r="F262" s="40" t="s">
        <v>10</v>
      </c>
      <c r="G262" s="41">
        <v>134186</v>
      </c>
      <c r="H262" s="120" t="s">
        <v>97</v>
      </c>
      <c r="I262" s="121"/>
      <c r="J262" s="121"/>
      <c r="K262" s="121"/>
      <c r="L262" s="122"/>
      <c r="M262" s="117" t="s">
        <v>78</v>
      </c>
    </row>
    <row r="263" spans="3:18" s="67" customFormat="1" ht="47.25" customHeight="1" thickBot="1">
      <c r="C263" s="123"/>
      <c r="D263" s="124"/>
      <c r="E263" s="33">
        <v>-5.0035826623431312E-3</v>
      </c>
      <c r="F263" s="40" t="s">
        <v>79</v>
      </c>
      <c r="G263" s="41">
        <v>81929</v>
      </c>
      <c r="H263" s="120" t="s">
        <v>98</v>
      </c>
      <c r="I263" s="121"/>
      <c r="J263" s="121"/>
      <c r="K263" s="121"/>
      <c r="L263" s="122"/>
      <c r="M263" s="123"/>
      <c r="N263" s="127"/>
      <c r="O263" s="127"/>
    </row>
    <row r="264" spans="3:18" s="67" customFormat="1" ht="47.25" customHeight="1" thickBot="1">
      <c r="C264" s="123"/>
      <c r="D264" s="124"/>
      <c r="E264" s="33">
        <v>2.3237037474646005E-3</v>
      </c>
      <c r="F264" s="40" t="s">
        <v>80</v>
      </c>
      <c r="G264" s="41">
        <v>50899</v>
      </c>
      <c r="H264" s="120" t="s">
        <v>99</v>
      </c>
      <c r="I264" s="121"/>
      <c r="J264" s="121"/>
      <c r="K264" s="121"/>
      <c r="L264" s="122"/>
      <c r="M264" s="123"/>
      <c r="N264" s="127"/>
      <c r="O264" s="127"/>
    </row>
    <row r="265" spans="3:18" s="67" customFormat="1" ht="47.25" customHeight="1" thickBot="1">
      <c r="C265" s="123"/>
      <c r="D265" s="124"/>
      <c r="E265" s="33">
        <v>5.8708414872798542E-2</v>
      </c>
      <c r="F265" s="40" t="s">
        <v>81</v>
      </c>
      <c r="G265" s="41">
        <v>541</v>
      </c>
      <c r="H265" s="120" t="s">
        <v>100</v>
      </c>
      <c r="I265" s="121"/>
      <c r="J265" s="121"/>
      <c r="K265" s="121"/>
      <c r="L265" s="122"/>
      <c r="M265" s="123"/>
      <c r="N265" s="127"/>
      <c r="O265" s="127"/>
    </row>
    <row r="266" spans="3:18" s="67" customFormat="1" ht="47.25" customHeight="1" thickBot="1">
      <c r="C266" s="125"/>
      <c r="D266" s="126"/>
      <c r="E266" s="33">
        <v>3.9440203562340903E-2</v>
      </c>
      <c r="F266" s="40" t="s">
        <v>82</v>
      </c>
      <c r="G266" s="41">
        <v>817</v>
      </c>
      <c r="H266" s="120" t="s">
        <v>101</v>
      </c>
      <c r="I266" s="121"/>
      <c r="J266" s="121"/>
      <c r="K266" s="121"/>
      <c r="L266" s="122"/>
      <c r="M266" s="125"/>
      <c r="N266" s="127"/>
      <c r="O266" s="127"/>
    </row>
    <row r="267" spans="3:18" ht="13.5" thickBot="1">
      <c r="C267" s="48"/>
      <c r="D267" s="29"/>
      <c r="E267" s="29"/>
      <c r="F267" s="29"/>
      <c r="G267" s="29"/>
      <c r="H267" s="29"/>
      <c r="I267" s="29"/>
      <c r="J267" s="29"/>
      <c r="K267" s="29"/>
      <c r="L267" s="29"/>
      <c r="M267" s="128"/>
      <c r="N267" s="129"/>
      <c r="P267" s="67"/>
      <c r="Q267" s="67"/>
      <c r="R267" s="67"/>
    </row>
    <row r="268" spans="3:18" ht="21.75" customHeight="1" thickBot="1">
      <c r="C268" s="54"/>
      <c r="D268" s="55"/>
      <c r="E268" s="3" t="str">
        <f>$E$1</f>
        <v>INDICADORES TURÍSTICOS DE TENERIFE (definitivo 63,2%)</v>
      </c>
      <c r="F268" s="4"/>
      <c r="G268" s="4"/>
      <c r="H268" s="4"/>
      <c r="I268" s="4"/>
      <c r="J268" s="4"/>
      <c r="K268" s="5"/>
      <c r="L268" s="55"/>
      <c r="M268" s="56"/>
      <c r="P268" s="67"/>
      <c r="Q268" s="67"/>
      <c r="R268" s="67"/>
    </row>
    <row r="269" spans="3:18" ht="13.5" thickBot="1">
      <c r="C269" s="54"/>
      <c r="D269" s="55"/>
      <c r="E269" s="55"/>
      <c r="F269" s="55"/>
      <c r="G269" s="55"/>
      <c r="H269" s="55"/>
      <c r="I269" s="55"/>
      <c r="J269" s="55"/>
      <c r="K269" s="55"/>
      <c r="L269" s="55"/>
      <c r="M269" s="130"/>
      <c r="Q269" s="67"/>
      <c r="R269" s="67"/>
    </row>
    <row r="270" spans="3:18" ht="30" customHeight="1" thickBot="1">
      <c r="C270" s="3" t="s">
        <v>83</v>
      </c>
      <c r="D270" s="4"/>
      <c r="E270" s="4"/>
      <c r="F270" s="4"/>
      <c r="G270" s="4"/>
      <c r="H270" s="4"/>
      <c r="I270" s="4"/>
      <c r="J270" s="4"/>
      <c r="K270" s="4"/>
      <c r="L270" s="4"/>
      <c r="M270" s="5"/>
      <c r="Q270" s="67"/>
      <c r="R270" s="67"/>
    </row>
    <row r="271" spans="3:18" ht="27.75" customHeight="1" thickBot="1">
      <c r="C271" s="117" t="s">
        <v>9</v>
      </c>
      <c r="D271" s="118"/>
      <c r="E271" s="33">
        <v>-1.5853352210449367E-2</v>
      </c>
      <c r="F271" s="40" t="s">
        <v>10</v>
      </c>
      <c r="G271" s="41">
        <v>172391</v>
      </c>
      <c r="H271" s="120" t="s">
        <v>103</v>
      </c>
      <c r="I271" s="121"/>
      <c r="J271" s="121"/>
      <c r="K271" s="121"/>
      <c r="L271" s="122"/>
      <c r="M271" s="131" t="s">
        <v>11</v>
      </c>
      <c r="N271" s="132"/>
      <c r="Q271" s="67"/>
      <c r="R271" s="67"/>
    </row>
    <row r="272" spans="3:18" ht="34.5" customHeight="1" thickBot="1">
      <c r="C272" s="123"/>
      <c r="D272" s="124"/>
      <c r="E272" s="33">
        <v>3.0319946966260725E-2</v>
      </c>
      <c r="F272" s="40" t="s">
        <v>84</v>
      </c>
      <c r="G272" s="41">
        <v>88590</v>
      </c>
      <c r="H272" s="120" t="str">
        <f>CONCATENATE("La oferta hotelera estimada por el STDE del Cabildo de Tenerife se sitúa en ",FIXED(G272,0)," plazas, un ",FIXED(G272/G271*100,1),"% del total de plazas. ",IF(E272&gt;0,"Aumentan un ","Disminuyen un"),FIXED(E272*100,1),"% respecto al mismo periodo del año anterior.")</f>
        <v>La oferta hotelera estimada por el STDE del Cabildo de Tenerife se sitúa en 88.590 plazas, un 51,4% del total de plazas. Aumentan un 3,0% respecto al mismo periodo del año anterior.</v>
      </c>
      <c r="I272" s="121"/>
      <c r="J272" s="121"/>
      <c r="K272" s="121"/>
      <c r="L272" s="122"/>
      <c r="M272" s="133"/>
      <c r="N272" s="132"/>
      <c r="O272"/>
      <c r="Q272" s="134"/>
    </row>
    <row r="273" spans="3:17" ht="41.25" customHeight="1" thickBot="1">
      <c r="C273" s="125"/>
      <c r="D273" s="126"/>
      <c r="E273" s="33">
        <v>-6.036889611481755E-2</v>
      </c>
      <c r="F273" s="40" t="s">
        <v>85</v>
      </c>
      <c r="G273" s="41">
        <v>83801</v>
      </c>
      <c r="H273" s="120" t="s">
        <v>104</v>
      </c>
      <c r="I273" s="121"/>
      <c r="J273" s="121"/>
      <c r="K273" s="121"/>
      <c r="L273" s="122"/>
      <c r="M273" s="135"/>
      <c r="N273" s="132"/>
      <c r="Q273" s="134"/>
    </row>
    <row r="274" spans="3:17" ht="34.5" customHeight="1" thickBot="1">
      <c r="C274" s="123" t="s">
        <v>14</v>
      </c>
      <c r="D274" s="124"/>
      <c r="E274" s="33">
        <v>-1.7462763225475131E-2</v>
      </c>
      <c r="F274" s="40" t="s">
        <v>10</v>
      </c>
      <c r="G274" s="41">
        <v>1913</v>
      </c>
      <c r="H274" s="136" t="str">
        <f>CONCATENATE("Las plazas estimadas por el STDE  del Cabildo de Tenerife en la zona de Santa Cruz, ascienden a ",FIXED(G274,0),", todas ellas pertenecientes a la tipología hotelera. Se registra un ",IF(E274&gt;0,"incremento ","descenso "),"con respecto al año anterior del ",FIXED(E274*100,1),"%.")</f>
        <v>Las plazas estimadas por el STDE  del Cabildo de Tenerife en la zona de Santa Cruz, ascienden a 1.913, todas ellas pertenecientes a la tipología hotelera. Se registra un descenso con respecto al año anterior del -1,7%.</v>
      </c>
      <c r="I274" s="137"/>
      <c r="J274" s="137"/>
      <c r="K274" s="137"/>
      <c r="L274" s="138"/>
      <c r="M274" s="131" t="s">
        <v>11</v>
      </c>
      <c r="Q274" s="134"/>
    </row>
    <row r="275" spans="3:17" ht="34.5" customHeight="1" thickBot="1">
      <c r="C275" s="123"/>
      <c r="D275" s="124"/>
      <c r="E275" s="33">
        <v>-1.7462763225475131E-2</v>
      </c>
      <c r="F275" s="40" t="s">
        <v>84</v>
      </c>
      <c r="G275" s="41">
        <v>1913</v>
      </c>
      <c r="H275" s="139"/>
      <c r="I275" s="140"/>
      <c r="J275" s="140"/>
      <c r="K275" s="140"/>
      <c r="L275" s="141"/>
      <c r="M275" s="133"/>
    </row>
    <row r="276" spans="3:17" ht="42" customHeight="1" thickBot="1">
      <c r="C276" s="117" t="s">
        <v>15</v>
      </c>
      <c r="D276" s="118"/>
      <c r="E276" s="33">
        <v>-0.16536550745209366</v>
      </c>
      <c r="F276" s="40" t="s">
        <v>10</v>
      </c>
      <c r="G276" s="41">
        <v>1176</v>
      </c>
      <c r="H276" s="120" t="s">
        <v>105</v>
      </c>
      <c r="I276" s="121"/>
      <c r="J276" s="121"/>
      <c r="K276" s="121"/>
      <c r="L276" s="122"/>
      <c r="M276" s="131" t="s">
        <v>11</v>
      </c>
    </row>
    <row r="277" spans="3:17" ht="34.5" customHeight="1" thickBot="1">
      <c r="C277" s="123"/>
      <c r="D277" s="124"/>
      <c r="E277" s="33">
        <v>-0.2665369649805448</v>
      </c>
      <c r="F277" s="40" t="s">
        <v>84</v>
      </c>
      <c r="G277" s="41">
        <v>377</v>
      </c>
      <c r="H277" s="120" t="str">
        <f>CONCATENATE("Las plazas hoteleras estimadas se sitúan en ",FIXED(G277,0)," plazas, registrando un ",IF(E277&gt;0,"incremento del ","descenso del "),FIXED(E277*100,1),"%.")</f>
        <v>Las plazas hoteleras estimadas se sitúan en 377 plazas, registrando un descenso del -26,7%.</v>
      </c>
      <c r="I277" s="121"/>
      <c r="J277" s="121"/>
      <c r="K277" s="121"/>
      <c r="L277" s="122"/>
      <c r="M277" s="133"/>
    </row>
    <row r="278" spans="3:17" ht="34.5" customHeight="1" thickBot="1">
      <c r="C278" s="125"/>
      <c r="D278" s="126"/>
      <c r="E278" s="33">
        <v>-0.10726256983240223</v>
      </c>
      <c r="F278" s="40" t="s">
        <v>85</v>
      </c>
      <c r="G278" s="41">
        <v>799</v>
      </c>
      <c r="H278" s="120" t="s">
        <v>106</v>
      </c>
      <c r="I278" s="121"/>
      <c r="J278" s="121"/>
      <c r="K278" s="121"/>
      <c r="L278" s="122"/>
      <c r="M278" s="135"/>
    </row>
    <row r="279" spans="3:17" ht="39.75" customHeight="1" thickBot="1">
      <c r="C279" s="117" t="s">
        <v>16</v>
      </c>
      <c r="D279" s="118"/>
      <c r="E279" s="33">
        <v>-3.673607584222105E-2</v>
      </c>
      <c r="F279" s="40" t="s">
        <v>10</v>
      </c>
      <c r="G279" s="41">
        <v>28450</v>
      </c>
      <c r="H279" s="120" t="s">
        <v>107</v>
      </c>
      <c r="I279" s="121"/>
      <c r="J279" s="121"/>
      <c r="K279" s="121"/>
      <c r="L279" s="122"/>
      <c r="M279" s="131" t="s">
        <v>11</v>
      </c>
    </row>
    <row r="280" spans="3:17" ht="34.5" customHeight="1" thickBot="1">
      <c r="C280" s="123"/>
      <c r="D280" s="124"/>
      <c r="E280" s="33">
        <v>8.1400953248005337E-3</v>
      </c>
      <c r="F280" s="40" t="s">
        <v>84</v>
      </c>
      <c r="G280" s="41">
        <v>18825</v>
      </c>
      <c r="H280" s="120" t="str">
        <f>CONCATENATE("La oferta hotelera asciende a ",FIXED(G280,0),", cifra que se ",IF(E280&gt;0,"incrementa un ","reduce un "),FIXED(E280*100,1),"% respecto al año anterior.")</f>
        <v>La oferta hotelera asciende a 18.825, cifra que se incrementa un 0,8% respecto al año anterior.</v>
      </c>
      <c r="I280" s="121"/>
      <c r="J280" s="121"/>
      <c r="K280" s="121"/>
      <c r="L280" s="122"/>
      <c r="M280" s="133"/>
    </row>
    <row r="281" spans="3:17" ht="34.5" customHeight="1" thickBot="1">
      <c r="C281" s="125"/>
      <c r="D281" s="126"/>
      <c r="E281" s="33">
        <v>-0.11388326275087457</v>
      </c>
      <c r="F281" s="40" t="s">
        <v>85</v>
      </c>
      <c r="G281" s="41">
        <v>9625</v>
      </c>
      <c r="H281" s="120" t="str">
        <f>CONCATENATE("Las plazas extrahoteras estimadas ascienden a ",FIXED(G281,0),", las cuales ",IF(E281&gt;0,"se incrementan un ","descienden un "),FIXED(E281*100,1),"%.")</f>
        <v>Las plazas extrahoteras estimadas ascienden a 9.625, las cuales descienden un -11,4%.</v>
      </c>
      <c r="I281" s="121"/>
      <c r="J281" s="121"/>
      <c r="K281" s="121"/>
      <c r="L281" s="122"/>
      <c r="M281" s="135"/>
    </row>
    <row r="282" spans="3:17" ht="34.5" customHeight="1" thickBot="1">
      <c r="C282" s="117" t="s">
        <v>17</v>
      </c>
      <c r="D282" s="118"/>
      <c r="E282" s="33">
        <v>-1.0015673650695445E-2</v>
      </c>
      <c r="F282" s="40" t="s">
        <v>10</v>
      </c>
      <c r="G282" s="41">
        <v>140852</v>
      </c>
      <c r="H282" s="120" t="str">
        <f>CONCATENATE("Las plazas estimadas para la zona Sur por el STDE del Cabildo ascienden a ",FIXED(G282,0)," experimentando un ",IF(E282&gt;0,"incremento interanual del ","descenso interanual del "),FIXED(E282*100,1),"%.")</f>
        <v>Las plazas estimadas para la zona Sur por el STDE del Cabildo ascienden a 140.852 experimentando un descenso interanual del -1,0%.</v>
      </c>
      <c r="I282" s="121"/>
      <c r="J282" s="121"/>
      <c r="K282" s="121"/>
      <c r="L282" s="122"/>
      <c r="M282" s="131" t="s">
        <v>11</v>
      </c>
    </row>
    <row r="283" spans="3:17" ht="34.5" customHeight="1" thickBot="1">
      <c r="C283" s="123"/>
      <c r="D283" s="124"/>
      <c r="E283" s="33">
        <v>4.0494070841493368E-2</v>
      </c>
      <c r="F283" s="40" t="s">
        <v>84</v>
      </c>
      <c r="G283" s="41">
        <v>67475</v>
      </c>
      <c r="H283" s="120" t="str">
        <f>CONCATENATE("Las plazas hoteleras, con un oferta de ",FIXED(G283,0)," plazas, se ",IF(E283&gt;0,"incrementan un ","reducen un "),FIXED(E283*100,1),"% respecto al mismo período del año anterior.")</f>
        <v>Las plazas hoteleras, con un oferta de 67.475 plazas, se incrementan un 4,0% respecto al mismo período del año anterior.</v>
      </c>
      <c r="I283" s="121"/>
      <c r="J283" s="121"/>
      <c r="K283" s="121"/>
      <c r="L283" s="122"/>
      <c r="M283" s="133"/>
    </row>
    <row r="284" spans="3:17" ht="34.5" customHeight="1" thickBot="1">
      <c r="C284" s="125"/>
      <c r="D284" s="126"/>
      <c r="E284" s="33">
        <v>-5.2319574314201533E-2</v>
      </c>
      <c r="F284" s="40" t="s">
        <v>85</v>
      </c>
      <c r="G284" s="41">
        <v>73377</v>
      </c>
      <c r="H284" s="120" t="s">
        <v>108</v>
      </c>
      <c r="I284" s="121"/>
      <c r="J284" s="121"/>
      <c r="K284" s="121"/>
      <c r="L284" s="122"/>
      <c r="M284" s="135"/>
    </row>
    <row r="285" spans="3:17" ht="13.5" thickBot="1"/>
    <row r="286" spans="3:17" ht="16.5" thickBot="1">
      <c r="C286" s="3" t="s">
        <v>86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3:17" ht="48" customHeight="1" thickBot="1">
      <c r="C287" s="117" t="s">
        <v>87</v>
      </c>
      <c r="D287" s="118"/>
      <c r="E287" s="33">
        <v>0.13240331064212207</v>
      </c>
      <c r="F287" s="40" t="s">
        <v>88</v>
      </c>
      <c r="G287" s="41">
        <v>607343</v>
      </c>
      <c r="H287" s="120" t="s">
        <v>109</v>
      </c>
      <c r="I287" s="121"/>
      <c r="J287" s="121"/>
      <c r="K287" s="121"/>
      <c r="L287" s="122"/>
      <c r="M287" s="117" t="s">
        <v>111</v>
      </c>
    </row>
    <row r="288" spans="3:17" ht="45.75" customHeight="1" thickBot="1">
      <c r="C288" s="123"/>
      <c r="D288" s="124"/>
      <c r="E288" s="33">
        <v>0.13833992094861669</v>
      </c>
      <c r="F288" s="40" t="s">
        <v>89</v>
      </c>
      <c r="G288" s="41">
        <v>288</v>
      </c>
      <c r="H288" s="120" t="s">
        <v>110</v>
      </c>
      <c r="I288" s="121"/>
      <c r="J288" s="121"/>
      <c r="K288" s="121"/>
      <c r="L288" s="122"/>
      <c r="M288" s="125"/>
    </row>
    <row r="298" spans="5:6">
      <c r="E298"/>
      <c r="F298"/>
    </row>
    <row r="299" spans="5:6">
      <c r="E299"/>
      <c r="F299"/>
    </row>
  </sheetData>
  <mergeCells count="185">
    <mergeCell ref="C286:M286"/>
    <mergeCell ref="C287:D288"/>
    <mergeCell ref="H287:L287"/>
    <mergeCell ref="M287:M288"/>
    <mergeCell ref="H288:L288"/>
    <mergeCell ref="C279:D281"/>
    <mergeCell ref="H279:L279"/>
    <mergeCell ref="M279:M281"/>
    <mergeCell ref="H280:L280"/>
    <mergeCell ref="H281:L281"/>
    <mergeCell ref="C282:D284"/>
    <mergeCell ref="H282:L282"/>
    <mergeCell ref="M282:M284"/>
    <mergeCell ref="H283:L283"/>
    <mergeCell ref="H284:L284"/>
    <mergeCell ref="C274:D275"/>
    <mergeCell ref="H274:L275"/>
    <mergeCell ref="M274:M275"/>
    <mergeCell ref="C276:D278"/>
    <mergeCell ref="H276:L276"/>
    <mergeCell ref="M276:M278"/>
    <mergeCell ref="H277:L277"/>
    <mergeCell ref="H278:L278"/>
    <mergeCell ref="C267:M267"/>
    <mergeCell ref="E268:K268"/>
    <mergeCell ref="C270:M270"/>
    <mergeCell ref="C271:D273"/>
    <mergeCell ref="H271:L271"/>
    <mergeCell ref="M271:M273"/>
    <mergeCell ref="H272:L272"/>
    <mergeCell ref="H273:L273"/>
    <mergeCell ref="C261:M261"/>
    <mergeCell ref="C262:D266"/>
    <mergeCell ref="H262:L262"/>
    <mergeCell ref="M262:M266"/>
    <mergeCell ref="H263:L263"/>
    <mergeCell ref="H264:L264"/>
    <mergeCell ref="H265:L265"/>
    <mergeCell ref="H266:L266"/>
    <mergeCell ref="C253:M253"/>
    <mergeCell ref="C254:D259"/>
    <mergeCell ref="H254:L254"/>
    <mergeCell ref="M254:M259"/>
    <mergeCell ref="H255:L255"/>
    <mergeCell ref="H256:L256"/>
    <mergeCell ref="H257:L257"/>
    <mergeCell ref="H258:L258"/>
    <mergeCell ref="H259:L259"/>
    <mergeCell ref="E221:K221"/>
    <mergeCell ref="C223:M223"/>
    <mergeCell ref="D224:E224"/>
    <mergeCell ref="F224:G224"/>
    <mergeCell ref="H224:I224"/>
    <mergeCell ref="J224:K224"/>
    <mergeCell ref="L224:M224"/>
    <mergeCell ref="P167:Q167"/>
    <mergeCell ref="C193:Q193"/>
    <mergeCell ref="C194:Q194"/>
    <mergeCell ref="D195:E195"/>
    <mergeCell ref="F195:G195"/>
    <mergeCell ref="H195:I195"/>
    <mergeCell ref="J195:K195"/>
    <mergeCell ref="L195:M195"/>
    <mergeCell ref="N195:O195"/>
    <mergeCell ref="P195:Q195"/>
    <mergeCell ref="C162:M162"/>
    <mergeCell ref="E163:K163"/>
    <mergeCell ref="C165:Q165"/>
    <mergeCell ref="C166:Q166"/>
    <mergeCell ref="D167:E167"/>
    <mergeCell ref="F167:G167"/>
    <mergeCell ref="H167:I167"/>
    <mergeCell ref="J167:K167"/>
    <mergeCell ref="L167:M167"/>
    <mergeCell ref="N167:O167"/>
    <mergeCell ref="C134:M134"/>
    <mergeCell ref="G135:I135"/>
    <mergeCell ref="D136:E136"/>
    <mergeCell ref="F136:G136"/>
    <mergeCell ref="H136:I136"/>
    <mergeCell ref="J136:K136"/>
    <mergeCell ref="L136:M136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6:M6"/>
    <mergeCell ref="C7:D9"/>
    <mergeCell ref="L7:L9"/>
    <mergeCell ref="M7:M9"/>
    <mergeCell ref="C10:D11"/>
    <mergeCell ref="L10:L11"/>
    <mergeCell ref="M10:M11"/>
    <mergeCell ref="E1:K1"/>
    <mergeCell ref="E2:G2"/>
    <mergeCell ref="I2:K3"/>
    <mergeCell ref="E3:G3"/>
    <mergeCell ref="C4:D4"/>
    <mergeCell ref="C5:M5"/>
  </mergeCells>
  <conditionalFormatting sqref="E262:E266 D169:D191 F169:F191 H169:H191 J169:J191 L169:L191 N169:N191 D197:D219 F197:F219 H197:H219 J197:J219 L197:L219 N197:N219 P169:P191 P197:P219 E254:E259 E287:E288 E271:E284 D138:D160 F138:F160 H138:H160 J138:J160 L138:L160 E39:E52 E77:E81 E7:E20 K7:K20 E23:E36 K23:K36 K39:K52 E61:E74 K61:K74 K77:K81 E84:E88 K84:K88 E91:E95 K91:K95 E98:E102 K98:K102 D110:D132 F110:F132 H110:H132 J110:J132 L110:L132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87:E288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2" min="2" max="12" man="1"/>
    <brk id="102" min="2" max="12" man="1"/>
    <brk id="160" min="2" max="12" man="1"/>
    <brk id="266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2011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2012-01-01T00:00:00+00:00</PublishingStartDate>
    <_dlc_DocId xmlns="8b099203-c902-4a5b-992f-1f849b15ff82">Q5F7QW3RQ55V-2035-239</_dlc_DocId>
    <_dlc_DocIdUrl xmlns="8b099203-c902-4a5b-992f-1f849b15ff82">
      <Url>http://cd102671/es/investigacion/Situacion-turistica/indicadores-turisticos/_layouts/DocIdRedir.aspx?ID=Q5F7QW3RQ55V-2035-239</Url>
      <Description>Q5F7QW3RQ55V-2035-239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B135D4-D3BA-4074-9C99-7EE5836C3E7B}"/>
</file>

<file path=customXml/itemProps2.xml><?xml version="1.0" encoding="utf-8"?>
<ds:datastoreItem xmlns:ds="http://schemas.openxmlformats.org/officeDocument/2006/customXml" ds:itemID="{B5AC5FF9-F95B-494C-B2F9-89F7E329F4B4}"/>
</file>

<file path=customXml/itemProps3.xml><?xml version="1.0" encoding="utf-8"?>
<ds:datastoreItem xmlns:ds="http://schemas.openxmlformats.org/officeDocument/2006/customXml" ds:itemID="{B38CB841-BE81-42F3-9547-B7A48A045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(vinculo)</vt:lpstr>
      <vt:lpstr>'Ind turísticos (vinculo)'!Área_de_impresión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acumulado 2011)</dc:title>
  <dc:creator>marjorie</dc:creator>
  <cp:lastModifiedBy>marjorie</cp:lastModifiedBy>
  <dcterms:created xsi:type="dcterms:W3CDTF">2012-02-13T15:26:47Z</dcterms:created>
  <dcterms:modified xsi:type="dcterms:W3CDTF">2012-02-13T15:27:45Z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6b138a1a-28ed-4130-be69-8ff98700acfd</vt:lpwstr>
  </property>
</Properties>
</file>