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4.xml" ContentType="application/vnd.openxmlformats-officedocument.drawingml.chartshapes+xml"/>
  <Override PartName="/xl/drawings/drawing29.xml" ContentType="application/vnd.openxmlformats-officedocument.drawingml.chartshapes+xml"/>
  <Override PartName="/xl/drawings/drawing30.xml" ContentType="application/vnd.openxmlformats-officedocument.drawingml.chartshapes+xml"/>
  <Override PartName="/xl/drawings/drawing34.xml" ContentType="application/vnd.openxmlformats-officedocument.drawingml.chartshapes+xml"/>
  <Override PartName="/xl/drawings/drawing24.xml" ContentType="application/vnd.openxmlformats-officedocument.drawingml.chartshapes+xml"/>
  <Override PartName="/xl/drawings/drawing37.xml" ContentType="application/vnd.openxmlformats-officedocument.drawingml.chartshapes+xml"/>
  <Override PartName="/xl/drawings/drawing33.xml" ContentType="application/vnd.openxmlformats-officedocument.drawingml.chartshapes+xml"/>
  <Override PartName="/xl/drawings/drawing21.xml" ContentType="application/vnd.openxmlformats-officedocument.drawingml.chartshapes+xml"/>
  <Override PartName="/xl/drawings/drawing40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4.xml" ContentType="application/vnd.openxmlformats-officedocument.drawingml.chartshapes+xml"/>
  <Override PartName="/xl/drawings/drawing17.xml" ContentType="application/vnd.openxmlformats-officedocument.drawingml.chartshapes+xml"/>
  <Override PartName="/xl/drawings/drawing18.xml" ContentType="application/vnd.openxmlformats-officedocument.drawingml.chartshapes+xml"/>
  <Override PartName="/xl/drawings/drawing22.xml" ContentType="application/vnd.openxmlformats-officedocument.drawingml.chartshapes+xml"/>
  <Override PartName="/xl/drawings/drawing46.xml" ContentType="application/vnd.openxmlformats-officedocument.drawingml.chartshapes+xml"/>
  <Override PartName="/xl/drawings/drawing6.xml" ContentType="application/vnd.openxmlformats-officedocument.drawingml.chartshapes+xml"/>
  <Override PartName="/xl/drawings/drawing64.xml" ContentType="application/vnd.openxmlformats-officedocument.drawingml.chartshapes+xml"/>
  <Override PartName="/xl/drawings/drawing66.xml" ContentType="application/vnd.openxmlformats-officedocument.drawingml.chartshapes+xml"/>
  <Override PartName="/xl/drawings/drawing73.xml" ContentType="application/vnd.openxmlformats-officedocument.drawingml.chartshapes+xml"/>
  <Override PartName="/xl/drawings/drawing75.xml" ContentType="application/vnd.openxmlformats-officedocument.drawingml.chartshapes+xml"/>
  <Override PartName="/xl/drawings/drawing62.xml" ContentType="application/vnd.openxmlformats-officedocument.drawingml.chartshapes+xml"/>
  <Override PartName="/xl/drawings/drawing60.xml" ContentType="application/vnd.openxmlformats-officedocument.drawingml.chartshapes+xml"/>
  <Override PartName="/xl/drawings/drawing58.xml" ContentType="application/vnd.openxmlformats-officedocument.drawingml.chartshapes+xml"/>
  <Override PartName="/xl/drawings/drawing48.xml" ContentType="application/vnd.openxmlformats-officedocument.drawingml.chartshapes+xml"/>
  <Override PartName="/xl/drawings/drawing49.xml" ContentType="application/vnd.openxmlformats-officedocument.drawingml.chartshapes+xml"/>
  <Override PartName="/xl/drawings/drawing52.xml" ContentType="application/vnd.openxmlformats-officedocument.drawingml.chartshapes+xml"/>
  <Override PartName="/xl/drawings/drawing55.xml" ContentType="application/vnd.openxmlformats-officedocument.drawingml.chartshapes+xml"/>
  <Override PartName="/xl/drawings/drawing57.xml" ContentType="application/vnd.openxmlformats-officedocument.drawingml.chartshapes+xml"/>
  <Override PartName="/xl/drawings/drawing43.xml" ContentType="application/vnd.openxmlformats-officedocument.drawingml.chartshapes+xml"/>
  <Override PartName="/xl/workbook.xml" ContentType="application/vnd.openxmlformats-officedocument.spreadsheetml.sheet.main+xml"/>
  <Override PartName="/xl/worksheets/sheet34.xml" ContentType="application/vnd.openxmlformats-officedocument.spreadsheetml.worksheet+xml"/>
  <Override PartName="/xl/charts/chart33.xml" ContentType="application/vnd.openxmlformats-officedocument.drawingml.chart+xml"/>
  <Override PartName="/xl/drawings/drawing74.xml" ContentType="application/vnd.openxmlformats-officedocument.drawing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worksheets/sheet3.xml" ContentType="application/vnd.openxmlformats-officedocument.spreadsheetml.worksheet+xml"/>
  <Override PartName="/xl/charts/chart32.xml" ContentType="application/vnd.openxmlformats-officedocument.drawingml.chart+xml"/>
  <Override PartName="/xl/drawings/drawing72.xml" ContentType="application/vnd.openxmlformats-officedocument.drawing+xml"/>
  <Override PartName="/xl/charts/chart30.xml" ContentType="application/vnd.openxmlformats-officedocument.drawingml.chart+xml"/>
  <Override PartName="/xl/worksheets/sheet1.xml" ContentType="application/vnd.openxmlformats-officedocument.spreadsheetml.worksheet+xml"/>
  <Override PartName="/xl/drawings/drawing70.xml" ContentType="application/vnd.openxmlformats-officedocument.drawing+xml"/>
  <Override PartName="/xl/charts/chart31.xml" ContentType="application/vnd.openxmlformats-officedocument.drawingml.chart+xml"/>
  <Override PartName="/xl/drawings/drawing71.xml" ContentType="application/vnd.openxmlformats-officedocument.drawing+xml"/>
  <Override PartName="/xl/worksheets/sheet2.xml" ContentType="application/vnd.openxmlformats-officedocument.spreadsheetml.worksheet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20.xml" ContentType="application/vnd.openxmlformats-officedocument.drawing+xml"/>
  <Override PartName="/xl/charts/chart8.xml" ContentType="application/vnd.openxmlformats-officedocument.drawingml.chart+xml"/>
  <Override PartName="/xl/worksheets/sheet26.xml" ContentType="application/vnd.openxmlformats-officedocument.spreadsheetml.worksheet+xml"/>
  <Override PartName="/xl/charts/chart9.xml" ContentType="application/vnd.openxmlformats-officedocument.drawingml.chart+xml"/>
  <Override PartName="/xl/worksheets/sheet25.xml" ContentType="application/vnd.openxmlformats-officedocument.spreadsheetml.worksheet+xml"/>
  <Override PartName="/xl/drawings/drawing23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+xml"/>
  <Override PartName="/xl/worksheets/sheet27.xml" ContentType="application/vnd.openxmlformats-officedocument.spreadsheetml.worksheet+xml"/>
  <Override PartName="/xl/worksheets/sheet29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worksheets/sheet28.xml" ContentType="application/vnd.openxmlformats-officedocument.spreadsheetml.worksheet+xml"/>
  <Override PartName="/xl/charts/chart7.xml" ContentType="application/vnd.openxmlformats-officedocument.drawingml.chart+xml"/>
  <Override PartName="/xl/worksheets/sheet24.xml" ContentType="application/vnd.openxmlformats-officedocument.spreadsheetml.worksheet+xml"/>
  <Override PartName="/xl/drawings/drawing25.xml" ContentType="application/vnd.openxmlformats-officedocument.drawing+xml"/>
  <Override PartName="/xl/worksheets/sheet22.xml" ContentType="application/vnd.openxmlformats-officedocument.spreadsheetml.workshee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worksheets/sheet21.xml" ContentType="application/vnd.openxmlformats-officedocument.spreadsheetml.worksheet+xml"/>
  <Override PartName="/xl/charts/chart15.xml" ContentType="application/vnd.openxmlformats-officedocument.drawingml.chart+xml"/>
  <Override PartName="/xl/worksheets/sheet20.xml" ContentType="application/vnd.openxmlformats-officedocument.spreadsheetml.worksheet+xml"/>
  <Override PartName="/xl/drawings/drawing35.xml" ContentType="application/vnd.openxmlformats-officedocument.drawing+xml"/>
  <Override PartName="/xl/charts/chart13.xml" ContentType="application/vnd.openxmlformats-officedocument.drawingml.chart+xml"/>
  <Override PartName="/xl/worksheets/sheet23.xml" ContentType="application/vnd.openxmlformats-officedocument.spreadsheetml.worksheet+xml"/>
  <Override PartName="/xl/charts/chart12.xml" ContentType="application/vnd.openxmlformats-officedocument.drawingml.chart+xml"/>
  <Override PartName="/xl/drawings/drawing26.xml" ContentType="application/vnd.openxmlformats-officedocument.drawing+xml"/>
  <Override PartName="/xl/charts/chart11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worksheets/sheet31.xml" ContentType="application/vnd.openxmlformats-officedocument.spreadsheetml.worksheet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worksheets/sheet30.xml" ContentType="application/vnd.openxmlformats-officedocument.spreadsheetml.worksheet+xml"/>
  <Override PartName="/xl/drawings/drawing12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worksheets/sheet33.xml" ContentType="application/vnd.openxmlformats-officedocument.spreadsheetml.workshee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36.xml" ContentType="application/vnd.openxmlformats-officedocument.drawing+xml"/>
  <Override PartName="/xl/charts/chart27.xml" ContentType="application/vnd.openxmlformats-officedocument.drawingml.chart+xml"/>
  <Override PartName="/xl/drawings/drawing51.xml" ContentType="application/vnd.openxmlformats-officedocument.drawing+xml"/>
  <Override PartName="/xl/charts/chart22.xml" ContentType="application/vnd.openxmlformats-officedocument.drawingml.chart+xml"/>
  <Override PartName="/xl/worksheets/sheet13.xml" ContentType="application/vnd.openxmlformats-officedocument.spreadsheetml.worksheet+xml"/>
  <Override PartName="/xl/drawings/drawing50.xml" ContentType="application/vnd.openxmlformats-officedocument.drawing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drawings/drawing47.xml" ContentType="application/vnd.openxmlformats-officedocument.drawing+xml"/>
  <Override PartName="/xl/charts/chart20.xml" ContentType="application/vnd.openxmlformats-officedocument.drawingml.chart+xml"/>
  <Override PartName="/xl/worksheets/sheet15.xml" ContentType="application/vnd.openxmlformats-officedocument.spreadsheetml.worksheet+xml"/>
  <Override PartName="/xl/charts/chart21.xml" ContentType="application/vnd.openxmlformats-officedocument.drawingml.chart+xml"/>
  <Override PartName="/xl/worksheets/sheet14.xml" ContentType="application/vnd.openxmlformats-officedocument.spreadsheetml.worksheet+xml"/>
  <Override PartName="/xl/drawings/drawing61.xml" ContentType="application/vnd.openxmlformats-officedocument.drawing+xml"/>
  <Override PartName="/xl/drawings/drawing53.xml" ContentType="application/vnd.openxmlformats-officedocument.drawing+xml"/>
  <Override PartName="/xl/worksheets/sheet11.xml" ContentType="application/vnd.openxmlformats-officedocument.spreadsheetml.workshee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worksheets/sheet10.xml" ContentType="application/vnd.openxmlformats-officedocument.spreadsheetml.worksheet+xml"/>
  <Override PartName="/xl/drawings/drawing59.xml" ContentType="application/vnd.openxmlformats-officedocument.drawing+xml"/>
  <Override PartName="/xl/charts/chart24.xml" ContentType="application/vnd.openxmlformats-officedocument.drawingml.chart+xml"/>
  <Override PartName="/xl/drawings/drawing56.xml" ContentType="application/vnd.openxmlformats-officedocument.drawing+xml"/>
  <Override PartName="/xl/drawings/drawing54.xml" ContentType="application/vnd.openxmlformats-officedocument.drawing+xml"/>
  <Override PartName="/xl/charts/chart23.xml" ContentType="application/vnd.openxmlformats-officedocument.drawingml.char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drawings/drawing63.xml" ContentType="application/vnd.openxmlformats-officedocument.drawing+xml"/>
  <Override PartName="/xl/charts/chart17.xml" ContentType="application/vnd.openxmlformats-officedocument.drawingml.chart+xml"/>
  <Override PartName="/xl/worksheets/sheet18.xml" ContentType="application/vnd.openxmlformats-officedocument.spreadsheetml.worksheet+xml"/>
  <Override PartName="/xl/charts/chart19.xml" ContentType="application/vnd.openxmlformats-officedocument.drawingml.chart+xml"/>
  <Override PartName="/xl/charts/chart29.xml" ContentType="application/vnd.openxmlformats-officedocument.drawingml.chart+xml"/>
  <Override PartName="/xl/drawings/drawing39.xml" ContentType="application/vnd.openxmlformats-officedocument.drawing+xml"/>
  <Override PartName="/xl/worksheets/sheet6.xml" ContentType="application/vnd.openxmlformats-officedocument.spreadsheetml.worksheet+xml"/>
  <Override PartName="/xl/drawings/drawing67.xml" ContentType="application/vnd.openxmlformats-officedocument.drawing+xml"/>
  <Override PartName="/xl/charts/chart16.xml" ContentType="application/vnd.openxmlformats-officedocument.drawingml.chart+xml"/>
  <Override PartName="/xl/worksheets/sheet19.xml" ContentType="application/vnd.openxmlformats-officedocument.spreadsheetml.worksheet+xml"/>
  <Override PartName="/xl/drawings/drawing38.xml" ContentType="application/vnd.openxmlformats-officedocument.drawing+xml"/>
  <Override PartName="/xl/drawings/drawing65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8.xml" ContentType="application/vnd.openxmlformats-officedocument.drawingml.chart+xml"/>
  <Override PartName="/xl/drawings/drawing45.xml" ContentType="application/vnd.openxmlformats-officedocument.drawing+xml"/>
  <Override PartName="/xl/worksheets/sheet7.xml" ContentType="application/vnd.openxmlformats-officedocument.spreadsheetml.worksheet+xml"/>
  <Override PartName="/xl/drawings/drawing44.xml" ContentType="application/vnd.openxmlformats-officedocument.drawing+xml"/>
  <Override PartName="/xl/worksheets/sheet17.xml" ContentType="application/vnd.openxmlformats-officedocument.spreadsheetml.workshee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Indice" sheetId="1" r:id="rId1"/>
    <sheet name="Edad" sheetId="2" r:id="rId2"/>
    <sheet name="EDAD GRAFICA 1 " sheetId="3" r:id="rId3"/>
    <sheet name="EDAD GRAFICA 2 " sheetId="4" r:id="rId4"/>
    <sheet name="edad por mercados" sheetId="5" r:id="rId5"/>
    <sheet name="GRAFICA EDAD POR MERCADOS" sheetId="6" r:id="rId6"/>
    <sheet name="renta media" sheetId="7" r:id="rId7"/>
    <sheet name="renta nacionalidades" sheetId="8" r:id="rId8"/>
    <sheet name="GRAFICO RENTA X NACIONAL" sheetId="9" r:id="rId9"/>
    <sheet name="ACOMPAÑANTES " sheetId="10" r:id="rId10"/>
    <sheet name="GRAFICA Acompañantes" sheetId="11" r:id="rId11"/>
    <sheet name="GASTO" sheetId="12" r:id="rId12"/>
    <sheet name="GRAFICA GASTO" sheetId="15" r:id="rId13"/>
    <sheet name="Evolución gasto (nacionalidad) " sheetId="16" r:id="rId14"/>
    <sheet name="Gasto partidas" sheetId="17" r:id="rId15"/>
    <sheet name="GRAFICA GASTO PARTIDA" sheetId="18" r:id="rId16"/>
    <sheet name="fidelidad " sheetId="19" r:id="rId17"/>
    <sheet name="GRAFICA FIDELIDAD" sheetId="20" r:id="rId18"/>
    <sheet name="fidelidad nac" sheetId="21" r:id="rId19"/>
    <sheet name="GRAFICA FIDELIDAD NAC" sheetId="22" r:id="rId20"/>
    <sheet name="Zonas de aloja Total y País " sheetId="23" r:id="rId21"/>
    <sheet name="GRAFICA ZONAS ALOJA PAIS" sheetId="24" r:id="rId22"/>
    <sheet name="Tipo de alojamiento" sheetId="25" r:id="rId23"/>
    <sheet name="gráfica tipo alojamiento" sheetId="26" r:id="rId24"/>
    <sheet name="estancia media nacionalidades" sheetId="27" r:id="rId25"/>
    <sheet name="GRAFICA estancia media nac" sheetId="28" r:id="rId26"/>
    <sheet name="uso coche " sheetId="29" r:id="rId27"/>
    <sheet name="fórmde contratación(new version" sheetId="30" r:id="rId28"/>
    <sheet name="fórmula de contratación por mer" sheetId="32" r:id="rId29"/>
    <sheet name="transfer" sheetId="33" r:id="rId30"/>
    <sheet name="Servi contrata origen " sheetId="34" r:id="rId31"/>
    <sheet name="escala nacionalidad" sheetId="35" r:id="rId32"/>
    <sheet name="GRAFICA ESCALA nac" sheetId="36" r:id="rId33"/>
    <sheet name="Uso de internet" sheetId="37" r:id="rId34"/>
    <sheet name="internet nacionalidad" sheetId="38" r:id="rId35"/>
    <sheet name="Actividades realizadas " sheetId="39" r:id="rId36"/>
    <sheet name="actividades nacionalidad" sheetId="40" r:id="rId37"/>
    <sheet name="Excursiones realizadas" sheetId="41" r:id="rId38"/>
    <sheet name="Motivación" sheetId="42" r:id="rId39"/>
    <sheet name="gráfica motivación casos" sheetId="43" r:id="rId40"/>
    <sheet name="Motivación repuestas" sheetId="44" r:id="rId41"/>
    <sheet name="gráfica motivación repuestas" sheetId="45" r:id="rId42"/>
    <sheet name="Índice satisfacción agrupad " sheetId="46" r:id="rId43"/>
    <sheet name="grafica indice de satisfacción" sheetId="47" r:id="rId44"/>
    <sheet name="satisfacción nacionalidad " sheetId="48" r:id="rId45"/>
    <sheet name="satisfacción" sheetId="49" r:id="rId46"/>
    <sheet name="IMPORTANCIA FACTORES" sheetId="50" r:id="rId47"/>
  </sheets>
  <definedNames>
    <definedName name="_xlnm._FilterDatabase" localSheetId="46" hidden="1">'IMPORTANCIA FACTORES'!#REF!</definedName>
    <definedName name="_xlnm._FilterDatabase" localSheetId="42" hidden="1">'Índice satisfacción agrupad '!#REF!</definedName>
    <definedName name="_xlnm.Print_Area" localSheetId="9">'ACOMPAÑANTES '!$C$4:$N$16</definedName>
    <definedName name="_xlnm.Print_Area" localSheetId="36">'actividades nacionalidad'!$C$3:$N$24,'actividades nacionalidad'!$C$25:$O$63</definedName>
    <definedName name="_xlnm.Print_Area" localSheetId="35">'Actividades realizadas '!$C$3:$N$64</definedName>
    <definedName name="_xlnm.Print_Area" localSheetId="1">Edad!$B$3:$M$13</definedName>
    <definedName name="_xlnm.Print_Area" localSheetId="2">'EDAD GRAFICA 1 '!$B$7:$J$33</definedName>
    <definedName name="_xlnm.Print_Area" localSheetId="3">'EDAD GRAFICA 2 '!$B$7:$K$40</definedName>
    <definedName name="_xlnm.Print_Area" localSheetId="4">'edad por mercados'!$B$5:$M$25</definedName>
    <definedName name="_xlnm.Print_Area" localSheetId="31">'escala nacionalidad'!$C$3:$N$24</definedName>
    <definedName name="_xlnm.Print_Area" localSheetId="24">'estancia media nacionalidades'!$C$3:$N$24</definedName>
    <definedName name="_xlnm.Print_Area" localSheetId="13">'Evolución gasto (nacionalidad) '!$C$3:$AU$26</definedName>
    <definedName name="_xlnm.Print_Area" localSheetId="37">'Excursiones realizadas'!$C$3:$O$59</definedName>
    <definedName name="_xlnm.Print_Area" localSheetId="16">'fidelidad '!$C$3:$N$23</definedName>
    <definedName name="_xlnm.Print_Area" localSheetId="18">'fidelidad nac'!$C$3:$W$25,'fidelidad nac'!$C$34:$I$56</definedName>
    <definedName name="_xlnm.Print_Area" localSheetId="27">'fórmde contratación(new version'!$C$3:$N$55</definedName>
    <definedName name="_xlnm.Print_Area" localSheetId="28">'fórmula de contratación por mer'!$C$3:$N$23,'fórmula de contratación por mer'!$C$30:$P$72,'fórmula de contratación por mer'!$C$75:$N$95,'fórmula de contratación por mer'!$C$98:$P$138</definedName>
    <definedName name="_xlnm.Print_Area" localSheetId="11">GASTO!$C$3:$N$14</definedName>
    <definedName name="_xlnm.Print_Area" localSheetId="14">'Gasto partidas'!$C$3:$Q$48</definedName>
    <definedName name="_xlnm.Print_Area" localSheetId="10">'GRAFICA Acompañantes'!$B$6:$N$43</definedName>
    <definedName name="_xlnm.Print_Area" localSheetId="5">'GRAFICA EDAD POR MERCADOS'!$C$4:$I$36</definedName>
    <definedName name="_xlnm.Print_Area" localSheetId="32">'GRAFICA ESCALA nac'!$C$5:$K$38</definedName>
    <definedName name="_xlnm.Print_Area" localSheetId="25">'GRAFICA estancia media nac'!$C$5:$K$35</definedName>
    <definedName name="_xlnm.Print_Area" localSheetId="17">'GRAFICA FIDELIDAD'!$C$5:$Q$35</definedName>
    <definedName name="_xlnm.Print_Area" localSheetId="19">'GRAFICA FIDELIDAD NAC'!$C$5:$S$44</definedName>
    <definedName name="_xlnm.Print_Area" localSheetId="12">'GRAFICA GASTO'!$C$4:$Q$31</definedName>
    <definedName name="_xlnm.Print_Area" localSheetId="15">'GRAFICA GASTO PARTIDA'!$B$7:$J$50</definedName>
    <definedName name="_xlnm.Print_Area" localSheetId="43">'grafica indice de satisfacción'!$C$5:$L$42</definedName>
    <definedName name="_xlnm.Print_Area" localSheetId="39">'gráfica motivación casos'!$B$6:$H$54</definedName>
    <definedName name="_xlnm.Print_Area" localSheetId="41">'gráfica motivación repuestas'!$B$6:$I$54</definedName>
    <definedName name="_xlnm.Print_Area" localSheetId="23">'gráfica tipo alojamiento'!$C$4:$J$32</definedName>
    <definedName name="_xlnm.Print_Area" localSheetId="21">'GRAFICA ZONAS ALOJA PAIS'!$C$5:$J$36</definedName>
    <definedName name="_xlnm.Print_Area" localSheetId="8">'GRAFICO RENTA X NACIONAL'!$C$5:$J$41</definedName>
    <definedName name="_xlnm.Print_Area" localSheetId="46">'IMPORTANCIA FACTORES'!$C$3:$F$13</definedName>
    <definedName name="_xlnm.Print_Area" localSheetId="0">Indice!$C$4:$G$61</definedName>
    <definedName name="_xlnm.Print_Area" localSheetId="42">'Índice satisfacción agrupad '!$C$3:$N$15</definedName>
    <definedName name="_xlnm.Print_Area" localSheetId="34">'internet nacionalidad'!$C$3:$N$49</definedName>
    <definedName name="_xlnm.Print_Area" localSheetId="38">Motivación!$C$5:$F$47</definedName>
    <definedName name="_xlnm.Print_Area" localSheetId="40">'Motivación repuestas'!$C$5:$F$46</definedName>
    <definedName name="_xlnm.Print_Area" localSheetId="6">'renta media'!$C$3:$F$15</definedName>
    <definedName name="_xlnm.Print_Area" localSheetId="7">'renta nacionalidades'!$C$3:$G$23</definedName>
    <definedName name="_xlnm.Print_Area" localSheetId="45">satisfacción!$C$3:$N$51</definedName>
    <definedName name="_xlnm.Print_Area" localSheetId="44">'satisfacción nacionalidad '!$C$3:$J$22</definedName>
    <definedName name="_xlnm.Print_Area" localSheetId="30">'Servi contrata origen '!$C$4:$N$52</definedName>
    <definedName name="_xlnm.Print_Area" localSheetId="22">'Tipo de alojamiento'!$B$3:$M$35</definedName>
    <definedName name="_xlnm.Print_Area" localSheetId="29">transfer!$C$3:$N$12</definedName>
    <definedName name="_xlnm.Print_Area" localSheetId="26">'uso coche '!$C$5:$N$16</definedName>
    <definedName name="_xlnm.Print_Area" localSheetId="33">'Uso de internet'!$C$4:$Q$72</definedName>
    <definedName name="_xlnm.Print_Area" localSheetId="20">'Zonas de aloja Total y País '!$C$3:$N$14</definedName>
    <definedName name="_xlnm.Print_Titles" localSheetId="13">'Evolución gasto (nacionalidad) '!$C:$C</definedName>
  </definedNames>
  <calcPr calcId="145621"/>
</workbook>
</file>

<file path=xl/calcChain.xml><?xml version="1.0" encoding="utf-8"?>
<calcChain xmlns="http://schemas.openxmlformats.org/spreadsheetml/2006/main">
  <c r="E27" i="50" l="1"/>
  <c r="E12" i="45"/>
  <c r="D12" i="45"/>
  <c r="F19" i="43"/>
  <c r="E19" i="43"/>
  <c r="N19" i="41"/>
  <c r="M19" i="41"/>
  <c r="L22" i="39"/>
  <c r="K22" i="39"/>
  <c r="J22" i="39"/>
  <c r="L21" i="39"/>
  <c r="K21" i="39"/>
  <c r="J21" i="39"/>
  <c r="L19" i="39"/>
  <c r="K19" i="39"/>
  <c r="J19" i="39"/>
  <c r="L18" i="39"/>
  <c r="K18" i="39"/>
  <c r="J18" i="39"/>
  <c r="L15" i="39"/>
  <c r="K15" i="39"/>
  <c r="J15" i="39"/>
  <c r="E153" i="28"/>
  <c r="D153" i="28"/>
  <c r="E153" i="27"/>
  <c r="D153" i="27"/>
  <c r="E153" i="26"/>
  <c r="D153" i="26"/>
  <c r="E153" i="25"/>
  <c r="D153" i="25"/>
  <c r="E153" i="24"/>
  <c r="D153" i="24"/>
  <c r="E153" i="23"/>
  <c r="D153" i="23"/>
  <c r="E153" i="21"/>
  <c r="D153" i="21"/>
  <c r="E153" i="20"/>
  <c r="D153" i="20"/>
  <c r="F21" i="19"/>
  <c r="F20" i="19"/>
  <c r="K5" i="19" l="1"/>
  <c r="J8" i="19"/>
  <c r="L5" i="19"/>
  <c r="M6" i="19"/>
  <c r="N7" i="19"/>
  <c r="K8" i="19"/>
  <c r="M5" i="19"/>
  <c r="N6" i="19"/>
  <c r="K7" i="19"/>
  <c r="L8" i="19"/>
  <c r="J10" i="19"/>
  <c r="N10" i="19"/>
  <c r="W6" i="21"/>
  <c r="T7" i="21"/>
  <c r="J5" i="19"/>
  <c r="N5" i="19"/>
  <c r="K6" i="19"/>
  <c r="L7" i="19"/>
  <c r="M8" i="19"/>
  <c r="J9" i="19"/>
  <c r="N9" i="19"/>
  <c r="K10" i="19"/>
  <c r="T6" i="21"/>
  <c r="Q7" i="21"/>
  <c r="U7" i="21"/>
  <c r="Q8" i="21"/>
  <c r="U8" i="21"/>
  <c r="Q9" i="21"/>
  <c r="U9" i="21"/>
  <c r="Q10" i="21"/>
  <c r="U10" i="21"/>
  <c r="Q11" i="21"/>
  <c r="U11" i="21"/>
  <c r="Q12" i="21"/>
  <c r="U12" i="21"/>
  <c r="Q13" i="21"/>
  <c r="U13" i="21"/>
  <c r="Q14" i="21"/>
  <c r="U14" i="21"/>
  <c r="Q15" i="21"/>
  <c r="U15" i="21"/>
  <c r="Q16" i="21"/>
  <c r="U16" i="21"/>
  <c r="S17" i="21"/>
  <c r="W17" i="21"/>
  <c r="T18" i="21"/>
  <c r="T19" i="21"/>
  <c r="T20" i="21"/>
  <c r="T21" i="21"/>
  <c r="T22" i="21"/>
  <c r="T23" i="21"/>
  <c r="I38" i="21"/>
  <c r="K9" i="19"/>
  <c r="L10" i="19"/>
  <c r="Q6" i="21"/>
  <c r="U6" i="21"/>
  <c r="R7" i="21"/>
  <c r="V7" i="21"/>
  <c r="R8" i="21"/>
  <c r="V8" i="21"/>
  <c r="R9" i="21"/>
  <c r="V9" i="21"/>
  <c r="R10" i="21"/>
  <c r="V10" i="21"/>
  <c r="R11" i="21"/>
  <c r="V11" i="21"/>
  <c r="R12" i="21"/>
  <c r="V12" i="21"/>
  <c r="R13" i="21"/>
  <c r="V13" i="21"/>
  <c r="R14" i="21"/>
  <c r="V14" i="21"/>
  <c r="R15" i="21"/>
  <c r="V15" i="21"/>
  <c r="R16" i="21"/>
  <c r="V16" i="21"/>
  <c r="T17" i="21"/>
  <c r="Q18" i="21"/>
  <c r="U18" i="21"/>
  <c r="Q19" i="21"/>
  <c r="U19" i="21"/>
  <c r="Q20" i="21"/>
  <c r="U20" i="21"/>
  <c r="Q21" i="21"/>
  <c r="U21" i="21"/>
  <c r="Q22" i="21"/>
  <c r="U22" i="21"/>
  <c r="Q23" i="21"/>
  <c r="U23" i="21"/>
  <c r="L6" i="19"/>
  <c r="N8" i="19"/>
  <c r="M10" i="19"/>
  <c r="R6" i="21"/>
  <c r="V6" i="21"/>
  <c r="P7" i="21"/>
  <c r="S7" i="21"/>
  <c r="W7" i="21"/>
  <c r="P8" i="21"/>
  <c r="S8" i="21"/>
  <c r="W8" i="21"/>
  <c r="P9" i="21"/>
  <c r="S9" i="21"/>
  <c r="W9" i="21"/>
  <c r="P10" i="21"/>
  <c r="S10" i="21"/>
  <c r="W10" i="21"/>
  <c r="P11" i="21"/>
  <c r="S11" i="21"/>
  <c r="W11" i="21"/>
  <c r="P12" i="21"/>
  <c r="S12" i="21"/>
  <c r="W12" i="21"/>
  <c r="P13" i="21"/>
  <c r="S13" i="21"/>
  <c r="W13" i="21"/>
  <c r="P14" i="21"/>
  <c r="S14" i="21"/>
  <c r="W14" i="21"/>
  <c r="P15" i="21"/>
  <c r="S15" i="21"/>
  <c r="W15" i="21"/>
  <c r="P16" i="21"/>
  <c r="S16" i="21"/>
  <c r="W16" i="21"/>
  <c r="Q17" i="21"/>
  <c r="U17" i="21"/>
  <c r="R18" i="21"/>
  <c r="V18" i="21"/>
  <c r="R19" i="21"/>
  <c r="V19" i="21"/>
  <c r="R20" i="21"/>
  <c r="V20" i="21"/>
  <c r="R21" i="21"/>
  <c r="V21" i="21"/>
  <c r="R22" i="21"/>
  <c r="V22" i="21"/>
  <c r="R23" i="21"/>
  <c r="Q24" i="21"/>
  <c r="I42" i="21"/>
  <c r="M7" i="19"/>
  <c r="J7" i="19"/>
  <c r="L9" i="19"/>
  <c r="J6" i="19"/>
  <c r="M9" i="19"/>
  <c r="S6" i="21"/>
  <c r="T8" i="21"/>
  <c r="T9" i="21"/>
  <c r="T10" i="21"/>
  <c r="T11" i="21"/>
  <c r="T12" i="21"/>
  <c r="T13" i="21"/>
  <c r="T14" i="21"/>
  <c r="T15" i="21"/>
  <c r="T16" i="21"/>
  <c r="R17" i="21"/>
  <c r="V17" i="21"/>
  <c r="P18" i="21"/>
  <c r="S18" i="21"/>
  <c r="W18" i="21"/>
  <c r="P19" i="21"/>
  <c r="S19" i="21"/>
  <c r="W19" i="21"/>
  <c r="P20" i="21"/>
  <c r="S20" i="21"/>
  <c r="W20" i="21"/>
  <c r="P21" i="21"/>
  <c r="S21" i="21"/>
  <c r="W21" i="21"/>
  <c r="P22" i="21"/>
  <c r="S22" i="21"/>
  <c r="W22" i="21"/>
  <c r="P23" i="21"/>
  <c r="S23" i="21"/>
  <c r="U24" i="21"/>
  <c r="I40" i="21"/>
  <c r="W23" i="21"/>
  <c r="P24" i="21"/>
  <c r="S24" i="21"/>
  <c r="W24" i="21"/>
  <c r="I37" i="21"/>
  <c r="I39" i="21"/>
  <c r="I41" i="21"/>
  <c r="I43" i="21"/>
  <c r="I45" i="21"/>
  <c r="I47" i="21"/>
  <c r="I49" i="21"/>
  <c r="I51" i="21"/>
  <c r="I53" i="21"/>
  <c r="I55" i="21"/>
  <c r="L5" i="23"/>
  <c r="M6" i="23"/>
  <c r="J7" i="23"/>
  <c r="N7" i="23"/>
  <c r="K8" i="23"/>
  <c r="L9" i="23"/>
  <c r="M10" i="23"/>
  <c r="J11" i="23"/>
  <c r="N11" i="23"/>
  <c r="K12" i="23"/>
  <c r="L13" i="23"/>
  <c r="L5" i="25"/>
  <c r="I6" i="25"/>
  <c r="M6" i="25"/>
  <c r="J7" i="25"/>
  <c r="K8" i="25"/>
  <c r="L9" i="25"/>
  <c r="I10" i="25"/>
  <c r="M10" i="25"/>
  <c r="J11" i="25"/>
  <c r="K17" i="25"/>
  <c r="L18" i="25"/>
  <c r="I19" i="25"/>
  <c r="M19" i="25"/>
  <c r="J20" i="25"/>
  <c r="K21" i="25"/>
  <c r="L22" i="25"/>
  <c r="I23" i="25"/>
  <c r="M23" i="25"/>
  <c r="J24" i="25"/>
  <c r="K25" i="25"/>
  <c r="L26" i="25"/>
  <c r="I27" i="25"/>
  <c r="M27" i="25"/>
  <c r="J28" i="25"/>
  <c r="K29" i="25"/>
  <c r="L30" i="25"/>
  <c r="K31" i="25"/>
  <c r="J32" i="25"/>
  <c r="L5" i="27"/>
  <c r="M6" i="27"/>
  <c r="J7" i="27"/>
  <c r="N7" i="27"/>
  <c r="K8" i="27"/>
  <c r="L9" i="27"/>
  <c r="M10" i="27"/>
  <c r="J11" i="27"/>
  <c r="N11" i="27"/>
  <c r="K12" i="27"/>
  <c r="L13" i="27"/>
  <c r="M14" i="27"/>
  <c r="J15" i="27"/>
  <c r="N15" i="27"/>
  <c r="K16" i="27"/>
  <c r="L17" i="27"/>
  <c r="M18" i="27"/>
  <c r="J19" i="27"/>
  <c r="N19" i="27"/>
  <c r="K20" i="27"/>
  <c r="M21" i="27"/>
  <c r="K22" i="27"/>
  <c r="M23" i="27"/>
  <c r="L8" i="29"/>
  <c r="G7" i="29"/>
  <c r="M9" i="29"/>
  <c r="J10" i="29"/>
  <c r="N10" i="29"/>
  <c r="K11" i="29"/>
  <c r="L12" i="29"/>
  <c r="M13" i="29"/>
  <c r="J14" i="29"/>
  <c r="N14" i="29"/>
  <c r="K15" i="29"/>
  <c r="L5" i="30"/>
  <c r="M6" i="30"/>
  <c r="J7" i="30"/>
  <c r="J8" i="30"/>
  <c r="T24" i="21"/>
  <c r="H38" i="21"/>
  <c r="H40" i="21"/>
  <c r="H42" i="21"/>
  <c r="H44" i="21"/>
  <c r="H46" i="21"/>
  <c r="H48" i="21"/>
  <c r="H50" i="21"/>
  <c r="H52" i="21"/>
  <c r="H54" i="21"/>
  <c r="M5" i="23"/>
  <c r="J6" i="23"/>
  <c r="N6" i="23"/>
  <c r="K7" i="23"/>
  <c r="L8" i="23"/>
  <c r="M9" i="23"/>
  <c r="J10" i="23"/>
  <c r="N10" i="23"/>
  <c r="K11" i="23"/>
  <c r="L12" i="23"/>
  <c r="M13" i="23"/>
  <c r="I5" i="25"/>
  <c r="M5" i="25"/>
  <c r="J6" i="25"/>
  <c r="K7" i="25"/>
  <c r="L8" i="25"/>
  <c r="I9" i="25"/>
  <c r="M9" i="25"/>
  <c r="J10" i="25"/>
  <c r="K11" i="25"/>
  <c r="L17" i="25"/>
  <c r="I18" i="25"/>
  <c r="M18" i="25"/>
  <c r="J19" i="25"/>
  <c r="K20" i="25"/>
  <c r="L21" i="25"/>
  <c r="I22" i="25"/>
  <c r="M22" i="25"/>
  <c r="J23" i="25"/>
  <c r="K24" i="25"/>
  <c r="L25" i="25"/>
  <c r="I26" i="25"/>
  <c r="M26" i="25"/>
  <c r="J27" i="25"/>
  <c r="K28" i="25"/>
  <c r="L29" i="25"/>
  <c r="M30" i="25"/>
  <c r="L31" i="25"/>
  <c r="K32" i="25"/>
  <c r="M5" i="27"/>
  <c r="J6" i="27"/>
  <c r="N6" i="27"/>
  <c r="K7" i="27"/>
  <c r="L8" i="27"/>
  <c r="M9" i="27"/>
  <c r="J10" i="27"/>
  <c r="N10" i="27"/>
  <c r="K11" i="27"/>
  <c r="L12" i="27"/>
  <c r="M13" i="27"/>
  <c r="J14" i="27"/>
  <c r="N14" i="27"/>
  <c r="K15" i="27"/>
  <c r="L16" i="27"/>
  <c r="M17" i="27"/>
  <c r="J18" i="27"/>
  <c r="N18" i="27"/>
  <c r="K19" i="27"/>
  <c r="L20" i="27"/>
  <c r="N21" i="27"/>
  <c r="L22" i="27"/>
  <c r="N23" i="27"/>
  <c r="D7" i="29"/>
  <c r="M8" i="29"/>
  <c r="H7" i="29"/>
  <c r="M7" i="29" s="1"/>
  <c r="J9" i="29"/>
  <c r="N9" i="29"/>
  <c r="K10" i="29"/>
  <c r="L11" i="29"/>
  <c r="M12" i="29"/>
  <c r="J13" i="29"/>
  <c r="N13" i="29"/>
  <c r="K14" i="29"/>
  <c r="L15" i="29"/>
  <c r="M5" i="30"/>
  <c r="J6" i="30"/>
  <c r="N6" i="30"/>
  <c r="K7" i="30"/>
  <c r="L8" i="30"/>
  <c r="I44" i="21"/>
  <c r="I46" i="21"/>
  <c r="I48" i="21"/>
  <c r="I50" i="21"/>
  <c r="I52" i="21"/>
  <c r="I54" i="21"/>
  <c r="J5" i="23"/>
  <c r="N5" i="23"/>
  <c r="K6" i="23"/>
  <c r="L7" i="23"/>
  <c r="M8" i="23"/>
  <c r="J9" i="23"/>
  <c r="N9" i="23"/>
  <c r="K10" i="23"/>
  <c r="L11" i="23"/>
  <c r="M12" i="23"/>
  <c r="J13" i="23"/>
  <c r="N13" i="23"/>
  <c r="J5" i="25"/>
  <c r="K6" i="25"/>
  <c r="L7" i="25"/>
  <c r="I8" i="25"/>
  <c r="M8" i="25"/>
  <c r="J9" i="25"/>
  <c r="K10" i="25"/>
  <c r="L11" i="25"/>
  <c r="I17" i="25"/>
  <c r="M17" i="25"/>
  <c r="J18" i="25"/>
  <c r="K19" i="25"/>
  <c r="L20" i="25"/>
  <c r="I21" i="25"/>
  <c r="M21" i="25"/>
  <c r="J22" i="25"/>
  <c r="K23" i="25"/>
  <c r="L24" i="25"/>
  <c r="I25" i="25"/>
  <c r="M25" i="25"/>
  <c r="J26" i="25"/>
  <c r="K27" i="25"/>
  <c r="L28" i="25"/>
  <c r="I29" i="25"/>
  <c r="M29" i="25"/>
  <c r="M31" i="25"/>
  <c r="L32" i="25"/>
  <c r="J5" i="27"/>
  <c r="N5" i="27"/>
  <c r="K6" i="27"/>
  <c r="L7" i="27"/>
  <c r="M8" i="27"/>
  <c r="J9" i="27"/>
  <c r="N9" i="27"/>
  <c r="K10" i="27"/>
  <c r="L11" i="27"/>
  <c r="M12" i="27"/>
  <c r="J13" i="27"/>
  <c r="N13" i="27"/>
  <c r="K14" i="27"/>
  <c r="L15" i="27"/>
  <c r="M16" i="27"/>
  <c r="J17" i="27"/>
  <c r="N17" i="27"/>
  <c r="K18" i="27"/>
  <c r="L19" i="27"/>
  <c r="M20" i="27"/>
  <c r="K21" i="27"/>
  <c r="M22" i="27"/>
  <c r="K23" i="27"/>
  <c r="J8" i="29"/>
  <c r="E7" i="29"/>
  <c r="J7" i="29" s="1"/>
  <c r="N8" i="29"/>
  <c r="I7" i="29"/>
  <c r="N7" i="29" s="1"/>
  <c r="K9" i="29"/>
  <c r="L10" i="29"/>
  <c r="M11" i="29"/>
  <c r="J12" i="29"/>
  <c r="N12" i="29"/>
  <c r="K13" i="29"/>
  <c r="L14" i="29"/>
  <c r="M15" i="29"/>
  <c r="J5" i="30"/>
  <c r="N5" i="30"/>
  <c r="K6" i="30"/>
  <c r="L7" i="30"/>
  <c r="N8" i="30"/>
  <c r="V23" i="21"/>
  <c r="R24" i="21"/>
  <c r="V24" i="21"/>
  <c r="H37" i="21"/>
  <c r="H39" i="21"/>
  <c r="H41" i="21"/>
  <c r="H43" i="21"/>
  <c r="H45" i="21"/>
  <c r="H47" i="21"/>
  <c r="H49" i="21"/>
  <c r="H51" i="21"/>
  <c r="H53" i="21"/>
  <c r="H55" i="21"/>
  <c r="K5" i="23"/>
  <c r="L6" i="23"/>
  <c r="M7" i="23"/>
  <c r="J8" i="23"/>
  <c r="N8" i="23"/>
  <c r="K9" i="23"/>
  <c r="L10" i="23"/>
  <c r="M11" i="23"/>
  <c r="J12" i="23"/>
  <c r="N12" i="23"/>
  <c r="K13" i="23"/>
  <c r="K5" i="25"/>
  <c r="L6" i="25"/>
  <c r="I7" i="25"/>
  <c r="M7" i="25"/>
  <c r="J8" i="25"/>
  <c r="K9" i="25"/>
  <c r="L10" i="25"/>
  <c r="I11" i="25"/>
  <c r="M11" i="25"/>
  <c r="J17" i="25"/>
  <c r="K18" i="25"/>
  <c r="L19" i="25"/>
  <c r="I20" i="25"/>
  <c r="M20" i="25"/>
  <c r="J21" i="25"/>
  <c r="K22" i="25"/>
  <c r="L23" i="25"/>
  <c r="I24" i="25"/>
  <c r="M24" i="25"/>
  <c r="J25" i="25"/>
  <c r="K26" i="25"/>
  <c r="L27" i="25"/>
  <c r="I28" i="25"/>
  <c r="M28" i="25"/>
  <c r="J29" i="25"/>
  <c r="K30" i="25"/>
  <c r="I32" i="25"/>
  <c r="M32" i="25"/>
  <c r="K5" i="27"/>
  <c r="L6" i="27"/>
  <c r="M7" i="27"/>
  <c r="J8" i="27"/>
  <c r="N8" i="27"/>
  <c r="K9" i="27"/>
  <c r="L10" i="27"/>
  <c r="M11" i="27"/>
  <c r="J12" i="27"/>
  <c r="N12" i="27"/>
  <c r="K13" i="27"/>
  <c r="L14" i="27"/>
  <c r="M15" i="27"/>
  <c r="J16" i="27"/>
  <c r="N16" i="27"/>
  <c r="K17" i="27"/>
  <c r="L18" i="27"/>
  <c r="M19" i="27"/>
  <c r="J20" i="27"/>
  <c r="N20" i="27"/>
  <c r="L21" i="27"/>
  <c r="J22" i="27"/>
  <c r="N22" i="27"/>
  <c r="L23" i="27"/>
  <c r="K8" i="29"/>
  <c r="F7" i="29"/>
  <c r="K7" i="29" s="1"/>
  <c r="L9" i="29"/>
  <c r="M10" i="29"/>
  <c r="J11" i="29"/>
  <c r="N11" i="29"/>
  <c r="K12" i="29"/>
  <c r="L13" i="29"/>
  <c r="M14" i="29"/>
  <c r="J15" i="29"/>
  <c r="N15" i="29"/>
  <c r="K5" i="30"/>
  <c r="L6" i="30"/>
  <c r="M7" i="30"/>
  <c r="M8" i="30"/>
  <c r="K5" i="32"/>
  <c r="L6" i="32"/>
  <c r="M7" i="32"/>
  <c r="J8" i="32"/>
  <c r="N8" i="32"/>
  <c r="K9" i="32"/>
  <c r="L10" i="32"/>
  <c r="M11" i="32"/>
  <c r="J12" i="32"/>
  <c r="N12" i="32"/>
  <c r="K13" i="32"/>
  <c r="L14" i="32"/>
  <c r="M15" i="32"/>
  <c r="J16" i="32"/>
  <c r="N16" i="32"/>
  <c r="K17" i="32"/>
  <c r="L18" i="32"/>
  <c r="N19" i="32"/>
  <c r="L20" i="32"/>
  <c r="M21" i="32"/>
  <c r="K22" i="32"/>
  <c r="N77" i="32"/>
  <c r="L78" i="32"/>
  <c r="M79" i="32"/>
  <c r="K80" i="32"/>
  <c r="M81" i="32"/>
  <c r="J82" i="32"/>
  <c r="N82" i="32"/>
  <c r="K83" i="32"/>
  <c r="L84" i="32"/>
  <c r="M85" i="32"/>
  <c r="J86" i="32"/>
  <c r="N86" i="32"/>
  <c r="K87" i="32"/>
  <c r="L88" i="32"/>
  <c r="M89" i="32"/>
  <c r="J90" i="32"/>
  <c r="N90" i="32"/>
  <c r="K91" i="32"/>
  <c r="L92" i="32"/>
  <c r="J93" i="32"/>
  <c r="J94" i="32"/>
  <c r="N6" i="33"/>
  <c r="N7" i="33"/>
  <c r="M9" i="33"/>
  <c r="M10" i="33"/>
  <c r="L11" i="33"/>
  <c r="L6" i="34"/>
  <c r="L7" i="34"/>
  <c r="K8" i="34"/>
  <c r="K9" i="34"/>
  <c r="K10" i="34"/>
  <c r="J11" i="34"/>
  <c r="J12" i="34"/>
  <c r="L5" i="32"/>
  <c r="M6" i="32"/>
  <c r="J7" i="32"/>
  <c r="N7" i="32"/>
  <c r="K8" i="32"/>
  <c r="L9" i="32"/>
  <c r="M10" i="32"/>
  <c r="J11" i="32"/>
  <c r="N11" i="32"/>
  <c r="K12" i="32"/>
  <c r="L13" i="32"/>
  <c r="M14" i="32"/>
  <c r="J15" i="32"/>
  <c r="N15" i="32"/>
  <c r="K16" i="32"/>
  <c r="L17" i="32"/>
  <c r="M18" i="32"/>
  <c r="K19" i="32"/>
  <c r="M20" i="32"/>
  <c r="J21" i="32"/>
  <c r="N21" i="32"/>
  <c r="L22" i="32"/>
  <c r="K77" i="32"/>
  <c r="M78" i="32"/>
  <c r="J79" i="32"/>
  <c r="N79" i="32"/>
  <c r="L80" i="32"/>
  <c r="J81" i="32"/>
  <c r="N81" i="32"/>
  <c r="K82" i="32"/>
  <c r="L83" i="32"/>
  <c r="M84" i="32"/>
  <c r="J85" i="32"/>
  <c r="N85" i="32"/>
  <c r="K86" i="32"/>
  <c r="L87" i="32"/>
  <c r="M88" i="32"/>
  <c r="J89" i="32"/>
  <c r="N89" i="32"/>
  <c r="K90" i="32"/>
  <c r="L91" i="32"/>
  <c r="M92" i="32"/>
  <c r="K93" i="32"/>
  <c r="K94" i="32"/>
  <c r="K5" i="33"/>
  <c r="J6" i="33"/>
  <c r="J7" i="33"/>
  <c r="M8" i="33"/>
  <c r="N9" i="33"/>
  <c r="N10" i="33"/>
  <c r="N11" i="33"/>
  <c r="M6" i="34"/>
  <c r="M7" i="34"/>
  <c r="M8" i="34"/>
  <c r="L9" i="34"/>
  <c r="L10" i="34"/>
  <c r="L11" i="34"/>
  <c r="K12" i="34"/>
  <c r="N7" i="30"/>
  <c r="K8" i="30"/>
  <c r="M5" i="32"/>
  <c r="J6" i="32"/>
  <c r="N6" i="32"/>
  <c r="K7" i="32"/>
  <c r="L8" i="32"/>
  <c r="M9" i="32"/>
  <c r="J10" i="32"/>
  <c r="N10" i="32"/>
  <c r="K11" i="32"/>
  <c r="L12" i="32"/>
  <c r="M13" i="32"/>
  <c r="J14" i="32"/>
  <c r="N14" i="32"/>
  <c r="K15" i="32"/>
  <c r="L16" i="32"/>
  <c r="M17" i="32"/>
  <c r="J18" i="32"/>
  <c r="N18" i="32"/>
  <c r="L19" i="32"/>
  <c r="J20" i="32"/>
  <c r="N20" i="32"/>
  <c r="K21" i="32"/>
  <c r="M22" i="32"/>
  <c r="L77" i="32"/>
  <c r="J78" i="32"/>
  <c r="N78" i="32"/>
  <c r="K79" i="32"/>
  <c r="M80" i="32"/>
  <c r="K81" i="32"/>
  <c r="L82" i="32"/>
  <c r="M83" i="32"/>
  <c r="J84" i="32"/>
  <c r="N84" i="32"/>
  <c r="K85" i="32"/>
  <c r="L86" i="32"/>
  <c r="M87" i="32"/>
  <c r="J88" i="32"/>
  <c r="N88" i="32"/>
  <c r="K89" i="32"/>
  <c r="L90" i="32"/>
  <c r="M91" i="32"/>
  <c r="J92" i="32"/>
  <c r="N92" i="32"/>
  <c r="M93" i="32"/>
  <c r="L94" i="32"/>
  <c r="L5" i="33"/>
  <c r="L6" i="33"/>
  <c r="K7" i="33"/>
  <c r="N8" i="33"/>
  <c r="J9" i="33"/>
  <c r="J10" i="33"/>
  <c r="J11" i="33"/>
  <c r="N7" i="34"/>
  <c r="N8" i="34"/>
  <c r="N9" i="34"/>
  <c r="M10" i="34"/>
  <c r="M11" i="34"/>
  <c r="M12" i="34"/>
  <c r="J5" i="32"/>
  <c r="N5" i="32"/>
  <c r="K6" i="32"/>
  <c r="L7" i="32"/>
  <c r="M8" i="32"/>
  <c r="J9" i="32"/>
  <c r="N9" i="32"/>
  <c r="K10" i="32"/>
  <c r="L11" i="32"/>
  <c r="M12" i="32"/>
  <c r="J13" i="32"/>
  <c r="N13" i="32"/>
  <c r="K14" i="32"/>
  <c r="L15" i="32"/>
  <c r="M16" i="32"/>
  <c r="J17" i="32"/>
  <c r="N17" i="32"/>
  <c r="K18" i="32"/>
  <c r="M19" i="32"/>
  <c r="K20" i="32"/>
  <c r="L21" i="32"/>
  <c r="N22" i="32"/>
  <c r="M77" i="32"/>
  <c r="K78" i="32"/>
  <c r="L79" i="32"/>
  <c r="N80" i="32"/>
  <c r="L81" i="32"/>
  <c r="M82" i="32"/>
  <c r="J83" i="32"/>
  <c r="N83" i="32"/>
  <c r="K84" i="32"/>
  <c r="L85" i="32"/>
  <c r="M86" i="32"/>
  <c r="J87" i="32"/>
  <c r="N87" i="32"/>
  <c r="K88" i="32"/>
  <c r="L89" i="32"/>
  <c r="M90" i="32"/>
  <c r="J91" i="32"/>
  <c r="N91" i="32"/>
  <c r="K92" i="32"/>
  <c r="N93" i="32"/>
  <c r="N94" i="32"/>
  <c r="M5" i="33"/>
  <c r="M6" i="33"/>
  <c r="M7" i="33"/>
  <c r="L9" i="33"/>
  <c r="K10" i="33"/>
  <c r="K11" i="33"/>
  <c r="K6" i="34"/>
  <c r="J7" i="34"/>
  <c r="J8" i="34"/>
  <c r="J9" i="34"/>
  <c r="N11" i="34"/>
  <c r="N12" i="34"/>
  <c r="L93" i="32"/>
  <c r="M94" i="32"/>
  <c r="J5" i="33"/>
  <c r="N5" i="33"/>
  <c r="K6" i="33"/>
  <c r="L7" i="33"/>
  <c r="L8" i="33"/>
  <c r="K9" i="33"/>
  <c r="L10" i="33"/>
  <c r="M11" i="33"/>
  <c r="J6" i="34"/>
  <c r="N6" i="34"/>
  <c r="K7" i="34"/>
  <c r="L8" i="34"/>
  <c r="M9" i="34"/>
  <c r="J10" i="34"/>
  <c r="N10" i="34"/>
  <c r="K11" i="34"/>
  <c r="L12" i="34"/>
  <c r="M14" i="34"/>
  <c r="J15" i="34"/>
  <c r="N15" i="34"/>
  <c r="K16" i="34"/>
  <c r="L17" i="34"/>
  <c r="M18" i="34"/>
  <c r="J19" i="34"/>
  <c r="N19" i="34"/>
  <c r="K20" i="34"/>
  <c r="L5" i="35"/>
  <c r="M6" i="35"/>
  <c r="J7" i="35"/>
  <c r="N7" i="35"/>
  <c r="K8" i="35"/>
  <c r="L9" i="35"/>
  <c r="M10" i="35"/>
  <c r="J11" i="35"/>
  <c r="N11" i="35"/>
  <c r="K12" i="35"/>
  <c r="L13" i="35"/>
  <c r="J14" i="35"/>
  <c r="N14" i="35"/>
  <c r="K15" i="35"/>
  <c r="L16" i="35"/>
  <c r="M17" i="35"/>
  <c r="J18" i="35"/>
  <c r="N18" i="35"/>
  <c r="K19" i="35"/>
  <c r="L20" i="35"/>
  <c r="M21" i="35"/>
  <c r="J22" i="35"/>
  <c r="N22" i="35"/>
  <c r="L23" i="35"/>
  <c r="O6" i="37"/>
  <c r="L7" i="37"/>
  <c r="P7" i="37"/>
  <c r="H10" i="37"/>
  <c r="M8" i="37"/>
  <c r="N9" i="37"/>
  <c r="L11" i="37"/>
  <c r="P11" i="37"/>
  <c r="M12" i="37"/>
  <c r="L5" i="38"/>
  <c r="M6" i="38"/>
  <c r="J7" i="38"/>
  <c r="N7" i="38"/>
  <c r="K8" i="38"/>
  <c r="L9" i="38"/>
  <c r="M10" i="38"/>
  <c r="J11" i="38"/>
  <c r="N11" i="38"/>
  <c r="L12" i="38"/>
  <c r="M13" i="38"/>
  <c r="J14" i="38"/>
  <c r="N14" i="38"/>
  <c r="K15" i="38"/>
  <c r="L16" i="38"/>
  <c r="M17" i="38"/>
  <c r="J18" i="38"/>
  <c r="N18" i="38"/>
  <c r="K19" i="38"/>
  <c r="M20" i="38"/>
  <c r="J21" i="38"/>
  <c r="N21" i="38"/>
  <c r="K22" i="38"/>
  <c r="L23" i="38"/>
  <c r="M30" i="38"/>
  <c r="J31" i="38"/>
  <c r="N32" i="38"/>
  <c r="N33" i="38"/>
  <c r="N34" i="38"/>
  <c r="M35" i="38"/>
  <c r="M36" i="38"/>
  <c r="M37" i="38"/>
  <c r="L38" i="38"/>
  <c r="L39" i="38"/>
  <c r="L40" i="38"/>
  <c r="K41" i="38"/>
  <c r="K42" i="38"/>
  <c r="K43" i="38"/>
  <c r="J44" i="38"/>
  <c r="J45" i="38"/>
  <c r="J46" i="38"/>
  <c r="N48" i="38"/>
  <c r="N5" i="39"/>
  <c r="N6" i="39"/>
  <c r="M7" i="39"/>
  <c r="M8" i="39"/>
  <c r="M9" i="39"/>
  <c r="L10" i="39"/>
  <c r="L11" i="39"/>
  <c r="L12" i="39"/>
  <c r="K13" i="39"/>
  <c r="K14" i="39"/>
  <c r="J16" i="39"/>
  <c r="J14" i="34"/>
  <c r="N14" i="34"/>
  <c r="K15" i="34"/>
  <c r="L16" i="34"/>
  <c r="M17" i="34"/>
  <c r="J18" i="34"/>
  <c r="N18" i="34"/>
  <c r="K19" i="34"/>
  <c r="L20" i="34"/>
  <c r="M5" i="35"/>
  <c r="J6" i="35"/>
  <c r="N6" i="35"/>
  <c r="K7" i="35"/>
  <c r="L8" i="35"/>
  <c r="M9" i="35"/>
  <c r="J10" i="35"/>
  <c r="N10" i="35"/>
  <c r="K11" i="35"/>
  <c r="L12" i="35"/>
  <c r="M13" i="35"/>
  <c r="K14" i="35"/>
  <c r="L15" i="35"/>
  <c r="M16" i="35"/>
  <c r="J17" i="35"/>
  <c r="N17" i="35"/>
  <c r="K18" i="35"/>
  <c r="L19" i="35"/>
  <c r="M20" i="35"/>
  <c r="J21" i="35"/>
  <c r="N21" i="35"/>
  <c r="K22" i="35"/>
  <c r="M23" i="35"/>
  <c r="L6" i="37"/>
  <c r="P6" i="37"/>
  <c r="M7" i="37"/>
  <c r="I10" i="37"/>
  <c r="N8" i="37"/>
  <c r="O9" i="37"/>
  <c r="M11" i="37"/>
  <c r="N12" i="37"/>
  <c r="M5" i="38"/>
  <c r="J6" i="38"/>
  <c r="N6" i="38"/>
  <c r="K7" i="38"/>
  <c r="L8" i="38"/>
  <c r="M9" i="38"/>
  <c r="J10" i="38"/>
  <c r="N10" i="38"/>
  <c r="K11" i="38"/>
  <c r="M12" i="38"/>
  <c r="J13" i="38"/>
  <c r="N13" i="38"/>
  <c r="K14" i="38"/>
  <c r="L15" i="38"/>
  <c r="M16" i="38"/>
  <c r="J17" i="38"/>
  <c r="N17" i="38"/>
  <c r="K18" i="38"/>
  <c r="L19" i="38"/>
  <c r="J20" i="38"/>
  <c r="N20" i="38"/>
  <c r="K21" i="38"/>
  <c r="L22" i="38"/>
  <c r="M23" i="38"/>
  <c r="J30" i="38"/>
  <c r="N30" i="38"/>
  <c r="K31" i="38"/>
  <c r="J32" i="38"/>
  <c r="J33" i="38"/>
  <c r="J34" i="38"/>
  <c r="N36" i="38"/>
  <c r="N37" i="38"/>
  <c r="N38" i="38"/>
  <c r="M39" i="38"/>
  <c r="M40" i="38"/>
  <c r="M41" i="38"/>
  <c r="L42" i="38"/>
  <c r="L43" i="38"/>
  <c r="L44" i="38"/>
  <c r="K45" i="38"/>
  <c r="K46" i="38"/>
  <c r="K47" i="38"/>
  <c r="J48" i="38"/>
  <c r="J5" i="39"/>
  <c r="J6" i="39"/>
  <c r="N8" i="39"/>
  <c r="N9" i="39"/>
  <c r="N10" i="39"/>
  <c r="M11" i="39"/>
  <c r="M12" i="39"/>
  <c r="M13" i="39"/>
  <c r="L14" i="39"/>
  <c r="M16" i="39"/>
  <c r="J17" i="39"/>
  <c r="K14" i="34"/>
  <c r="L15" i="34"/>
  <c r="M16" i="34"/>
  <c r="J17" i="34"/>
  <c r="N17" i="34"/>
  <c r="K18" i="34"/>
  <c r="L19" i="34"/>
  <c r="M20" i="34"/>
  <c r="J5" i="35"/>
  <c r="N5" i="35"/>
  <c r="K6" i="35"/>
  <c r="L7" i="35"/>
  <c r="M8" i="35"/>
  <c r="J9" i="35"/>
  <c r="N9" i="35"/>
  <c r="K10" i="35"/>
  <c r="L11" i="35"/>
  <c r="M12" i="35"/>
  <c r="J13" i="35"/>
  <c r="N13" i="35"/>
  <c r="L14" i="35"/>
  <c r="M15" i="35"/>
  <c r="J16" i="35"/>
  <c r="N16" i="35"/>
  <c r="K17" i="35"/>
  <c r="L18" i="35"/>
  <c r="M19" i="35"/>
  <c r="J20" i="35"/>
  <c r="N20" i="35"/>
  <c r="K21" i="35"/>
  <c r="L22" i="35"/>
  <c r="J23" i="35"/>
  <c r="N23" i="35"/>
  <c r="M6" i="37"/>
  <c r="N7" i="37"/>
  <c r="F10" i="37"/>
  <c r="O8" i="37"/>
  <c r="J10" i="37"/>
  <c r="O10" i="37" s="1"/>
  <c r="L9" i="37"/>
  <c r="P9" i="37"/>
  <c r="N11" i="37"/>
  <c r="O12" i="37"/>
  <c r="J5" i="38"/>
  <c r="N5" i="38"/>
  <c r="K6" i="38"/>
  <c r="L7" i="38"/>
  <c r="M8" i="38"/>
  <c r="J9" i="38"/>
  <c r="N9" i="38"/>
  <c r="K10" i="38"/>
  <c r="L11" i="38"/>
  <c r="J12" i="38"/>
  <c r="N12" i="38"/>
  <c r="K13" i="38"/>
  <c r="L14" i="38"/>
  <c r="M15" i="38"/>
  <c r="J16" i="38"/>
  <c r="N16" i="38"/>
  <c r="K17" i="38"/>
  <c r="L18" i="38"/>
  <c r="M19" i="38"/>
  <c r="K20" i="38"/>
  <c r="L21" i="38"/>
  <c r="M22" i="38"/>
  <c r="J23" i="38"/>
  <c r="N23" i="38"/>
  <c r="K30" i="38"/>
  <c r="L31" i="38"/>
  <c r="L32" i="38"/>
  <c r="K33" i="38"/>
  <c r="K34" i="38"/>
  <c r="K35" i="38"/>
  <c r="J36" i="38"/>
  <c r="J37" i="38"/>
  <c r="J38" i="38"/>
  <c r="N40" i="38"/>
  <c r="N41" i="38"/>
  <c r="N42" i="38"/>
  <c r="M43" i="38"/>
  <c r="M44" i="38"/>
  <c r="M45" i="38"/>
  <c r="L46" i="38"/>
  <c r="L47" i="38"/>
  <c r="L48" i="38"/>
  <c r="K5" i="39"/>
  <c r="K6" i="39"/>
  <c r="K7" i="39"/>
  <c r="J8" i="39"/>
  <c r="J9" i="39"/>
  <c r="J10" i="39"/>
  <c r="N12" i="39"/>
  <c r="N13" i="39"/>
  <c r="N14" i="39"/>
  <c r="N16" i="39"/>
  <c r="K17" i="39"/>
  <c r="L14" i="34"/>
  <c r="M15" i="34"/>
  <c r="J16" i="34"/>
  <c r="N16" i="34"/>
  <c r="K17" i="34"/>
  <c r="L18" i="34"/>
  <c r="M19" i="34"/>
  <c r="J20" i="34"/>
  <c r="N20" i="34"/>
  <c r="K5" i="35"/>
  <c r="L6" i="35"/>
  <c r="M7" i="35"/>
  <c r="J8" i="35"/>
  <c r="N8" i="35"/>
  <c r="K9" i="35"/>
  <c r="L10" i="35"/>
  <c r="M11" i="35"/>
  <c r="J12" i="35"/>
  <c r="N12" i="35"/>
  <c r="K13" i="35"/>
  <c r="M14" i="35"/>
  <c r="J15" i="35"/>
  <c r="N15" i="35"/>
  <c r="K16" i="35"/>
  <c r="L17" i="35"/>
  <c r="M18" i="35"/>
  <c r="J19" i="35"/>
  <c r="N19" i="35"/>
  <c r="K20" i="35"/>
  <c r="L21" i="35"/>
  <c r="M22" i="35"/>
  <c r="K23" i="35"/>
  <c r="N6" i="37"/>
  <c r="O7" i="37"/>
  <c r="G10" i="37"/>
  <c r="L8" i="37"/>
  <c r="K10" i="37"/>
  <c r="P8" i="37"/>
  <c r="M9" i="37"/>
  <c r="O11" i="37"/>
  <c r="L12" i="37"/>
  <c r="P12" i="37"/>
  <c r="K5" i="38"/>
  <c r="L6" i="38"/>
  <c r="M7" i="38"/>
  <c r="J8" i="38"/>
  <c r="N8" i="38"/>
  <c r="K9" i="38"/>
  <c r="L10" i="38"/>
  <c r="M11" i="38"/>
  <c r="K12" i="38"/>
  <c r="L13" i="38"/>
  <c r="M14" i="38"/>
  <c r="J15" i="38"/>
  <c r="N15" i="38"/>
  <c r="K16" i="38"/>
  <c r="L17" i="38"/>
  <c r="M18" i="38"/>
  <c r="J19" i="38"/>
  <c r="N19" i="38"/>
  <c r="L20" i="38"/>
  <c r="M21" i="38"/>
  <c r="J22" i="38"/>
  <c r="N22" i="38"/>
  <c r="K23" i="38"/>
  <c r="L30" i="38"/>
  <c r="M31" i="38"/>
  <c r="M32" i="38"/>
  <c r="M33" i="38"/>
  <c r="L34" i="38"/>
  <c r="L35" i="38"/>
  <c r="L36" i="38"/>
  <c r="K37" i="38"/>
  <c r="K38" i="38"/>
  <c r="K39" i="38"/>
  <c r="J40" i="38"/>
  <c r="J41" i="38"/>
  <c r="J42" i="38"/>
  <c r="N44" i="38"/>
  <c r="N45" i="38"/>
  <c r="N46" i="38"/>
  <c r="M47" i="38"/>
  <c r="M48" i="38"/>
  <c r="M5" i="39"/>
  <c r="L6" i="39"/>
  <c r="L7" i="39"/>
  <c r="L8" i="39"/>
  <c r="K9" i="39"/>
  <c r="K10" i="39"/>
  <c r="K11" i="39"/>
  <c r="J12" i="39"/>
  <c r="J13" i="39"/>
  <c r="J14" i="39"/>
  <c r="M15" i="39"/>
  <c r="N17" i="39"/>
  <c r="M19" i="39"/>
  <c r="N31" i="38"/>
  <c r="K32" i="38"/>
  <c r="L33" i="38"/>
  <c r="M34" i="38"/>
  <c r="J35" i="38"/>
  <c r="N35" i="38"/>
  <c r="K36" i="38"/>
  <c r="L37" i="38"/>
  <c r="M38" i="38"/>
  <c r="J39" i="38"/>
  <c r="N39" i="38"/>
  <c r="K40" i="38"/>
  <c r="L41" i="38"/>
  <c r="M42" i="38"/>
  <c r="J43" i="38"/>
  <c r="N43" i="38"/>
  <c r="K44" i="38"/>
  <c r="L45" i="38"/>
  <c r="M46" i="38"/>
  <c r="J47" i="38"/>
  <c r="N47" i="38"/>
  <c r="K48" i="38"/>
  <c r="L5" i="39"/>
  <c r="M6" i="39"/>
  <c r="J7" i="39"/>
  <c r="N7" i="39"/>
  <c r="K8" i="39"/>
  <c r="L9" i="39"/>
  <c r="M10" i="39"/>
  <c r="J11" i="39"/>
  <c r="N11" i="39"/>
  <c r="K12" i="39"/>
  <c r="L13" i="39"/>
  <c r="M14" i="39"/>
  <c r="N15" i="39"/>
  <c r="K16" i="39"/>
  <c r="L17" i="39"/>
  <c r="M18" i="39"/>
  <c r="N19" i="39"/>
  <c r="K20" i="39"/>
  <c r="M22" i="39"/>
  <c r="N23" i="39"/>
  <c r="L24" i="39"/>
  <c r="M25" i="39"/>
  <c r="J5" i="40"/>
  <c r="N5" i="40"/>
  <c r="K6" i="40"/>
  <c r="L7" i="40"/>
  <c r="M8" i="40"/>
  <c r="K9" i="40"/>
  <c r="L10" i="40"/>
  <c r="M11" i="40"/>
  <c r="J12" i="40"/>
  <c r="N12" i="40"/>
  <c r="K13" i="40"/>
  <c r="L14" i="40"/>
  <c r="M15" i="40"/>
  <c r="J16" i="40"/>
  <c r="N16" i="40"/>
  <c r="K17" i="40"/>
  <c r="M18" i="40"/>
  <c r="J19" i="40"/>
  <c r="N19" i="40"/>
  <c r="K20" i="40"/>
  <c r="L21" i="40"/>
  <c r="M22" i="40"/>
  <c r="J23" i="40"/>
  <c r="N23" i="40"/>
  <c r="N6" i="41"/>
  <c r="M7" i="41"/>
  <c r="M8" i="41"/>
  <c r="M9" i="41"/>
  <c r="L10" i="41"/>
  <c r="L11" i="41"/>
  <c r="L12" i="41"/>
  <c r="K13" i="41"/>
  <c r="K14" i="41"/>
  <c r="K15" i="41"/>
  <c r="J16" i="41"/>
  <c r="J17" i="41"/>
  <c r="J18" i="41"/>
  <c r="G5" i="41"/>
  <c r="L20" i="41"/>
  <c r="K21" i="41"/>
  <c r="F23" i="43"/>
  <c r="F9" i="42"/>
  <c r="F11" i="42"/>
  <c r="F25" i="43"/>
  <c r="E26" i="43"/>
  <c r="F18" i="42"/>
  <c r="E35" i="43"/>
  <c r="E34" i="43"/>
  <c r="F25" i="42"/>
  <c r="F36" i="43"/>
  <c r="F27" i="42"/>
  <c r="E37" i="43"/>
  <c r="F41" i="43"/>
  <c r="F34" i="42"/>
  <c r="E40" i="43"/>
  <c r="E43" i="43"/>
  <c r="F43" i="42"/>
  <c r="E45" i="43"/>
  <c r="L16" i="39"/>
  <c r="M17" i="39"/>
  <c r="N18" i="39"/>
  <c r="L20" i="39"/>
  <c r="M21" i="39"/>
  <c r="N22" i="39"/>
  <c r="K23" i="39"/>
  <c r="M24" i="39"/>
  <c r="J25" i="39"/>
  <c r="N25" i="39"/>
  <c r="K5" i="40"/>
  <c r="L6" i="40"/>
  <c r="M7" i="40"/>
  <c r="J8" i="40"/>
  <c r="N8" i="40"/>
  <c r="L9" i="40"/>
  <c r="M10" i="40"/>
  <c r="J11" i="40"/>
  <c r="N11" i="40"/>
  <c r="K12" i="40"/>
  <c r="L13" i="40"/>
  <c r="M14" i="40"/>
  <c r="J15" i="40"/>
  <c r="N15" i="40"/>
  <c r="K16" i="40"/>
  <c r="L17" i="40"/>
  <c r="J18" i="40"/>
  <c r="N18" i="40"/>
  <c r="K19" i="40"/>
  <c r="L20" i="40"/>
  <c r="M21" i="40"/>
  <c r="J22" i="40"/>
  <c r="N22" i="40"/>
  <c r="K23" i="40"/>
  <c r="J6" i="41"/>
  <c r="N8" i="41"/>
  <c r="N9" i="41"/>
  <c r="N10" i="41"/>
  <c r="M11" i="41"/>
  <c r="M12" i="41"/>
  <c r="M13" i="41"/>
  <c r="L14" i="41"/>
  <c r="L15" i="41"/>
  <c r="L16" i="41"/>
  <c r="K17" i="41"/>
  <c r="K18" i="41"/>
  <c r="K19" i="41"/>
  <c r="H5" i="41"/>
  <c r="M5" i="41" s="1"/>
  <c r="M20" i="41"/>
  <c r="M21" i="41"/>
  <c r="E22" i="43"/>
  <c r="E21" i="43"/>
  <c r="F26" i="43"/>
  <c r="F13" i="42"/>
  <c r="F28" i="43"/>
  <c r="F15" i="42"/>
  <c r="E32" i="43"/>
  <c r="F34" i="43"/>
  <c r="F22" i="42"/>
  <c r="E44" i="43"/>
  <c r="F37" i="43"/>
  <c r="F29" i="42"/>
  <c r="F30" i="43"/>
  <c r="F31" i="42"/>
  <c r="E39" i="43"/>
  <c r="G39" i="43" s="1"/>
  <c r="F38" i="42"/>
  <c r="F43" i="43"/>
  <c r="F46" i="42"/>
  <c r="F45" i="43"/>
  <c r="M20" i="39"/>
  <c r="N21" i="39"/>
  <c r="L23" i="39"/>
  <c r="J24" i="39"/>
  <c r="N24" i="39"/>
  <c r="K25" i="39"/>
  <c r="L5" i="40"/>
  <c r="M6" i="40"/>
  <c r="J7" i="40"/>
  <c r="N7" i="40"/>
  <c r="K8" i="40"/>
  <c r="M9" i="40"/>
  <c r="J10" i="40"/>
  <c r="N10" i="40"/>
  <c r="K11" i="40"/>
  <c r="L12" i="40"/>
  <c r="M13" i="40"/>
  <c r="J14" i="40"/>
  <c r="N14" i="40"/>
  <c r="K15" i="40"/>
  <c r="L16" i="40"/>
  <c r="M17" i="40"/>
  <c r="K18" i="40"/>
  <c r="L19" i="40"/>
  <c r="M20" i="40"/>
  <c r="J21" i="40"/>
  <c r="N21" i="40"/>
  <c r="K22" i="40"/>
  <c r="L23" i="40"/>
  <c r="K6" i="41"/>
  <c r="K7" i="41"/>
  <c r="J8" i="41"/>
  <c r="J9" i="41"/>
  <c r="J10" i="41"/>
  <c r="N12" i="41"/>
  <c r="N13" i="41"/>
  <c r="N14" i="41"/>
  <c r="M15" i="41"/>
  <c r="M16" i="41"/>
  <c r="M17" i="41"/>
  <c r="L18" i="41"/>
  <c r="D5" i="41"/>
  <c r="N20" i="41"/>
  <c r="I5" i="41"/>
  <c r="N5" i="41" s="1"/>
  <c r="N21" i="41"/>
  <c r="F10" i="42"/>
  <c r="F21" i="43"/>
  <c r="E24" i="43"/>
  <c r="G24" i="43" s="1"/>
  <c r="E27" i="43"/>
  <c r="F32" i="43"/>
  <c r="F17" i="42"/>
  <c r="F19" i="42"/>
  <c r="E33" i="43"/>
  <c r="F26" i="42"/>
  <c r="E29" i="43"/>
  <c r="E38" i="43"/>
  <c r="F39" i="43"/>
  <c r="F33" i="42"/>
  <c r="F35" i="42"/>
  <c r="E42" i="43"/>
  <c r="G42" i="43" s="1"/>
  <c r="F39" i="42"/>
  <c r="J20" i="39"/>
  <c r="N20" i="39"/>
  <c r="M23" i="39"/>
  <c r="K24" i="39"/>
  <c r="L25" i="39"/>
  <c r="M5" i="40"/>
  <c r="J6" i="40"/>
  <c r="N6" i="40"/>
  <c r="K7" i="40"/>
  <c r="L8" i="40"/>
  <c r="J9" i="40"/>
  <c r="N9" i="40"/>
  <c r="K10" i="40"/>
  <c r="L11" i="40"/>
  <c r="M12" i="40"/>
  <c r="J13" i="40"/>
  <c r="N13" i="40"/>
  <c r="K14" i="40"/>
  <c r="L15" i="40"/>
  <c r="M16" i="40"/>
  <c r="J17" i="40"/>
  <c r="N17" i="40"/>
  <c r="L18" i="40"/>
  <c r="M19" i="40"/>
  <c r="J20" i="40"/>
  <c r="N20" i="40"/>
  <c r="K21" i="40"/>
  <c r="L22" i="40"/>
  <c r="M23" i="40"/>
  <c r="L6" i="41"/>
  <c r="L7" i="41"/>
  <c r="L8" i="41"/>
  <c r="K9" i="41"/>
  <c r="K10" i="41"/>
  <c r="K11" i="41"/>
  <c r="J12" i="41"/>
  <c r="J13" i="41"/>
  <c r="J14" i="41"/>
  <c r="N16" i="41"/>
  <c r="N17" i="41"/>
  <c r="N18" i="41"/>
  <c r="J20" i="41"/>
  <c r="E5" i="41"/>
  <c r="J5" i="41" s="1"/>
  <c r="J21" i="41"/>
  <c r="F20" i="43"/>
  <c r="F7" i="42"/>
  <c r="E23" i="43"/>
  <c r="G23" i="43" s="1"/>
  <c r="F27" i="43"/>
  <c r="F14" i="42"/>
  <c r="E31" i="43"/>
  <c r="F33" i="43"/>
  <c r="F21" i="42"/>
  <c r="F23" i="42"/>
  <c r="F38" i="43"/>
  <c r="F30" i="42"/>
  <c r="E41" i="43"/>
  <c r="G41" i="43" s="1"/>
  <c r="F42" i="43"/>
  <c r="F37" i="42"/>
  <c r="F42" i="42"/>
  <c r="M6" i="41"/>
  <c r="J7" i="41"/>
  <c r="N7" i="41"/>
  <c r="K8" i="41"/>
  <c r="L9" i="41"/>
  <c r="M10" i="41"/>
  <c r="J11" i="41"/>
  <c r="N11" i="41"/>
  <c r="K12" i="41"/>
  <c r="L13" i="41"/>
  <c r="M14" i="41"/>
  <c r="J15" i="41"/>
  <c r="N15" i="41"/>
  <c r="K16" i="41"/>
  <c r="L17" i="41"/>
  <c r="M18" i="41"/>
  <c r="J19" i="41"/>
  <c r="K20" i="41"/>
  <c r="F5" i="41"/>
  <c r="K5" i="41" s="1"/>
  <c r="L21" i="41"/>
  <c r="E20" i="43"/>
  <c r="F22" i="43"/>
  <c r="F8" i="42"/>
  <c r="E25" i="43"/>
  <c r="G25" i="43" s="1"/>
  <c r="F24" i="43"/>
  <c r="F12" i="42"/>
  <c r="E28" i="43"/>
  <c r="G28" i="43" s="1"/>
  <c r="F31" i="43"/>
  <c r="F16" i="42"/>
  <c r="F35" i="43"/>
  <c r="F20" i="42"/>
  <c r="F44" i="43"/>
  <c r="F24" i="42"/>
  <c r="E36" i="43"/>
  <c r="G36" i="43" s="1"/>
  <c r="F29" i="43"/>
  <c r="F28" i="42"/>
  <c r="E30" i="43"/>
  <c r="G30" i="43" s="1"/>
  <c r="F32" i="42"/>
  <c r="F40" i="43"/>
  <c r="F36" i="42"/>
  <c r="F40" i="42"/>
  <c r="F44" i="42"/>
  <c r="D13" i="45"/>
  <c r="E15" i="45"/>
  <c r="F8" i="44"/>
  <c r="D17" i="45"/>
  <c r="F17" i="45" s="1"/>
  <c r="E18" i="45"/>
  <c r="F12" i="44"/>
  <c r="D21" i="45"/>
  <c r="E24" i="45"/>
  <c r="F16" i="44"/>
  <c r="E28" i="45"/>
  <c r="F20" i="44"/>
  <c r="E37" i="45"/>
  <c r="F24" i="44"/>
  <c r="D29" i="45"/>
  <c r="F29" i="45" s="1"/>
  <c r="E22" i="45"/>
  <c r="F28" i="44"/>
  <c r="D23" i="45"/>
  <c r="F32" i="44"/>
  <c r="D35" i="45"/>
  <c r="E34" i="45"/>
  <c r="F36" i="44"/>
  <c r="D36" i="45"/>
  <c r="F36" i="45" s="1"/>
  <c r="F40" i="44"/>
  <c r="F44" i="44"/>
  <c r="N5" i="46"/>
  <c r="M6" i="46"/>
  <c r="M7" i="46"/>
  <c r="M8" i="46"/>
  <c r="L9" i="46"/>
  <c r="L10" i="46"/>
  <c r="L11" i="46"/>
  <c r="K12" i="46"/>
  <c r="K13" i="46"/>
  <c r="M14" i="46"/>
  <c r="F7" i="44"/>
  <c r="E13" i="45"/>
  <c r="D16" i="45"/>
  <c r="F11" i="44"/>
  <c r="E17" i="45"/>
  <c r="D20" i="45"/>
  <c r="F15" i="44"/>
  <c r="E21" i="45"/>
  <c r="F19" i="44"/>
  <c r="D26" i="45"/>
  <c r="F23" i="44"/>
  <c r="F27" i="44"/>
  <c r="E29" i="45"/>
  <c r="D31" i="45"/>
  <c r="E23" i="45"/>
  <c r="F31" i="44"/>
  <c r="D33" i="45"/>
  <c r="E35" i="45"/>
  <c r="F35" i="44"/>
  <c r="F39" i="44"/>
  <c r="E36" i="45"/>
  <c r="F43" i="44"/>
  <c r="J5" i="46"/>
  <c r="N7" i="46"/>
  <c r="N8" i="46"/>
  <c r="N9" i="46"/>
  <c r="M10" i="46"/>
  <c r="M11" i="46"/>
  <c r="M12" i="46"/>
  <c r="L13" i="46"/>
  <c r="N14" i="46"/>
  <c r="H5" i="48"/>
  <c r="D14" i="45"/>
  <c r="F10" i="44"/>
  <c r="E16" i="45"/>
  <c r="D19" i="45"/>
  <c r="F14" i="44"/>
  <c r="E20" i="45"/>
  <c r="D25" i="45"/>
  <c r="F18" i="44"/>
  <c r="D27" i="45"/>
  <c r="E26" i="45"/>
  <c r="F22" i="44"/>
  <c r="F26" i="44"/>
  <c r="D30" i="45"/>
  <c r="F30" i="44"/>
  <c r="E31" i="45"/>
  <c r="D32" i="45"/>
  <c r="F34" i="44"/>
  <c r="E33" i="45"/>
  <c r="F38" i="44"/>
  <c r="F42" i="44"/>
  <c r="K5" i="46"/>
  <c r="K6" i="46"/>
  <c r="J7" i="46"/>
  <c r="J8" i="46"/>
  <c r="J9" i="46"/>
  <c r="N11" i="46"/>
  <c r="N12" i="46"/>
  <c r="N13" i="46"/>
  <c r="J5" i="48"/>
  <c r="F41" i="42"/>
  <c r="F45" i="42"/>
  <c r="D15" i="45"/>
  <c r="F15" i="45" s="1"/>
  <c r="E14" i="45"/>
  <c r="F9" i="44"/>
  <c r="D18" i="45"/>
  <c r="F18" i="45" s="1"/>
  <c r="E19" i="45"/>
  <c r="F13" i="44"/>
  <c r="D24" i="45"/>
  <c r="F24" i="45" s="1"/>
  <c r="E25" i="45"/>
  <c r="F17" i="44"/>
  <c r="D28" i="45"/>
  <c r="F28" i="45" s="1"/>
  <c r="E27" i="45"/>
  <c r="F21" i="44"/>
  <c r="D37" i="45"/>
  <c r="F37" i="45" s="1"/>
  <c r="F25" i="44"/>
  <c r="D22" i="45"/>
  <c r="F22" i="45" s="1"/>
  <c r="E30" i="45"/>
  <c r="F29" i="44"/>
  <c r="E32" i="45"/>
  <c r="F33" i="44"/>
  <c r="D34" i="45"/>
  <c r="F34" i="45" s="1"/>
  <c r="F37" i="44"/>
  <c r="F41" i="44"/>
  <c r="F45" i="44"/>
  <c r="L5" i="46"/>
  <c r="L6" i="46"/>
  <c r="L7" i="46"/>
  <c r="K8" i="46"/>
  <c r="K9" i="46"/>
  <c r="K10" i="46"/>
  <c r="J11" i="46"/>
  <c r="J12" i="46"/>
  <c r="J13" i="46"/>
  <c r="M5" i="46"/>
  <c r="J6" i="46"/>
  <c r="N6" i="46"/>
  <c r="K7" i="46"/>
  <c r="L8" i="46"/>
  <c r="M9" i="46"/>
  <c r="J10" i="46"/>
  <c r="N10" i="46"/>
  <c r="K11" i="46"/>
  <c r="L12" i="46"/>
  <c r="M13" i="46"/>
  <c r="L14" i="46"/>
  <c r="I5" i="48"/>
  <c r="J6" i="48"/>
  <c r="H8" i="48"/>
  <c r="I9" i="48"/>
  <c r="J10" i="48"/>
  <c r="H12" i="48"/>
  <c r="I13" i="48"/>
  <c r="J14" i="48"/>
  <c r="H16" i="48"/>
  <c r="I17" i="48"/>
  <c r="J18" i="48"/>
  <c r="H20" i="48"/>
  <c r="I21" i="48"/>
  <c r="N6" i="49"/>
  <c r="M7" i="49"/>
  <c r="N8" i="49"/>
  <c r="K9" i="49"/>
  <c r="L10" i="49"/>
  <c r="M11" i="49"/>
  <c r="J12" i="49"/>
  <c r="N12" i="49"/>
  <c r="K13" i="49"/>
  <c r="L14" i="49"/>
  <c r="M15" i="49"/>
  <c r="M16" i="49"/>
  <c r="L17" i="49"/>
  <c r="L18" i="49"/>
  <c r="L19" i="49"/>
  <c r="K20" i="49"/>
  <c r="K21" i="49"/>
  <c r="K22" i="49"/>
  <c r="J23" i="49"/>
  <c r="J24" i="49"/>
  <c r="J25" i="49"/>
  <c r="N27" i="49"/>
  <c r="N28" i="49"/>
  <c r="N29" i="49"/>
  <c r="M30" i="49"/>
  <c r="M31" i="49"/>
  <c r="M32" i="49"/>
  <c r="L33" i="49"/>
  <c r="L34" i="49"/>
  <c r="L35" i="49"/>
  <c r="K36" i="49"/>
  <c r="K37" i="49"/>
  <c r="K38" i="49"/>
  <c r="J39" i="49"/>
  <c r="N40" i="49"/>
  <c r="H7" i="48"/>
  <c r="I8" i="48"/>
  <c r="J9" i="48"/>
  <c r="H11" i="48"/>
  <c r="I12" i="48"/>
  <c r="J13" i="48"/>
  <c r="H15" i="48"/>
  <c r="I16" i="48"/>
  <c r="J17" i="48"/>
  <c r="H19" i="48"/>
  <c r="I20" i="48"/>
  <c r="J21" i="48"/>
  <c r="J7" i="49"/>
  <c r="N7" i="49"/>
  <c r="K8" i="49"/>
  <c r="L9" i="49"/>
  <c r="M10" i="49"/>
  <c r="J11" i="49"/>
  <c r="N11" i="49"/>
  <c r="K12" i="49"/>
  <c r="L13" i="49"/>
  <c r="M14" i="49"/>
  <c r="J15" i="49"/>
  <c r="N15" i="49"/>
  <c r="N16" i="49"/>
  <c r="N17" i="49"/>
  <c r="M18" i="49"/>
  <c r="M19" i="49"/>
  <c r="M20" i="49"/>
  <c r="L21" i="49"/>
  <c r="L22" i="49"/>
  <c r="L23" i="49"/>
  <c r="K24" i="49"/>
  <c r="K25" i="49"/>
  <c r="K26" i="49"/>
  <c r="J27" i="49"/>
  <c r="J28" i="49"/>
  <c r="J29" i="49"/>
  <c r="N31" i="49"/>
  <c r="N32" i="49"/>
  <c r="N33" i="49"/>
  <c r="M34" i="49"/>
  <c r="M35" i="49"/>
  <c r="M36" i="49"/>
  <c r="L37" i="49"/>
  <c r="L38" i="49"/>
  <c r="L39" i="49"/>
  <c r="H6" i="48"/>
  <c r="I7" i="48"/>
  <c r="J8" i="48"/>
  <c r="H10" i="48"/>
  <c r="I11" i="48"/>
  <c r="J12" i="48"/>
  <c r="H14" i="48"/>
  <c r="I15" i="48"/>
  <c r="J16" i="48"/>
  <c r="H18" i="48"/>
  <c r="I19" i="48"/>
  <c r="J20" i="48"/>
  <c r="L6" i="49"/>
  <c r="K7" i="49"/>
  <c r="L8" i="49"/>
  <c r="M9" i="49"/>
  <c r="J10" i="49"/>
  <c r="N10" i="49"/>
  <c r="K11" i="49"/>
  <c r="L12" i="49"/>
  <c r="M13" i="49"/>
  <c r="J14" i="49"/>
  <c r="N14" i="49"/>
  <c r="K15" i="49"/>
  <c r="J16" i="49"/>
  <c r="J17" i="49"/>
  <c r="N19" i="49"/>
  <c r="N20" i="49"/>
  <c r="N21" i="49"/>
  <c r="M22" i="49"/>
  <c r="M23" i="49"/>
  <c r="M24" i="49"/>
  <c r="L25" i="49"/>
  <c r="L26" i="49"/>
  <c r="L27" i="49"/>
  <c r="K28" i="49"/>
  <c r="K29" i="49"/>
  <c r="K30" i="49"/>
  <c r="J31" i="49"/>
  <c r="J32" i="49"/>
  <c r="J33" i="49"/>
  <c r="D31" i="49"/>
  <c r="N35" i="49"/>
  <c r="N36" i="49"/>
  <c r="N37" i="49"/>
  <c r="M38" i="49"/>
  <c r="M39" i="49"/>
  <c r="I6" i="48"/>
  <c r="J7" i="48"/>
  <c r="H9" i="48"/>
  <c r="I10" i="48"/>
  <c r="J11" i="48"/>
  <c r="H13" i="48"/>
  <c r="I14" i="48"/>
  <c r="J15" i="48"/>
  <c r="H17" i="48"/>
  <c r="I18" i="48"/>
  <c r="J19" i="48"/>
  <c r="H21" i="48"/>
  <c r="M6" i="49"/>
  <c r="L7" i="49"/>
  <c r="M8" i="49"/>
  <c r="J9" i="49"/>
  <c r="N9" i="49"/>
  <c r="K10" i="49"/>
  <c r="L11" i="49"/>
  <c r="D8" i="49"/>
  <c r="J8" i="49" s="1"/>
  <c r="M12" i="49"/>
  <c r="J13" i="49"/>
  <c r="N13" i="49"/>
  <c r="K14" i="49"/>
  <c r="L15" i="49"/>
  <c r="K16" i="49"/>
  <c r="K17" i="49"/>
  <c r="K18" i="49"/>
  <c r="J19" i="49"/>
  <c r="J20" i="49"/>
  <c r="J21" i="49"/>
  <c r="N23" i="49"/>
  <c r="N24" i="49"/>
  <c r="N25" i="49"/>
  <c r="M26" i="49"/>
  <c r="M27" i="49"/>
  <c r="M28" i="49"/>
  <c r="L29" i="49"/>
  <c r="L30" i="49"/>
  <c r="L31" i="49"/>
  <c r="K32" i="49"/>
  <c r="K33" i="49"/>
  <c r="K34" i="49"/>
  <c r="J35" i="49"/>
  <c r="J36" i="49"/>
  <c r="J37" i="49"/>
  <c r="N39" i="49"/>
  <c r="J40" i="49"/>
  <c r="L16" i="49"/>
  <c r="M17" i="49"/>
  <c r="J18" i="49"/>
  <c r="N18" i="49"/>
  <c r="K19" i="49"/>
  <c r="L20" i="49"/>
  <c r="M21" i="49"/>
  <c r="J22" i="49"/>
  <c r="N22" i="49"/>
  <c r="K23" i="49"/>
  <c r="L24" i="49"/>
  <c r="M25" i="49"/>
  <c r="J26" i="49"/>
  <c r="N26" i="49"/>
  <c r="K27" i="49"/>
  <c r="L28" i="49"/>
  <c r="M29" i="49"/>
  <c r="J30" i="49"/>
  <c r="N30" i="49"/>
  <c r="K31" i="49"/>
  <c r="L32" i="49"/>
  <c r="M33" i="49"/>
  <c r="J34" i="49"/>
  <c r="N34" i="49"/>
  <c r="K35" i="49"/>
  <c r="L36" i="49"/>
  <c r="M37" i="49"/>
  <c r="J38" i="49"/>
  <c r="N38" i="49"/>
  <c r="K39" i="49"/>
  <c r="L40" i="49"/>
  <c r="M41" i="49"/>
  <c r="J42" i="49"/>
  <c r="N42" i="49"/>
  <c r="K43" i="49"/>
  <c r="L44" i="49"/>
  <c r="M45" i="49"/>
  <c r="J46" i="49"/>
  <c r="N46" i="49"/>
  <c r="K47" i="49"/>
  <c r="L48" i="49"/>
  <c r="M49" i="49"/>
  <c r="J50" i="49"/>
  <c r="N50" i="49"/>
  <c r="F5" i="50"/>
  <c r="F6" i="50"/>
  <c r="F7" i="50"/>
  <c r="F8" i="50"/>
  <c r="F9" i="50"/>
  <c r="F10" i="50"/>
  <c r="M40" i="49"/>
  <c r="J41" i="49"/>
  <c r="N41" i="49"/>
  <c r="K42" i="49"/>
  <c r="L43" i="49"/>
  <c r="M44" i="49"/>
  <c r="J45" i="49"/>
  <c r="N45" i="49"/>
  <c r="K46" i="49"/>
  <c r="L47" i="49"/>
  <c r="M48" i="49"/>
  <c r="J49" i="49"/>
  <c r="N49" i="49"/>
  <c r="K50" i="49"/>
  <c r="K41" i="49"/>
  <c r="L42" i="49"/>
  <c r="M43" i="49"/>
  <c r="J44" i="49"/>
  <c r="N44" i="49"/>
  <c r="K45" i="49"/>
  <c r="L46" i="49"/>
  <c r="M47" i="49"/>
  <c r="J48" i="49"/>
  <c r="N48" i="49"/>
  <c r="K49" i="49"/>
  <c r="L50" i="49"/>
  <c r="K40" i="49"/>
  <c r="L41" i="49"/>
  <c r="M42" i="49"/>
  <c r="J43" i="49"/>
  <c r="N43" i="49"/>
  <c r="K44" i="49"/>
  <c r="L45" i="49"/>
  <c r="M46" i="49"/>
  <c r="J47" i="49"/>
  <c r="N47" i="49"/>
  <c r="K48" i="49"/>
  <c r="L49" i="49"/>
  <c r="M50" i="49"/>
  <c r="F11" i="50"/>
  <c r="F12" i="50"/>
  <c r="L84" i="16"/>
  <c r="H84" i="16"/>
  <c r="D84" i="16"/>
  <c r="L31" i="16"/>
  <c r="H51" i="8"/>
  <c r="H50" i="8"/>
  <c r="D50" i="8"/>
  <c r="H38" i="7"/>
  <c r="D38" i="7"/>
  <c r="J18" i="2"/>
  <c r="E18" i="2"/>
  <c r="D18" i="2"/>
  <c r="P10" i="37" l="1"/>
  <c r="L10" i="37"/>
  <c r="N10" i="37"/>
  <c r="F30" i="45"/>
  <c r="F27" i="45"/>
  <c r="F14" i="45"/>
  <c r="F33" i="45"/>
  <c r="F35" i="45"/>
  <c r="F21" i="45"/>
  <c r="G20" i="43"/>
  <c r="G33" i="43"/>
  <c r="G27" i="43"/>
  <c r="G43" i="43"/>
  <c r="G37" i="43"/>
  <c r="G34" i="43"/>
  <c r="F32" i="45"/>
  <c r="F19" i="45"/>
  <c r="G38" i="43"/>
  <c r="G32" i="43"/>
  <c r="G40" i="43"/>
  <c r="G35" i="43"/>
  <c r="L7" i="29"/>
  <c r="F25" i="45"/>
  <c r="F16" i="45"/>
  <c r="F23" i="45"/>
  <c r="F13" i="45"/>
  <c r="G31" i="43"/>
  <c r="G29" i="43"/>
  <c r="G44" i="43"/>
  <c r="G21" i="43"/>
  <c r="G45" i="43"/>
  <c r="L5" i="41"/>
  <c r="F31" i="45"/>
  <c r="F26" i="45"/>
  <c r="F20" i="45"/>
  <c r="G22" i="43"/>
  <c r="G26" i="43"/>
  <c r="M10" i="37"/>
  <c r="K5" i="2"/>
  <c r="I7" i="2"/>
  <c r="M11" i="2"/>
  <c r="M8" i="5"/>
  <c r="K10" i="5"/>
  <c r="L11" i="5"/>
  <c r="J13" i="5"/>
  <c r="M16" i="5"/>
  <c r="I20" i="5"/>
  <c r="I22" i="5"/>
  <c r="J23" i="5"/>
  <c r="L24" i="5"/>
  <c r="M6" i="2"/>
  <c r="J7" i="2"/>
  <c r="L9" i="2"/>
  <c r="M10" i="2"/>
  <c r="K12" i="2"/>
  <c r="J23" i="2"/>
  <c r="I7" i="5"/>
  <c r="J8" i="5"/>
  <c r="I5" i="2"/>
  <c r="M5" i="2"/>
  <c r="J6" i="2"/>
  <c r="K7" i="2"/>
  <c r="L8" i="2"/>
  <c r="I9" i="2"/>
  <c r="M9" i="2"/>
  <c r="J10" i="2"/>
  <c r="K11" i="2"/>
  <c r="L12" i="2"/>
  <c r="J22" i="2"/>
  <c r="J26" i="2"/>
  <c r="J7" i="5"/>
  <c r="K8" i="5"/>
  <c r="L9" i="5"/>
  <c r="I10" i="5"/>
  <c r="M10" i="5"/>
  <c r="J11" i="5"/>
  <c r="K12" i="5"/>
  <c r="L13" i="5"/>
  <c r="I14" i="5"/>
  <c r="M14" i="5"/>
  <c r="J15" i="5"/>
  <c r="K16" i="5"/>
  <c r="L17" i="5"/>
  <c r="I18" i="5"/>
  <c r="M18" i="5"/>
  <c r="J19" i="5"/>
  <c r="K20" i="5"/>
  <c r="M21" i="5"/>
  <c r="K22" i="5"/>
  <c r="L23" i="5"/>
  <c r="J24" i="5"/>
  <c r="F6" i="7"/>
  <c r="F10" i="7"/>
  <c r="F14" i="7"/>
  <c r="H21" i="7"/>
  <c r="G22" i="7"/>
  <c r="H25" i="7"/>
  <c r="G26" i="7"/>
  <c r="H48" i="7"/>
  <c r="F6" i="8"/>
  <c r="F10" i="8"/>
  <c r="F14" i="8"/>
  <c r="F18" i="8"/>
  <c r="F22" i="8"/>
  <c r="I29" i="8"/>
  <c r="H29" i="8"/>
  <c r="I31" i="8"/>
  <c r="H31" i="8"/>
  <c r="I33" i="8"/>
  <c r="H33" i="8"/>
  <c r="I35" i="8"/>
  <c r="H35" i="8"/>
  <c r="I37" i="8"/>
  <c r="H37" i="8"/>
  <c r="I39" i="8"/>
  <c r="H39" i="8"/>
  <c r="I41" i="8"/>
  <c r="H41" i="8"/>
  <c r="I44" i="8"/>
  <c r="H44" i="8"/>
  <c r="I55" i="8"/>
  <c r="H55" i="8"/>
  <c r="I59" i="8"/>
  <c r="H59" i="8"/>
  <c r="I63" i="8"/>
  <c r="H63" i="8"/>
  <c r="I67" i="8"/>
  <c r="H67" i="8"/>
  <c r="K6" i="10"/>
  <c r="G14" i="10"/>
  <c r="L14" i="10" s="1"/>
  <c r="L7" i="10"/>
  <c r="M8" i="10"/>
  <c r="J9" i="10"/>
  <c r="N9" i="10"/>
  <c r="K10" i="10"/>
  <c r="N11" i="10"/>
  <c r="M13" i="10"/>
  <c r="L6" i="2"/>
  <c r="J8" i="2"/>
  <c r="L7" i="5"/>
  <c r="J9" i="5"/>
  <c r="J17" i="5"/>
  <c r="J5" i="2"/>
  <c r="K6" i="2"/>
  <c r="L7" i="2"/>
  <c r="I8" i="2"/>
  <c r="M8" i="2"/>
  <c r="J9" i="2"/>
  <c r="K10" i="2"/>
  <c r="L11" i="2"/>
  <c r="I12" i="2"/>
  <c r="M12" i="2"/>
  <c r="J21" i="2"/>
  <c r="J25" i="2"/>
  <c r="K7" i="5"/>
  <c r="L8" i="5"/>
  <c r="I9" i="5"/>
  <c r="M9" i="5"/>
  <c r="J10" i="5"/>
  <c r="K11" i="5"/>
  <c r="L12" i="5"/>
  <c r="I13" i="5"/>
  <c r="M13" i="5"/>
  <c r="J14" i="5"/>
  <c r="K15" i="5"/>
  <c r="L16" i="5"/>
  <c r="I17" i="5"/>
  <c r="M17" i="5"/>
  <c r="J18" i="5"/>
  <c r="K19" i="5"/>
  <c r="L20" i="5"/>
  <c r="J21" i="5"/>
  <c r="L22" i="5"/>
  <c r="I23" i="5"/>
  <c r="M23" i="5"/>
  <c r="K24" i="5"/>
  <c r="F5" i="7"/>
  <c r="F9" i="7"/>
  <c r="F13" i="7"/>
  <c r="H22" i="7"/>
  <c r="G23" i="7"/>
  <c r="H26" i="7"/>
  <c r="G27" i="7"/>
  <c r="H47" i="7"/>
  <c r="F7" i="8"/>
  <c r="F11" i="8"/>
  <c r="F15" i="8"/>
  <c r="F19" i="8"/>
  <c r="G28" i="8"/>
  <c r="G30" i="8"/>
  <c r="G32" i="8"/>
  <c r="G34" i="8"/>
  <c r="G36" i="8"/>
  <c r="G38" i="8"/>
  <c r="G40" i="8"/>
  <c r="I42" i="8"/>
  <c r="H42" i="8"/>
  <c r="G43" i="8"/>
  <c r="I45" i="8"/>
  <c r="H45" i="8"/>
  <c r="I54" i="8"/>
  <c r="H54" i="8"/>
  <c r="I58" i="8"/>
  <c r="H58" i="8"/>
  <c r="I62" i="8"/>
  <c r="H62" i="8"/>
  <c r="I66" i="8"/>
  <c r="H66" i="8"/>
  <c r="L6" i="10"/>
  <c r="D14" i="10"/>
  <c r="M7" i="10"/>
  <c r="H14" i="10"/>
  <c r="M14" i="10" s="1"/>
  <c r="J8" i="10"/>
  <c r="N8" i="10"/>
  <c r="K9" i="10"/>
  <c r="L10" i="10"/>
  <c r="J11" i="10"/>
  <c r="M12" i="10"/>
  <c r="N13" i="10"/>
  <c r="J15" i="10"/>
  <c r="I11" i="2"/>
  <c r="J24" i="2"/>
  <c r="I8" i="5"/>
  <c r="I12" i="5"/>
  <c r="K14" i="5"/>
  <c r="I16" i="5"/>
  <c r="L19" i="5"/>
  <c r="M20" i="5"/>
  <c r="M22" i="5"/>
  <c r="F8" i="7"/>
  <c r="F12" i="7"/>
  <c r="H23" i="7"/>
  <c r="G24" i="7"/>
  <c r="H27" i="7"/>
  <c r="G28" i="7"/>
  <c r="H39" i="7"/>
  <c r="H40" i="7"/>
  <c r="H41" i="7"/>
  <c r="H42" i="7"/>
  <c r="H43" i="7"/>
  <c r="H44" i="7"/>
  <c r="H45" i="7"/>
  <c r="H46" i="7"/>
  <c r="F8" i="8"/>
  <c r="F12" i="8"/>
  <c r="F16" i="8"/>
  <c r="F20" i="8"/>
  <c r="I28" i="8"/>
  <c r="H28" i="8"/>
  <c r="I30" i="8"/>
  <c r="H30" i="8"/>
  <c r="I32" i="8"/>
  <c r="H32" i="8"/>
  <c r="I34" i="8"/>
  <c r="H34" i="8"/>
  <c r="I36" i="8"/>
  <c r="H36" i="8"/>
  <c r="I38" i="8"/>
  <c r="H38" i="8"/>
  <c r="I40" i="8"/>
  <c r="H40" i="8"/>
  <c r="I43" i="8"/>
  <c r="H43" i="8"/>
  <c r="H53" i="8"/>
  <c r="I53" i="8"/>
  <c r="H57" i="8"/>
  <c r="I57" i="8"/>
  <c r="H61" i="8"/>
  <c r="I61" i="8"/>
  <c r="H65" i="8"/>
  <c r="I65" i="8"/>
  <c r="M6" i="10"/>
  <c r="J7" i="10"/>
  <c r="E14" i="10"/>
  <c r="J14" i="10" s="1"/>
  <c r="N7" i="10"/>
  <c r="I14" i="10"/>
  <c r="K8" i="10"/>
  <c r="L9" i="10"/>
  <c r="M10" i="10"/>
  <c r="K11" i="10"/>
  <c r="N12" i="10"/>
  <c r="J13" i="10"/>
  <c r="L15" i="10"/>
  <c r="M7" i="2"/>
  <c r="K9" i="2"/>
  <c r="L10" i="2"/>
  <c r="J12" i="2"/>
  <c r="J20" i="2"/>
  <c r="M12" i="5"/>
  <c r="L15" i="5"/>
  <c r="K18" i="5"/>
  <c r="K21" i="5"/>
  <c r="L5" i="2"/>
  <c r="I6" i="2"/>
  <c r="K8" i="2"/>
  <c r="I10" i="2"/>
  <c r="J11" i="2"/>
  <c r="J19" i="2"/>
  <c r="M7" i="5"/>
  <c r="K9" i="5"/>
  <c r="L10" i="5"/>
  <c r="I11" i="5"/>
  <c r="M11" i="5"/>
  <c r="J12" i="5"/>
  <c r="K13" i="5"/>
  <c r="L14" i="5"/>
  <c r="I15" i="5"/>
  <c r="M15" i="5"/>
  <c r="J16" i="5"/>
  <c r="K17" i="5"/>
  <c r="L18" i="5"/>
  <c r="I19" i="5"/>
  <c r="M19" i="5"/>
  <c r="J20" i="5"/>
  <c r="L21" i="5"/>
  <c r="J22" i="5"/>
  <c r="K23" i="5"/>
  <c r="M24" i="5"/>
  <c r="F7" i="7"/>
  <c r="F11" i="7"/>
  <c r="G21" i="7"/>
  <c r="H24" i="7"/>
  <c r="G25" i="7"/>
  <c r="H28" i="7"/>
  <c r="F5" i="8"/>
  <c r="F9" i="8"/>
  <c r="F13" i="8"/>
  <c r="F17" i="8"/>
  <c r="F21" i="8"/>
  <c r="G29" i="8"/>
  <c r="G31" i="8"/>
  <c r="G33" i="8"/>
  <c r="G35" i="8"/>
  <c r="G37" i="8"/>
  <c r="G39" i="8"/>
  <c r="G41" i="8"/>
  <c r="G44" i="8"/>
  <c r="I52" i="8"/>
  <c r="H52" i="8"/>
  <c r="I56" i="8"/>
  <c r="H56" i="8"/>
  <c r="I60" i="8"/>
  <c r="H60" i="8"/>
  <c r="I64" i="8"/>
  <c r="H64" i="8"/>
  <c r="I68" i="8"/>
  <c r="H68" i="8"/>
  <c r="J6" i="10"/>
  <c r="N6" i="10"/>
  <c r="F14" i="10"/>
  <c r="K7" i="10"/>
  <c r="L8" i="10"/>
  <c r="M9" i="10"/>
  <c r="J10" i="10"/>
  <c r="N10" i="10"/>
  <c r="M11" i="10"/>
  <c r="L13" i="10"/>
  <c r="N15" i="10"/>
  <c r="L11" i="10"/>
  <c r="L12" i="10"/>
  <c r="K13" i="10"/>
  <c r="M15" i="10"/>
  <c r="J28" i="10"/>
  <c r="N28" i="10"/>
  <c r="K29" i="10"/>
  <c r="L30" i="10"/>
  <c r="M31" i="10"/>
  <c r="J6" i="12"/>
  <c r="N6" i="12"/>
  <c r="K7" i="12"/>
  <c r="L8" i="12"/>
  <c r="M11" i="12"/>
  <c r="J12" i="12"/>
  <c r="N12" i="12"/>
  <c r="K13" i="12"/>
  <c r="AC7" i="16"/>
  <c r="AG7" i="16"/>
  <c r="AK7" i="16"/>
  <c r="AO7" i="16"/>
  <c r="AS7" i="16"/>
  <c r="AE8" i="16"/>
  <c r="AI8" i="16"/>
  <c r="AM8" i="16"/>
  <c r="AQ8" i="16"/>
  <c r="AU8" i="16"/>
  <c r="AC9" i="16"/>
  <c r="AG9" i="16"/>
  <c r="AK9" i="16"/>
  <c r="AO9" i="16"/>
  <c r="AS9" i="16"/>
  <c r="AE10" i="16"/>
  <c r="AI10" i="16"/>
  <c r="AM10" i="16"/>
  <c r="AQ10" i="16"/>
  <c r="AU10" i="16"/>
  <c r="AC11" i="16"/>
  <c r="AG11" i="16"/>
  <c r="AK11" i="16"/>
  <c r="AO11" i="16"/>
  <c r="AS11" i="16"/>
  <c r="AE12" i="16"/>
  <c r="AI12" i="16"/>
  <c r="AM12" i="16"/>
  <c r="AQ12" i="16"/>
  <c r="AU12" i="16"/>
  <c r="AC13" i="16"/>
  <c r="AG13" i="16"/>
  <c r="AK13" i="16"/>
  <c r="AO13" i="16"/>
  <c r="AS13" i="16"/>
  <c r="AE14" i="16"/>
  <c r="AI14" i="16"/>
  <c r="AM14" i="16"/>
  <c r="AQ14" i="16"/>
  <c r="AU14" i="16"/>
  <c r="AC15" i="16"/>
  <c r="AG15" i="16"/>
  <c r="AK15" i="16"/>
  <c r="AO15" i="16"/>
  <c r="AS15" i="16"/>
  <c r="AE16" i="16"/>
  <c r="AK16" i="16"/>
  <c r="AP16" i="16"/>
  <c r="AU16" i="16"/>
  <c r="AB17" i="16"/>
  <c r="AG17" i="16"/>
  <c r="AM17" i="16"/>
  <c r="AR17" i="16"/>
  <c r="AD18" i="16"/>
  <c r="AI18" i="16"/>
  <c r="AO18" i="16"/>
  <c r="AT18" i="16"/>
  <c r="AF19" i="16"/>
  <c r="AK19" i="16"/>
  <c r="AQ19" i="16"/>
  <c r="AC20" i="16"/>
  <c r="AH20" i="16"/>
  <c r="AM20" i="16"/>
  <c r="AS20" i="16"/>
  <c r="K28" i="10"/>
  <c r="L29" i="10"/>
  <c r="M30" i="10"/>
  <c r="J31" i="10"/>
  <c r="N31" i="10"/>
  <c r="K6" i="12"/>
  <c r="L7" i="12"/>
  <c r="M8" i="12"/>
  <c r="J11" i="12"/>
  <c r="N11" i="12"/>
  <c r="K12" i="12"/>
  <c r="L13" i="12"/>
  <c r="AD7" i="16"/>
  <c r="AH7" i="16"/>
  <c r="AL7" i="16"/>
  <c r="AP7" i="16"/>
  <c r="AT7" i="16"/>
  <c r="AB8" i="16"/>
  <c r="AF8" i="16"/>
  <c r="AJ8" i="16"/>
  <c r="AN8" i="16"/>
  <c r="AR8" i="16"/>
  <c r="AD9" i="16"/>
  <c r="AH9" i="16"/>
  <c r="AL9" i="16"/>
  <c r="AP9" i="16"/>
  <c r="AT9" i="16"/>
  <c r="AB10" i="16"/>
  <c r="AF10" i="16"/>
  <c r="AJ10" i="16"/>
  <c r="AN10" i="16"/>
  <c r="AR10" i="16"/>
  <c r="AD11" i="16"/>
  <c r="AH11" i="16"/>
  <c r="AL11" i="16"/>
  <c r="AP11" i="16"/>
  <c r="AT11" i="16"/>
  <c r="AB12" i="16"/>
  <c r="AF12" i="16"/>
  <c r="AJ12" i="16"/>
  <c r="AN12" i="16"/>
  <c r="AR12" i="16"/>
  <c r="AD13" i="16"/>
  <c r="AH13" i="16"/>
  <c r="AL13" i="16"/>
  <c r="AP13" i="16"/>
  <c r="AT13" i="16"/>
  <c r="AB14" i="16"/>
  <c r="AF14" i="16"/>
  <c r="AJ14" i="16"/>
  <c r="AN14" i="16"/>
  <c r="AR14" i="16"/>
  <c r="AD15" i="16"/>
  <c r="AH15" i="16"/>
  <c r="AL15" i="16"/>
  <c r="AP15" i="16"/>
  <c r="AU15" i="16"/>
  <c r="AG16" i="16"/>
  <c r="AL16" i="16"/>
  <c r="AQ16" i="16"/>
  <c r="AC17" i="16"/>
  <c r="AI17" i="16"/>
  <c r="AN17" i="16"/>
  <c r="AS17" i="16"/>
  <c r="AE18" i="16"/>
  <c r="AK18" i="16"/>
  <c r="AP18" i="16"/>
  <c r="AU18" i="16"/>
  <c r="AB19" i="16"/>
  <c r="AG19" i="16"/>
  <c r="AM19" i="16"/>
  <c r="AR19" i="16"/>
  <c r="AD20" i="16"/>
  <c r="AI20" i="16"/>
  <c r="AO20" i="16"/>
  <c r="AT20" i="16"/>
  <c r="K15" i="10"/>
  <c r="L28" i="10"/>
  <c r="M29" i="10"/>
  <c r="J30" i="10"/>
  <c r="N30" i="10"/>
  <c r="K31" i="10"/>
  <c r="L6" i="12"/>
  <c r="M7" i="12"/>
  <c r="J8" i="12"/>
  <c r="N8" i="12"/>
  <c r="K11" i="12"/>
  <c r="L12" i="12"/>
  <c r="M13" i="12"/>
  <c r="AE7" i="16"/>
  <c r="AI7" i="16"/>
  <c r="AM7" i="16"/>
  <c r="AQ7" i="16"/>
  <c r="AU7" i="16"/>
  <c r="AC8" i="16"/>
  <c r="AG8" i="16"/>
  <c r="AK8" i="16"/>
  <c r="AO8" i="16"/>
  <c r="AS8" i="16"/>
  <c r="AE9" i="16"/>
  <c r="AI9" i="16"/>
  <c r="AM9" i="16"/>
  <c r="AQ9" i="16"/>
  <c r="AU9" i="16"/>
  <c r="AC10" i="16"/>
  <c r="AG10" i="16"/>
  <c r="AK10" i="16"/>
  <c r="AO10" i="16"/>
  <c r="AS10" i="16"/>
  <c r="AE11" i="16"/>
  <c r="AI11" i="16"/>
  <c r="AM11" i="16"/>
  <c r="AQ11" i="16"/>
  <c r="AU11" i="16"/>
  <c r="AC12" i="16"/>
  <c r="AG12" i="16"/>
  <c r="AK12" i="16"/>
  <c r="AO12" i="16"/>
  <c r="AS12" i="16"/>
  <c r="AE13" i="16"/>
  <c r="AI13" i="16"/>
  <c r="AM13" i="16"/>
  <c r="AQ13" i="16"/>
  <c r="AU13" i="16"/>
  <c r="AC14" i="16"/>
  <c r="AG14" i="16"/>
  <c r="AK14" i="16"/>
  <c r="AO14" i="16"/>
  <c r="AS14" i="16"/>
  <c r="AE15" i="16"/>
  <c r="AI15" i="16"/>
  <c r="AM15" i="16"/>
  <c r="AQ15" i="16"/>
  <c r="AC16" i="16"/>
  <c r="AH16" i="16"/>
  <c r="AM16" i="16"/>
  <c r="AS16" i="16"/>
  <c r="AE17" i="16"/>
  <c r="AJ17" i="16"/>
  <c r="AO17" i="16"/>
  <c r="AU17" i="16"/>
  <c r="AG18" i="16"/>
  <c r="AL18" i="16"/>
  <c r="AQ18" i="16"/>
  <c r="AC19" i="16"/>
  <c r="AI19" i="16"/>
  <c r="AN19" i="16"/>
  <c r="AS19" i="16"/>
  <c r="AE20" i="16"/>
  <c r="AK20" i="16"/>
  <c r="AP20" i="16"/>
  <c r="AU20" i="16"/>
  <c r="M28" i="10"/>
  <c r="J29" i="10"/>
  <c r="N29" i="10"/>
  <c r="K30" i="10"/>
  <c r="L31" i="10"/>
  <c r="M6" i="12"/>
  <c r="J7" i="12"/>
  <c r="N7" i="12"/>
  <c r="K8" i="12"/>
  <c r="L11" i="12"/>
  <c r="M12" i="12"/>
  <c r="J13" i="12"/>
  <c r="N13" i="12"/>
  <c r="AB7" i="16"/>
  <c r="AF7" i="16"/>
  <c r="AJ7" i="16"/>
  <c r="AN7" i="16"/>
  <c r="AR7" i="16"/>
  <c r="AD8" i="16"/>
  <c r="AH8" i="16"/>
  <c r="AL8" i="16"/>
  <c r="AP8" i="16"/>
  <c r="AT8" i="16"/>
  <c r="AB9" i="16"/>
  <c r="AF9" i="16"/>
  <c r="AJ9" i="16"/>
  <c r="AN9" i="16"/>
  <c r="AR9" i="16"/>
  <c r="AD10" i="16"/>
  <c r="AH10" i="16"/>
  <c r="AL10" i="16"/>
  <c r="AP10" i="16"/>
  <c r="AT10" i="16"/>
  <c r="AB11" i="16"/>
  <c r="AF11" i="16"/>
  <c r="AJ11" i="16"/>
  <c r="AN11" i="16"/>
  <c r="AR11" i="16"/>
  <c r="AD12" i="16"/>
  <c r="AH12" i="16"/>
  <c r="AL12" i="16"/>
  <c r="AP12" i="16"/>
  <c r="AT12" i="16"/>
  <c r="AB13" i="16"/>
  <c r="AF13" i="16"/>
  <c r="AJ13" i="16"/>
  <c r="AN13" i="16"/>
  <c r="AR13" i="16"/>
  <c r="AD14" i="16"/>
  <c r="AH14" i="16"/>
  <c r="AL14" i="16"/>
  <c r="AP14" i="16"/>
  <c r="AT14" i="16"/>
  <c r="AB15" i="16"/>
  <c r="AF15" i="16"/>
  <c r="AJ15" i="16"/>
  <c r="AN15" i="16"/>
  <c r="AR15" i="16"/>
  <c r="AD16" i="16"/>
  <c r="AI16" i="16"/>
  <c r="AO16" i="16"/>
  <c r="AT16" i="16"/>
  <c r="AF17" i="16"/>
  <c r="AK17" i="16"/>
  <c r="AQ17" i="16"/>
  <c r="AC18" i="16"/>
  <c r="AH18" i="16"/>
  <c r="AM18" i="16"/>
  <c r="AS18" i="16"/>
  <c r="AE19" i="16"/>
  <c r="AJ19" i="16"/>
  <c r="AO19" i="16"/>
  <c r="AU19" i="16"/>
  <c r="AG20" i="16"/>
  <c r="AL20" i="16"/>
  <c r="AQ20" i="16"/>
  <c r="AT15" i="16"/>
  <c r="AB16" i="16"/>
  <c r="AF16" i="16"/>
  <c r="AJ16" i="16"/>
  <c r="AN16" i="16"/>
  <c r="AR16" i="16"/>
  <c r="AD17" i="16"/>
  <c r="AH17" i="16"/>
  <c r="AL17" i="16"/>
  <c r="AP17" i="16"/>
  <c r="AT17" i="16"/>
  <c r="AB18" i="16"/>
  <c r="AF18" i="16"/>
  <c r="AJ18" i="16"/>
  <c r="AN18" i="16"/>
  <c r="AR18" i="16"/>
  <c r="AD19" i="16"/>
  <c r="AH19" i="16"/>
  <c r="AL19" i="16"/>
  <c r="AP19" i="16"/>
  <c r="AT19" i="16"/>
  <c r="AB20" i="16"/>
  <c r="AF20" i="16"/>
  <c r="AJ20" i="16"/>
  <c r="AN20" i="16"/>
  <c r="AR20" i="16"/>
  <c r="AH21" i="16"/>
  <c r="AL21" i="16"/>
  <c r="AP21" i="16"/>
  <c r="AT21" i="16"/>
  <c r="AB22" i="16"/>
  <c r="AF22" i="16"/>
  <c r="AJ22" i="16"/>
  <c r="AN22" i="16"/>
  <c r="AR22" i="16"/>
  <c r="AD23" i="16"/>
  <c r="AH23" i="16"/>
  <c r="AL23" i="16"/>
  <c r="AP23" i="16"/>
  <c r="AT23" i="16"/>
  <c r="AB24" i="16"/>
  <c r="AF24" i="16"/>
  <c r="AJ24" i="16"/>
  <c r="AN24" i="16"/>
  <c r="AR24" i="16"/>
  <c r="AH25" i="16"/>
  <c r="AL25" i="16"/>
  <c r="AP25" i="16"/>
  <c r="AT25" i="16"/>
  <c r="O34" i="16"/>
  <c r="O35" i="16"/>
  <c r="O36" i="16"/>
  <c r="O37" i="16"/>
  <c r="L38" i="16"/>
  <c r="O40" i="16"/>
  <c r="M41" i="16"/>
  <c r="L42" i="16"/>
  <c r="O44" i="16"/>
  <c r="M45" i="16"/>
  <c r="L46" i="16"/>
  <c r="O48" i="16"/>
  <c r="M49" i="16"/>
  <c r="L50" i="16"/>
  <c r="M62" i="16"/>
  <c r="AI21" i="16"/>
  <c r="AM21" i="16"/>
  <c r="AQ21" i="16"/>
  <c r="AU21" i="16"/>
  <c r="AC22" i="16"/>
  <c r="AG22" i="16"/>
  <c r="AK22" i="16"/>
  <c r="AO22" i="16"/>
  <c r="AS22" i="16"/>
  <c r="AE23" i="16"/>
  <c r="AI23" i="16"/>
  <c r="AM23" i="16"/>
  <c r="AQ23" i="16"/>
  <c r="AU23" i="16"/>
  <c r="AC24" i="16"/>
  <c r="AG24" i="16"/>
  <c r="AK24" i="16"/>
  <c r="AO24" i="16"/>
  <c r="AS24" i="16"/>
  <c r="AI25" i="16"/>
  <c r="AM25" i="16"/>
  <c r="AQ25" i="16"/>
  <c r="AU25" i="16"/>
  <c r="L34" i="16"/>
  <c r="L35" i="16"/>
  <c r="L36" i="16"/>
  <c r="L37" i="16"/>
  <c r="M38" i="16"/>
  <c r="L39" i="16"/>
  <c r="O41" i="16"/>
  <c r="M42" i="16"/>
  <c r="L43" i="16"/>
  <c r="O45" i="16"/>
  <c r="M46" i="16"/>
  <c r="L47" i="16"/>
  <c r="O49" i="16"/>
  <c r="M50" i="16"/>
  <c r="L51" i="16"/>
  <c r="AF21" i="16"/>
  <c r="AJ21" i="16"/>
  <c r="AN21" i="16"/>
  <c r="AR21" i="16"/>
  <c r="AD22" i="16"/>
  <c r="AH22" i="16"/>
  <c r="AL22" i="16"/>
  <c r="AP22" i="16"/>
  <c r="AT22" i="16"/>
  <c r="AB23" i="16"/>
  <c r="AF23" i="16"/>
  <c r="AJ23" i="16"/>
  <c r="AN23" i="16"/>
  <c r="AR23" i="16"/>
  <c r="AD24" i="16"/>
  <c r="AH24" i="16"/>
  <c r="AL24" i="16"/>
  <c r="AP24" i="16"/>
  <c r="AT24" i="16"/>
  <c r="AF25" i="16"/>
  <c r="AJ25" i="16"/>
  <c r="AN25" i="16"/>
  <c r="AR25" i="16"/>
  <c r="M34" i="16"/>
  <c r="M35" i="16"/>
  <c r="M36" i="16"/>
  <c r="M37" i="16"/>
  <c r="O38" i="16"/>
  <c r="M39" i="16"/>
  <c r="L40" i="16"/>
  <c r="O42" i="16"/>
  <c r="M43" i="16"/>
  <c r="L44" i="16"/>
  <c r="O46" i="16"/>
  <c r="M47" i="16"/>
  <c r="L48" i="16"/>
  <c r="O50" i="16"/>
  <c r="M51" i="16"/>
  <c r="M61" i="16"/>
  <c r="AG21" i="16"/>
  <c r="AK21" i="16"/>
  <c r="AO21" i="16"/>
  <c r="AS21" i="16"/>
  <c r="AE22" i="16"/>
  <c r="AI22" i="16"/>
  <c r="AM22" i="16"/>
  <c r="AQ22" i="16"/>
  <c r="AU22" i="16"/>
  <c r="AC23" i="16"/>
  <c r="AG23" i="16"/>
  <c r="AK23" i="16"/>
  <c r="AO23" i="16"/>
  <c r="AS23" i="16"/>
  <c r="AE24" i="16"/>
  <c r="AI24" i="16"/>
  <c r="AM24" i="16"/>
  <c r="AQ24" i="16"/>
  <c r="AU24" i="16"/>
  <c r="AG25" i="16"/>
  <c r="AK25" i="16"/>
  <c r="AO25" i="16"/>
  <c r="AS25" i="16"/>
  <c r="N34" i="16"/>
  <c r="N35" i="16"/>
  <c r="N36" i="16"/>
  <c r="N37" i="16"/>
  <c r="O39" i="16"/>
  <c r="M40" i="16"/>
  <c r="L41" i="16"/>
  <c r="O43" i="16"/>
  <c r="M44" i="16"/>
  <c r="L45" i="16"/>
  <c r="O47" i="16"/>
  <c r="M48" i="16"/>
  <c r="L49" i="16"/>
  <c r="O51" i="16"/>
  <c r="O61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M87" i="16"/>
  <c r="L88" i="16"/>
  <c r="O90" i="16"/>
  <c r="M91" i="16"/>
  <c r="L92" i="16"/>
  <c r="O94" i="16"/>
  <c r="M95" i="16"/>
  <c r="L96" i="16"/>
  <c r="O98" i="16"/>
  <c r="M99" i="16"/>
  <c r="L100" i="16"/>
  <c r="O102" i="16"/>
  <c r="M103" i="16"/>
  <c r="L104" i="16"/>
  <c r="O6" i="17"/>
  <c r="L6" i="17"/>
  <c r="Q7" i="17"/>
  <c r="N7" i="17"/>
  <c r="J8" i="17"/>
  <c r="L9" i="17"/>
  <c r="O9" i="17"/>
  <c r="N10" i="17"/>
  <c r="Q10" i="17"/>
  <c r="K11" i="17"/>
  <c r="J12" i="17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87" i="16"/>
  <c r="M88" i="16"/>
  <c r="L89" i="16"/>
  <c r="O91" i="16"/>
  <c r="M92" i="16"/>
  <c r="L93" i="16"/>
  <c r="O95" i="16"/>
  <c r="M96" i="16"/>
  <c r="L97" i="16"/>
  <c r="O99" i="16"/>
  <c r="M100" i="16"/>
  <c r="L101" i="16"/>
  <c r="O103" i="16"/>
  <c r="M104" i="16"/>
  <c r="P6" i="17"/>
  <c r="M6" i="17"/>
  <c r="J7" i="17"/>
  <c r="O8" i="17"/>
  <c r="L8" i="17"/>
  <c r="Q9" i="17"/>
  <c r="N9" i="17"/>
  <c r="J10" i="17"/>
  <c r="L11" i="17"/>
  <c r="O11" i="17"/>
  <c r="K12" i="17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O88" i="16"/>
  <c r="M89" i="16"/>
  <c r="L90" i="16"/>
  <c r="O92" i="16"/>
  <c r="M93" i="16"/>
  <c r="L94" i="16"/>
  <c r="O96" i="16"/>
  <c r="M97" i="16"/>
  <c r="L98" i="16"/>
  <c r="O100" i="16"/>
  <c r="M101" i="16"/>
  <c r="L102" i="16"/>
  <c r="O104" i="16"/>
  <c r="N6" i="17"/>
  <c r="Q6" i="17"/>
  <c r="K7" i="17"/>
  <c r="M8" i="17"/>
  <c r="P8" i="17"/>
  <c r="J9" i="17"/>
  <c r="L10" i="17"/>
  <c r="O10" i="17"/>
  <c r="N11" i="17"/>
  <c r="Q11" i="17"/>
  <c r="L12" i="17"/>
  <c r="O12" i="17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L87" i="16"/>
  <c r="O89" i="16"/>
  <c r="M90" i="16"/>
  <c r="L91" i="16"/>
  <c r="O93" i="16"/>
  <c r="M94" i="16"/>
  <c r="L95" i="16"/>
  <c r="O97" i="16"/>
  <c r="M98" i="16"/>
  <c r="L99" i="16"/>
  <c r="O101" i="16"/>
  <c r="M102" i="16"/>
  <c r="L103" i="16"/>
  <c r="J6" i="17"/>
  <c r="L7" i="17"/>
  <c r="O7" i="17"/>
  <c r="N8" i="17"/>
  <c r="Q8" i="17"/>
  <c r="K9" i="17"/>
  <c r="M10" i="17"/>
  <c r="P10" i="17"/>
  <c r="J11" i="17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K6" i="17"/>
  <c r="P7" i="17"/>
  <c r="M7" i="17"/>
  <c r="K8" i="17"/>
  <c r="P9" i="17"/>
  <c r="M9" i="17"/>
  <c r="K10" i="17"/>
  <c r="P11" i="17"/>
  <c r="M11" i="17"/>
  <c r="N12" i="17"/>
  <c r="Q12" i="17"/>
  <c r="J13" i="17"/>
  <c r="L14" i="17"/>
  <c r="O14" i="17"/>
  <c r="N15" i="17"/>
  <c r="Q15" i="17"/>
  <c r="K16" i="17"/>
  <c r="P17" i="17"/>
  <c r="M17" i="17"/>
  <c r="J18" i="17"/>
  <c r="M19" i="17"/>
  <c r="P19" i="17"/>
  <c r="J30" i="17"/>
  <c r="L31" i="17"/>
  <c r="O31" i="17"/>
  <c r="N32" i="17"/>
  <c r="Q32" i="17"/>
  <c r="O13" i="17"/>
  <c r="L13" i="17"/>
  <c r="Q14" i="17"/>
  <c r="N14" i="17"/>
  <c r="J15" i="17"/>
  <c r="L16" i="17"/>
  <c r="O16" i="17"/>
  <c r="N17" i="17"/>
  <c r="Q17" i="17"/>
  <c r="K18" i="17"/>
  <c r="N19" i="17"/>
  <c r="Q19" i="17"/>
  <c r="L22" i="17"/>
  <c r="O22" i="17"/>
  <c r="N30" i="17"/>
  <c r="Q30" i="17"/>
  <c r="J36" i="17"/>
  <c r="M13" i="17"/>
  <c r="P13" i="17"/>
  <c r="J14" i="17"/>
  <c r="L15" i="17"/>
  <c r="O15" i="17"/>
  <c r="N16" i="17"/>
  <c r="Q16" i="17"/>
  <c r="J17" i="17"/>
  <c r="L18" i="17"/>
  <c r="O18" i="17"/>
  <c r="K20" i="17"/>
  <c r="P21" i="17"/>
  <c r="M21" i="17"/>
  <c r="J34" i="17"/>
  <c r="L35" i="17"/>
  <c r="O35" i="17"/>
  <c r="N36" i="17"/>
  <c r="Q36" i="17"/>
  <c r="N13" i="17"/>
  <c r="Q13" i="17"/>
  <c r="K14" i="17"/>
  <c r="M15" i="17"/>
  <c r="P15" i="17"/>
  <c r="J16" i="17"/>
  <c r="L17" i="17"/>
  <c r="O17" i="17"/>
  <c r="N18" i="17"/>
  <c r="Q18" i="17"/>
  <c r="J19" i="17"/>
  <c r="J32" i="17"/>
  <c r="L33" i="17"/>
  <c r="O33" i="17"/>
  <c r="N34" i="17"/>
  <c r="Q34" i="17"/>
  <c r="L37" i="17"/>
  <c r="O37" i="17"/>
  <c r="J38" i="17"/>
  <c r="N38" i="17"/>
  <c r="Q38" i="17"/>
  <c r="L39" i="17"/>
  <c r="O39" i="17"/>
  <c r="J40" i="17"/>
  <c r="N40" i="17"/>
  <c r="Q40" i="17"/>
  <c r="L41" i="17"/>
  <c r="O41" i="17"/>
  <c r="J42" i="17"/>
  <c r="N42" i="17"/>
  <c r="Q42" i="17"/>
  <c r="L43" i="17"/>
  <c r="O43" i="17"/>
  <c r="J44" i="17"/>
  <c r="N44" i="17"/>
  <c r="Q44" i="17"/>
  <c r="O45" i="17"/>
  <c r="L45" i="17"/>
  <c r="K46" i="17"/>
  <c r="L20" i="17"/>
  <c r="O20" i="17"/>
  <c r="N21" i="17"/>
  <c r="Q21" i="17"/>
  <c r="M22" i="17"/>
  <c r="P22" i="17"/>
  <c r="K30" i="17"/>
  <c r="M31" i="17"/>
  <c r="P31" i="17"/>
  <c r="K32" i="17"/>
  <c r="M33" i="17"/>
  <c r="P33" i="17"/>
  <c r="K34" i="17"/>
  <c r="M35" i="17"/>
  <c r="P35" i="17"/>
  <c r="K36" i="17"/>
  <c r="M37" i="17"/>
  <c r="P37" i="17"/>
  <c r="K38" i="17"/>
  <c r="M39" i="17"/>
  <c r="P39" i="17"/>
  <c r="K40" i="17"/>
  <c r="M41" i="17"/>
  <c r="P41" i="17"/>
  <c r="K42" i="17"/>
  <c r="M43" i="17"/>
  <c r="P43" i="17"/>
  <c r="K44" i="17"/>
  <c r="M45" i="17"/>
  <c r="P45" i="17"/>
  <c r="L46" i="17"/>
  <c r="O46" i="17"/>
  <c r="P12" i="17"/>
  <c r="M12" i="17"/>
  <c r="K13" i="17"/>
  <c r="P14" i="17"/>
  <c r="M14" i="17"/>
  <c r="K15" i="17"/>
  <c r="P16" i="17"/>
  <c r="M16" i="17"/>
  <c r="K17" i="17"/>
  <c r="P18" i="17"/>
  <c r="M18" i="17"/>
  <c r="K19" i="17"/>
  <c r="M20" i="17"/>
  <c r="P20" i="17"/>
  <c r="K21" i="17"/>
  <c r="J22" i="17"/>
  <c r="N22" i="17"/>
  <c r="Q22" i="17"/>
  <c r="L30" i="17"/>
  <c r="O30" i="17"/>
  <c r="J31" i="17"/>
  <c r="N31" i="17"/>
  <c r="Q31" i="17"/>
  <c r="L32" i="17"/>
  <c r="O32" i="17"/>
  <c r="J33" i="17"/>
  <c r="N33" i="17"/>
  <c r="Q33" i="17"/>
  <c r="L34" i="17"/>
  <c r="O34" i="17"/>
  <c r="J35" i="17"/>
  <c r="N35" i="17"/>
  <c r="Q35" i="17"/>
  <c r="L36" i="17"/>
  <c r="O36" i="17"/>
  <c r="J37" i="17"/>
  <c r="N37" i="17"/>
  <c r="Q37" i="17"/>
  <c r="L38" i="17"/>
  <c r="O38" i="17"/>
  <c r="J39" i="17"/>
  <c r="N39" i="17"/>
  <c r="Q39" i="17"/>
  <c r="L40" i="17"/>
  <c r="O40" i="17"/>
  <c r="J41" i="17"/>
  <c r="N41" i="17"/>
  <c r="Q41" i="17"/>
  <c r="L42" i="17"/>
  <c r="O42" i="17"/>
  <c r="J43" i="17"/>
  <c r="N43" i="17"/>
  <c r="Q43" i="17"/>
  <c r="L44" i="17"/>
  <c r="O44" i="17"/>
  <c r="N45" i="17"/>
  <c r="Q45" i="17"/>
  <c r="M46" i="17"/>
  <c r="P46" i="17"/>
  <c r="O19" i="17"/>
  <c r="L19" i="17"/>
  <c r="J20" i="17"/>
  <c r="Q20" i="17"/>
  <c r="N20" i="17"/>
  <c r="L21" i="17"/>
  <c r="O21" i="17"/>
  <c r="K22" i="17"/>
  <c r="P30" i="17"/>
  <c r="M30" i="17"/>
  <c r="K31" i="17"/>
  <c r="P32" i="17"/>
  <c r="M32" i="17"/>
  <c r="K33" i="17"/>
  <c r="P34" i="17"/>
  <c r="M34" i="17"/>
  <c r="K35" i="17"/>
  <c r="P36" i="17"/>
  <c r="M36" i="17"/>
  <c r="K37" i="17"/>
  <c r="P38" i="17"/>
  <c r="M38" i="17"/>
  <c r="K39" i="17"/>
  <c r="P40" i="17"/>
  <c r="M40" i="17"/>
  <c r="K41" i="17"/>
  <c r="P42" i="17"/>
  <c r="M42" i="17"/>
  <c r="K43" i="17"/>
  <c r="P44" i="17"/>
  <c r="M44" i="17"/>
  <c r="K45" i="17"/>
  <c r="J46" i="17"/>
  <c r="Q46" i="17"/>
  <c r="N46" i="17"/>
  <c r="K14" i="10" l="1"/>
  <c r="N14" i="10"/>
</calcChain>
</file>

<file path=xl/sharedStrings.xml><?xml version="1.0" encoding="utf-8"?>
<sst xmlns="http://schemas.openxmlformats.org/spreadsheetml/2006/main" count="1469" uniqueCount="503">
  <si>
    <t>ENCUESTA DE TURISMO RECEPTIVO DEL CABILDO DE TENERIFE</t>
  </si>
  <si>
    <t>ÍNDICE</t>
  </si>
  <si>
    <t>TABLAS</t>
  </si>
  <si>
    <t>GRUPOS DE EDAD</t>
  </si>
  <si>
    <t>EDAD MEDIA DE LOS TURISTAS POR MERCADOS</t>
  </si>
  <si>
    <t>NIVEL DE RENTA DEL TURISTA</t>
  </si>
  <si>
    <t>NIVEL DE RENTA DEL TURISTA POR MERCADOS</t>
  </si>
  <si>
    <t>GRUPO VACACIONAL</t>
  </si>
  <si>
    <t>GASTO EN ORIGEN Y DESTINO</t>
  </si>
  <si>
    <t>GASTO EN DESTINO SEGÚN CONCEPTOS</t>
  </si>
  <si>
    <t>GASTO SEGÚN MERCADOS</t>
  </si>
  <si>
    <t>NIVEL DE FIDELIDAD</t>
  </si>
  <si>
    <t>NIVEL DE FIDELIDAD (Últimos 5 años)</t>
  </si>
  <si>
    <t>NIVEL DE FIDELIDAD POR MERCADOS</t>
  </si>
  <si>
    <t>NIVEL DE FIDELIDAD POR MERCADOS (Últimos 5 años)</t>
  </si>
  <si>
    <t>ZONA DE ALOJAMIENTO</t>
  </si>
  <si>
    <t>ESTANCIA MEDIA POR MERCADOS</t>
  </si>
  <si>
    <t>TIPO DE ALOJAMIENTO</t>
  </si>
  <si>
    <t xml:space="preserve">USO DE COCHE </t>
  </si>
  <si>
    <t>TRANSFER USADO PARA SU TRASLADO AL AEROPUERTO</t>
  </si>
  <si>
    <t>FORMULA DE CONTRATACIÓN DEL VUELO Y EL ALOJAMIENTO</t>
  </si>
  <si>
    <t>FÓRMULA DE CONTRATACIÓN MODALIDAD PAQUETE TURÍSTICO POR NACIONALIDADES (%)</t>
  </si>
  <si>
    <t>FÓRMULA DE CONTRATACIÓN INDEPENDIENTE DE LOS SERVICIOS DEL VIAJE POR NACIONALIDADES (%)</t>
  </si>
  <si>
    <t>SERVICIOS CONTRATADOS EN ORIGEN</t>
  </si>
  <si>
    <t>TURISTAS QUE REALIZAN ESCALA EN SU VIAJE POR MERCADOS</t>
  </si>
  <si>
    <t>USO INTERNET</t>
  </si>
  <si>
    <t>USO INTERNET POR MERCADOS</t>
  </si>
  <si>
    <t>ACTIVIDADES REALIZADAS</t>
  </si>
  <si>
    <t>ACTIVIDADES REALIZADAS POR MERCADOS</t>
  </si>
  <si>
    <t>EXCURSIONES REALIZADAS</t>
  </si>
  <si>
    <t>EXCURSIONES REALIZADAS POR MERCADOS</t>
  </si>
  <si>
    <t>MOTIVOS ELECCIÓN TENERIFE (% sobre Turistas)</t>
  </si>
  <si>
    <t>MOTIVOS ELECCIÓN TENERIFE (% sobre respuestas)</t>
  </si>
  <si>
    <t>SATISFACCIÓN</t>
  </si>
  <si>
    <t>SATISFACCIÓN DETALLADA</t>
  </si>
  <si>
    <t>SATISFACCIÓN GLOBAL DE LOS TURISTAS CON SU VIAJE A TENERIFE POR NACIONALIDADES</t>
  </si>
  <si>
    <t>ORDEN DE IMPORTANCIA DE LOS FACTORES EN SU VIAJE</t>
  </si>
  <si>
    <t>GRÁFICAS</t>
  </si>
  <si>
    <t>GRÁFICA DE LOS GRUPOS DE EDAD (1)</t>
  </si>
  <si>
    <t>GRÁFICA DE LOS GRUPOS DE EDAD (2)</t>
  </si>
  <si>
    <t>GRÁFICA EDAD MEDIA DE LOS TURISTAS POR MERCADOS</t>
  </si>
  <si>
    <t>GRÁFICA NIVEL DE RENTA DEL TURISTA POR MERCADOS</t>
  </si>
  <si>
    <t>GRÁFICA GRUPO VACACIONAL</t>
  </si>
  <si>
    <t>GRÁFICA GASTO EN ORIGEN Y DESTINO</t>
  </si>
  <si>
    <t>GRÁFICA GASTO EN DESTINO SEGÚN PARTIDAS</t>
  </si>
  <si>
    <t>GRÁFICA FIDELIDAD</t>
  </si>
  <si>
    <t>GRÁFICA FIDELIDAD (Últimos 5 años)</t>
  </si>
  <si>
    <t>GRÁFICA FIDELIDAD POR MERCADOS</t>
  </si>
  <si>
    <t>GRÁFICA ZONA DE ALOJAMIENTO</t>
  </si>
  <si>
    <t>GRÁFICA TIPO DE ALOJAMIENTO</t>
  </si>
  <si>
    <t>GRÁFICA ESTANCIA MEDIA POR MERCADOS</t>
  </si>
  <si>
    <t>GRÁFICA REALIZACIÓN DE ESCALA EN EL VIAJE POR MERCADOS</t>
  </si>
  <si>
    <t>GRÁFICA MOTIVOS ELECCIÓN TENERIFE (% sobre turistas)</t>
  </si>
  <si>
    <t>GRÁFICA MOTIVOS ELECCIÓN TENERIFE (% sobre respuestas)</t>
  </si>
  <si>
    <t>GRÁFICA SATISFACCIÓN</t>
  </si>
  <si>
    <t>GRÁFICA SATISFACCIÓN GLOBAL DE LOS TURISTAS POR NACIONALIDADES</t>
  </si>
  <si>
    <t>TURISMO DE TENERIFE</t>
  </si>
  <si>
    <t>DISTRIBUCIÓN POR EDADES DE LOS TURISTAS  (%)</t>
  </si>
  <si>
    <t>var 08/07</t>
  </si>
  <si>
    <t>var 09/08</t>
  </si>
  <si>
    <t>var 10/09</t>
  </si>
  <si>
    <t>var 11/10</t>
  </si>
  <si>
    <t>var 12/11</t>
  </si>
  <si>
    <t>25 años y menos</t>
  </si>
  <si>
    <t>26 a 30 años</t>
  </si>
  <si>
    <t>31 a 45 años</t>
  </si>
  <si>
    <t>GRÁFICA 1</t>
  </si>
  <si>
    <t>46 a 50 años</t>
  </si>
  <si>
    <t>51 a 60 años</t>
  </si>
  <si>
    <t>61 y más años</t>
  </si>
  <si>
    <t>GRÁFICA 2</t>
  </si>
  <si>
    <t>no contesta</t>
  </si>
  <si>
    <t>Media de Edad (años)</t>
  </si>
  <si>
    <t>Fuente: Encuesta al Turismo Receptivo Cabildo Tenerife. Elaboración: Turismo de Tenerife</t>
  </si>
  <si>
    <t>DISTRIBUCIÓN POR EDADES DE LOS TURISTAS DE TENERIFE (%)</t>
  </si>
  <si>
    <t>Fuente: Encuesta al Turismo Receptivo Cabildo Tenerife
Elaboración: Turismo de Tenerife</t>
  </si>
  <si>
    <t>TABLA</t>
  </si>
  <si>
    <t>dif. 08-07</t>
  </si>
  <si>
    <t>dif. 09-08</t>
  </si>
  <si>
    <t>dif. 10-09</t>
  </si>
  <si>
    <t>dif. 11-10</t>
  </si>
  <si>
    <t>dif. 12-11</t>
  </si>
  <si>
    <t>Suecia</t>
  </si>
  <si>
    <t>Noruega</t>
  </si>
  <si>
    <t>Total nórdicos</t>
  </si>
  <si>
    <t>Dinamarca</t>
  </si>
  <si>
    <t>Finlandia</t>
  </si>
  <si>
    <t>Reino Unido</t>
  </si>
  <si>
    <t>Bélgica</t>
  </si>
  <si>
    <t>Alemania</t>
  </si>
  <si>
    <t>Todos los países</t>
  </si>
  <si>
    <t>Holanda</t>
  </si>
  <si>
    <t>Francia</t>
  </si>
  <si>
    <t>Suiza + Austria</t>
  </si>
  <si>
    <t xml:space="preserve">Irlanda </t>
  </si>
  <si>
    <t>Italia</t>
  </si>
  <si>
    <t>Península</t>
  </si>
  <si>
    <t>n.d.</t>
  </si>
  <si>
    <t>-</t>
  </si>
  <si>
    <t>España</t>
  </si>
  <si>
    <t>Rusia</t>
  </si>
  <si>
    <t>Canarias</t>
  </si>
  <si>
    <t>GRÁFICA</t>
  </si>
  <si>
    <t>dif. 12/11</t>
  </si>
  <si>
    <t>DISTRIBUCIÓN DE LA RENTA MEDIA FAMILIAR DE LOS TURISTAS DE TENERIFE (%)</t>
  </si>
  <si>
    <t>var. 12/11</t>
  </si>
  <si>
    <t>12.000 € y menos</t>
  </si>
  <si>
    <t>12.001 - 18.000 €</t>
  </si>
  <si>
    <t>18.001 - 24.000 €</t>
  </si>
  <si>
    <t>24.001 - 36.000 €</t>
  </si>
  <si>
    <t>36.001 - 45.000 €</t>
  </si>
  <si>
    <t>45.001 - 66.000 €</t>
  </si>
  <si>
    <t>66.001 - 84.000 €</t>
  </si>
  <si>
    <t>Más de 84.000 €</t>
  </si>
  <si>
    <t>Renta media (€)</t>
  </si>
  <si>
    <r>
      <rPr>
        <b/>
        <sz val="8"/>
        <color theme="3" tint="-0.249977111117893"/>
        <rFont val="Arial"/>
        <family val="2"/>
      </rPr>
      <t>** Cambio metodológico en los intervalos de renta: los datos 2010 hacen referencia a los datos recogidos de julio a diciembre 2010.</t>
    </r>
    <r>
      <rPr>
        <sz val="8"/>
        <color theme="3" tint="-0.249977111117893"/>
        <rFont val="Arial"/>
        <family val="2"/>
      </rPr>
      <t xml:space="preserve">
Fuente: Encuesta al Turismo Receptivo Cabildo Tenerife
Elaboración: Turismo de Tenerife</t>
    </r>
  </si>
  <si>
    <t>18.000 y menos</t>
  </si>
  <si>
    <t>18.001 a 24.000</t>
  </si>
  <si>
    <t>24.001 a 36.000</t>
  </si>
  <si>
    <t>36.001 a 48.000</t>
  </si>
  <si>
    <t>48.001 a 60.000</t>
  </si>
  <si>
    <t>60.000 y más</t>
  </si>
  <si>
    <r>
      <t>Renta media (</t>
    </r>
    <r>
      <rPr>
        <b/>
        <sz val="10"/>
        <color theme="3" tint="-0.249977111117893"/>
        <rFont val="Calibri"/>
        <family val="2"/>
        <scheme val="minor"/>
      </rPr>
      <t>€</t>
    </r>
    <r>
      <rPr>
        <b/>
        <i/>
        <sz val="10"/>
        <color theme="3" tint="-0.249977111117893"/>
        <rFont val="Calibri"/>
        <family val="2"/>
        <scheme val="minor"/>
      </rPr>
      <t>)</t>
    </r>
  </si>
  <si>
    <t>nueva versión introducida en julio 2010</t>
  </si>
  <si>
    <t>Ene-Sep 2010**</t>
  </si>
  <si>
    <r>
      <rPr>
        <b/>
        <sz val="8"/>
        <color theme="3" tint="-0.249977111117893"/>
        <rFont val="Calibri"/>
        <family val="2"/>
        <scheme val="minor"/>
      </rPr>
      <t>** Cambio metodológico en los intervalos de renta: los datos 2010 hacen referencia a los datos recogidos de julio a septiembre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
Elaboración: Turismo de Tenerife</t>
    </r>
  </si>
  <si>
    <t>RENTA MEDIA FAMILIAR DE LOS TURISTAS DE TENERIFE SEGÚN MERCADOS (€)</t>
  </si>
  <si>
    <t>dif. respecto renta media año 2011</t>
  </si>
  <si>
    <t>dif. respecto renta media año 2012</t>
  </si>
  <si>
    <t>** Cambio metodológico en los intervalos de renta: los datos 2010 hacen referencia a los datos recogidos de julio a diciembre 2010.
Fuente: Encuesta al Turismo Receptivo Cabildo Tenerife
Elaboración: Turismo de Tenerife</t>
  </si>
  <si>
    <t>dif. respecto 
 renta media 
2009</t>
  </si>
  <si>
    <t>Posición respecto
 Renta media 
Ene-Sep 2010</t>
  </si>
  <si>
    <t>RELACIÓN CON LOS ACOMPAÑANTES DE LOS TURISTAS EN TENERIFE (%)</t>
  </si>
  <si>
    <t>Pareja</t>
  </si>
  <si>
    <t>Pareja e hijos</t>
  </si>
  <si>
    <t>Amigos</t>
  </si>
  <si>
    <t>Sólo</t>
  </si>
  <si>
    <t>Otros familiares</t>
  </si>
  <si>
    <t>Con hijos/nietos (sin pareja)</t>
  </si>
  <si>
    <t>Con madre y/o padre</t>
  </si>
  <si>
    <t>Otras relaciones</t>
  </si>
  <si>
    <t>Turismo familiar*</t>
  </si>
  <si>
    <t>No contesta</t>
  </si>
  <si>
    <r>
      <rPr>
        <b/>
        <sz val="8"/>
        <color theme="3" tint="-0.249977111117893"/>
        <rFont val="Calibri"/>
        <family val="2"/>
        <scheme val="minor"/>
      </rPr>
      <t>** En julio 2010 se ha introducido una nueva relación "con madre y/o padre": el dato de 2010 correspondiente a este item hace referencia al período julio-diciembre 2010.
* Turismo familiar= Pareja e hijos + Con hijos/nietos (sin pareja)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 Elaboración: Turismo de Tenerife</t>
    </r>
  </si>
  <si>
    <t>DISTRIBUCION POR RANGO DE EDAD DE LOS NIÑOS QUE VIAJAN EN GRUPOS A TENERIFE (%)</t>
  </si>
  <si>
    <t>Grupo con niños</t>
  </si>
  <si>
    <t>2 años y menos</t>
  </si>
  <si>
    <t>3 a 7 años</t>
  </si>
  <si>
    <t>más de 7 años</t>
  </si>
  <si>
    <t>EVOLUCIÓN GASTO MEDIO DE LOS TURISTAS EN TENERIFE</t>
  </si>
  <si>
    <t>Gasto medio por turista (€/persona)</t>
  </si>
  <si>
    <t>Gasto en origen</t>
  </si>
  <si>
    <t>Gasto en destino</t>
  </si>
  <si>
    <t>Gasto total</t>
  </si>
  <si>
    <t>Gasto medio diario por turista (€/persona/día)</t>
  </si>
  <si>
    <t>I semestre 2009</t>
  </si>
  <si>
    <t>Invierno 08-09</t>
  </si>
  <si>
    <t>I semestre 2010</t>
  </si>
  <si>
    <t>año 2011</t>
  </si>
  <si>
    <t>año 2012</t>
  </si>
  <si>
    <t>GASTO MEDIO DE LOS TURISTA SEGÚN MERCADOS 
 (Euros)</t>
  </si>
  <si>
    <t>var. 08/07</t>
  </si>
  <si>
    <t>var. 09/08</t>
  </si>
  <si>
    <t>var. 10/09</t>
  </si>
  <si>
    <t>var.11/10</t>
  </si>
  <si>
    <t>var.11/12</t>
  </si>
  <si>
    <t>Gasto medio por turista</t>
  </si>
  <si>
    <t>Gasto medio diario por turista</t>
  </si>
  <si>
    <t>Origen</t>
  </si>
  <si>
    <t>Destino</t>
  </si>
  <si>
    <t>Resto del Mundo</t>
  </si>
  <si>
    <t>Total Mercados</t>
  </si>
  <si>
    <t xml:space="preserve">FUENTE: Encuesta al Turismo Receptivo, Cabildo Insular de Tenerife.  ELABORACIÓN: Turismo de Tenerife </t>
  </si>
  <si>
    <t>Invierno09-10</t>
  </si>
  <si>
    <t>Gato medio por turista</t>
  </si>
  <si>
    <t>Gato medio diario por turista</t>
  </si>
  <si>
    <t xml:space="preserve">FUENTE: Encuesta al Turismo Receptivo, Cabildo Insular de Tenerife. 
ELABORACIÓN: Turismo de Tenerife </t>
  </si>
  <si>
    <t>Var I semestre 10/09</t>
  </si>
  <si>
    <t xml:space="preserve"> </t>
  </si>
  <si>
    <t xml:space="preserve">GASTO MEDIO DIARIO DE LOS TURISTAS EN DESTINO SEGÚN CONCEPTO (€/persona/día) </t>
  </si>
  <si>
    <t>(€/persona/día)</t>
  </si>
  <si>
    <t>Peso cada concepto   año 2010</t>
  </si>
  <si>
    <t>Peso cada concepto año 2011</t>
  </si>
  <si>
    <t>Peso cada concepto año 2012</t>
  </si>
  <si>
    <t>Restaurantes</t>
  </si>
  <si>
    <t>Compras</t>
  </si>
  <si>
    <t>Compras de comida</t>
  </si>
  <si>
    <t>Extras alojamiento</t>
  </si>
  <si>
    <t>Excursiones organizadas</t>
  </si>
  <si>
    <t xml:space="preserve">Alquiler de coche </t>
  </si>
  <si>
    <t>Ocio/ diversión/cultura</t>
  </si>
  <si>
    <t>Alojamiento pagado en destino</t>
  </si>
  <si>
    <t xml:space="preserve">Transporte público </t>
  </si>
  <si>
    <t xml:space="preserve">Ocio nocturno </t>
  </si>
  <si>
    <t>Actividades deportivas</t>
  </si>
  <si>
    <t>Tratamientos salud</t>
  </si>
  <si>
    <t>Time sharing</t>
  </si>
  <si>
    <t>Otros servicios fuera del alojamiento</t>
  </si>
  <si>
    <t>Otros gastos</t>
  </si>
  <si>
    <t>Casinos</t>
  </si>
  <si>
    <t>Total</t>
  </si>
  <si>
    <t xml:space="preserve">FUENTE: Encuesta al Turismo Receptivo, Cabildo Insular de Tenerife. ELABORACIÓN: Turismo de Tenerife </t>
  </si>
  <si>
    <t xml:space="preserve">GASTO MEDIO DE LOS TURISTAS EN DESTINO SEGÚN CONCEPTO (€/persona) </t>
  </si>
  <si>
    <t>(€/persona)</t>
  </si>
  <si>
    <t>Peso cada concepto   año 2011</t>
  </si>
  <si>
    <t>Peso cada concepto   año 2012</t>
  </si>
  <si>
    <t>Alquiler de coche</t>
  </si>
  <si>
    <t>Transporte público</t>
  </si>
  <si>
    <t>Ocio nocturno</t>
  </si>
  <si>
    <t>NIVEL DE FIDELIDAD: PORCENTAJE DE REPETICIÓN DE VISITAS A TENERIFE (%)</t>
  </si>
  <si>
    <t>Nuevos visitantes</t>
  </si>
  <si>
    <t>Repetidores</t>
  </si>
  <si>
    <t>1 visita anterior</t>
  </si>
  <si>
    <t>2-3 visitas anteriores</t>
  </si>
  <si>
    <t>4 o más visitas anteriores</t>
  </si>
  <si>
    <t>FUENTE: Encuesta al Turismo Receptivo, Cabildo Insular de Tenerife. ELABORACIÓN: Turismo de Tenerife</t>
  </si>
  <si>
    <t>NIVEL DE FIDELIDAD: PORCENTAJE DE REPETICIÓN DE VISITAS A TENERIFE(%) 
ÚLTIMOS 5 AÑOS</t>
  </si>
  <si>
    <t>NIVEL DE FIDELIDAD: PORCENTAJE DE REPETICIÓN DE VISITAS A TENERIFE  SEGÚN MERCADOS (%)</t>
  </si>
  <si>
    <t>Var 09/08</t>
  </si>
  <si>
    <t>Var 10/09</t>
  </si>
  <si>
    <t>Var 11/10</t>
  </si>
  <si>
    <t>Var 12/11</t>
  </si>
  <si>
    <t>1ª visita</t>
  </si>
  <si>
    <t>repetidor</t>
  </si>
  <si>
    <t>Irlanda</t>
  </si>
  <si>
    <t>NIVEL DE FIDELIDAD: PORCENTAJE DE REPETICIÓN DE VISITAS A TENERIFE  SEGÚN MERCADOS (%) ÚLTIMOS 5 AÑOS</t>
  </si>
  <si>
    <t>DISTRIBUCIÓN POR ZONAS DE ALOJAMIENTO DE LOS TURISTAS DE TENERIFE (%)</t>
  </si>
  <si>
    <t>Costa Adeje</t>
  </si>
  <si>
    <t>Las Américas-Arona</t>
  </si>
  <si>
    <t>Pº Cruz/ Valle Orotava</t>
  </si>
  <si>
    <t>Centros sec.sur</t>
  </si>
  <si>
    <t>Los Cristianos</t>
  </si>
  <si>
    <t>Los Gigantes/ Pº Santiago + Abama</t>
  </si>
  <si>
    <t>Resto sur + sur interior</t>
  </si>
  <si>
    <t>Área metropolitana</t>
  </si>
  <si>
    <t>Resto norte</t>
  </si>
  <si>
    <t>PORCENTAJE DE TURISTAS EN TENERIFE SEGÚN TIPO DE ALOJAMIENTO  (%)</t>
  </si>
  <si>
    <t>Hotel</t>
  </si>
  <si>
    <t>Apartamento</t>
  </si>
  <si>
    <t>Casa particular</t>
  </si>
  <si>
    <t>Aparthotel</t>
  </si>
  <si>
    <t>Turismo rural</t>
  </si>
  <si>
    <t>Otro tipo</t>
  </si>
  <si>
    <t>FUENTE: Encuesta al Turismo Receptivo del Cabildo de Tenerife. ELABORACIÓN: Turismo de Tenerife</t>
  </si>
  <si>
    <t>PORCENTAJE DE TURISTAS SEGÚN TIPO DE ALOJAMIENTO (%)</t>
  </si>
  <si>
    <t>Hotel 5*</t>
  </si>
  <si>
    <t>Hotel 4*</t>
  </si>
  <si>
    <t>Hotel 3*</t>
  </si>
  <si>
    <t>Hotel 1 y 2*</t>
  </si>
  <si>
    <t>Aparthotel 4*</t>
  </si>
  <si>
    <t>Aparthotel 3*</t>
  </si>
  <si>
    <t>Aparthotel 1 y 2*</t>
  </si>
  <si>
    <t>Apartam. 3 llaves</t>
  </si>
  <si>
    <t>Apartam. 2 llaves</t>
  </si>
  <si>
    <t>Apartam. 1 llave</t>
  </si>
  <si>
    <t>Casa/apartamento privado</t>
  </si>
  <si>
    <t>Casa/hotel rural</t>
  </si>
  <si>
    <t>Camping</t>
  </si>
  <si>
    <t>Otro alojamiento</t>
  </si>
  <si>
    <t>ESTANCIA MEDIA DE LOS TURISTAS QUE  VISITAN TENERIFE  SEGÚN MERCADOS (noches)</t>
  </si>
  <si>
    <t>dif.08/07</t>
  </si>
  <si>
    <t>dif.09/08</t>
  </si>
  <si>
    <t>dif.10/09</t>
  </si>
  <si>
    <t>dif.11/10</t>
  </si>
  <si>
    <t>dif.12/11</t>
  </si>
  <si>
    <t>USO DE COCHE POR PARTE DE LOS TURISTAS DURANTE SU ESTANCIA EN TENERIFE (%)</t>
  </si>
  <si>
    <t>Sí utilizó coche</t>
  </si>
  <si>
    <t>alquilado</t>
  </si>
  <si>
    <t>Nº días alquilado</t>
  </si>
  <si>
    <t>cedido</t>
  </si>
  <si>
    <t>Nº días cedido</t>
  </si>
  <si>
    <t>propio</t>
  </si>
  <si>
    <t xml:space="preserve">Nº días </t>
  </si>
  <si>
    <t>No utilizó coche</t>
  </si>
  <si>
    <t>FUENTE: Encuestas al Turismo Receptivo del Cabildo Insular de Tenerife. ELABORACIÓN: Turismo de Tenerife</t>
  </si>
  <si>
    <t>FORMULA DE CONTRATACIÓN DEL VUELO Y ALOJAMIENTO (%)</t>
  </si>
  <si>
    <t>Contrata vuelo y alojamiento como servicios independientes</t>
  </si>
  <si>
    <t>Paquete turístico</t>
  </si>
  <si>
    <t>no lo sabe</t>
  </si>
  <si>
    <t>FORMULA DE CONTRATACIÓN DEL VUELO (%)</t>
  </si>
  <si>
    <t>2010 **</t>
  </si>
  <si>
    <t>CONTRATACIÓN CON LA COMPAÑÍA</t>
  </si>
  <si>
    <t>compañía:pers/tf/fax</t>
  </si>
  <si>
    <t>compañía:portal web</t>
  </si>
  <si>
    <t>compañía:web compañía</t>
  </si>
  <si>
    <t>TOUROPERADOR/AGENCIA DE VIAJES</t>
  </si>
  <si>
    <t>turoperador/ aavv :pers/tf/fax</t>
  </si>
  <si>
    <t>turoperador/aavv: portal web</t>
  </si>
  <si>
    <r>
      <t>**Datos 2010 hacen referencia al período julio-diciembre, dado que en julio se introdujeron cambios metodológicos en la formulación de la pregunta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</si>
  <si>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FORMULA DE CONTRATACIÓN DEL ALOJAMIENTO (%)</t>
  </si>
  <si>
    <t>ALOJAMIENTO</t>
  </si>
  <si>
    <t>directo con el alojamiento</t>
  </si>
  <si>
    <t>portal/web alojamiento</t>
  </si>
  <si>
    <t>web propia del alojamiento</t>
  </si>
  <si>
    <t>Contrató al llegar a Tenerife</t>
  </si>
  <si>
    <t>propietario</t>
  </si>
  <si>
    <t>cesión gratis/pago</t>
  </si>
  <si>
    <t>premio/regalo</t>
  </si>
  <si>
    <t>intercambio vivienda</t>
  </si>
  <si>
    <t>otra modalidad</t>
  </si>
  <si>
    <r>
      <rPr>
        <b/>
        <sz val="8"/>
        <color theme="3" tint="-0.249977111117893"/>
        <rFont val="Calibri"/>
        <family val="2"/>
        <scheme val="minor"/>
      </rPr>
      <t>Explotación a partir del año 2011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</si>
  <si>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TOUROPERADOR / AGENCIA DE VIAJES</t>
  </si>
  <si>
    <t>directo con turoperador/aavv</t>
  </si>
  <si>
    <t>portal/web turoperador/aavv</t>
  </si>
  <si>
    <t>FORMULA DE CONTRATACIÓN   (%)</t>
  </si>
  <si>
    <t>VUELO</t>
  </si>
  <si>
    <t xml:space="preserve">directo </t>
  </si>
  <si>
    <t xml:space="preserve">portal/web </t>
  </si>
  <si>
    <t>Media nacionalidades</t>
  </si>
  <si>
    <t>FÓRMULA DE CONTRATACIÓN MODALIDAD PAQUETE TURÍSTICO  POR NACIONALIDADES (%)</t>
  </si>
  <si>
    <t>FÓRMULA DE CONTRATACIÓN INDEPENDIENTE DE LOS SERVICIOS DEL VIAJE,  POR NACIONALIDADES (%)</t>
  </si>
  <si>
    <t>TRANSFER USADO POR LOS TURISTAS PARA SUS TRASLADOS AEROPUERTO - ALOJAMIENTO (%)</t>
  </si>
  <si>
    <t>Bus turístico</t>
  </si>
  <si>
    <t>Coche privado o alquiler</t>
  </si>
  <si>
    <t>Taxi</t>
  </si>
  <si>
    <t>Transporte del alojamiento**</t>
  </si>
  <si>
    <t>Bus regular</t>
  </si>
  <si>
    <t>Limusina</t>
  </si>
  <si>
    <r>
      <rPr>
        <b/>
        <sz val="8"/>
        <color theme="3" tint="-0.249977111117893"/>
        <rFont val="Calibri"/>
        <family val="2"/>
        <scheme val="minor"/>
      </rPr>
      <t>**Cambio en la formulación de la pregunta: los datos del item "transporte del alojamiento" hacen referencia al período julio-diciembre 2010</t>
    </r>
    <r>
      <rPr>
        <sz val="8"/>
        <color theme="3" tint="-0.249977111117893"/>
        <rFont val="Calibri"/>
        <family val="2"/>
        <scheme val="minor"/>
      </rPr>
      <t xml:space="preserve">
FUENTE: Encuesta al Turismo Receptivo, Cabildo Insular de Tenerife. ELABORACIÓN: Turismo de Tenerife </t>
    </r>
  </si>
  <si>
    <t>SERVICIOS CONTRATADOS POR LOS TURISTAS EN ORIGEN (%)</t>
  </si>
  <si>
    <t>Sólo vuelo</t>
  </si>
  <si>
    <t>Total vuelo y alojamiento</t>
  </si>
  <si>
    <t>Vuelo-sólo alojamiento</t>
  </si>
  <si>
    <t>Vuelo-alojamiento y desayuno</t>
  </si>
  <si>
    <t>Vuelo-alojamiento y media pensión</t>
  </si>
  <si>
    <t>Vuelo-alojamiento y pensión completa</t>
  </si>
  <si>
    <t>Vuelo-alojamiento y todo incluido</t>
  </si>
  <si>
    <t xml:space="preserve">Servicios complementarios </t>
  </si>
  <si>
    <t>Excursiones</t>
  </si>
  <si>
    <t>Viaje combinado</t>
  </si>
  <si>
    <t>Crucero</t>
  </si>
  <si>
    <t>Actividades Deportivas</t>
  </si>
  <si>
    <t>Tratamientos de salud</t>
  </si>
  <si>
    <t>Transporte Alojamiento-Aeropuerto</t>
  </si>
  <si>
    <t>PORCENTAJE DE TURISTAS QUE REALIZAN ESCALA EN SU VIAJE A TENERIFE POR NACIONALIDADES</t>
  </si>
  <si>
    <t>NIVEL DE USO DE INTERNET DE LOS TURISTAS  (%)</t>
  </si>
  <si>
    <t>Usó internet</t>
  </si>
  <si>
    <t>Sólo consultas</t>
  </si>
  <si>
    <t>Para reservar</t>
  </si>
  <si>
    <t>Para comprar</t>
  </si>
  <si>
    <t>Reserva y compra</t>
  </si>
  <si>
    <t>No usó internet</t>
  </si>
  <si>
    <t>PORCENTAJE DE TURISTAS QUE UTILIZAN INTERNET EN LA ORGANIZACIÓN DE SU VIAJE A TENERIFE POR NACIONALIDADES</t>
  </si>
  <si>
    <t>FUENTE: Encuesta al Turismo Receptivo, Cabildo Insular de Tenerife.  ELABORACIÓN: Turismo de Tenerife</t>
  </si>
  <si>
    <t>PORCENTAJE DE TURISTAS QUE COMPRAN Y RESERVAN POR INTERNET SU VIAJE A TENERIFE POR NACIONALIDADES</t>
  </si>
  <si>
    <t>PORCENTAJE DE TURISTAS QUE REALIZAN ACTIVIDADES DURANTE LA ESTANCIA EN TENERIFE
(% realiza actividades)</t>
  </si>
  <si>
    <t>Realiza actividades</t>
  </si>
  <si>
    <t>Visita a parques temáticos (zoológicos, botánicos, acuáticos)</t>
  </si>
  <si>
    <t>Senderismo (a pié, más de una hora, fuera de áreas urbanas)</t>
  </si>
  <si>
    <t>Observación de cetáceos/delfines/ballenas (en barco)</t>
  </si>
  <si>
    <t>Tratamientos de salud (hidroterapia, masajes,...)</t>
  </si>
  <si>
    <t>Visita a museos, conciertos, exposiciones</t>
  </si>
  <si>
    <t>Excursión a otra isla canaria (en el día)</t>
  </si>
  <si>
    <t>Fiestas y eventos populares (fiestas populares, carnavales,…)</t>
  </si>
  <si>
    <t>Buceo deportivo/fotográfico</t>
  </si>
  <si>
    <t>Golf (excluidos minigolf y campos de práctica)</t>
  </si>
  <si>
    <t>Bike - Ciclismo</t>
  </si>
  <si>
    <t xml:space="preserve">Navegación (vela/ pesca deportivas) </t>
  </si>
  <si>
    <t xml:space="preserve">Deportes de aventura / riesgo (parapente, escalada,...) </t>
  </si>
  <si>
    <t>Observación aves (Birdwatching)</t>
  </si>
  <si>
    <t>Observación de estrellas (especializado)</t>
  </si>
  <si>
    <t>Surf / windsurf/ kitesurf</t>
  </si>
  <si>
    <t>Rutas a caballo</t>
  </si>
  <si>
    <t>Otras actividades</t>
  </si>
  <si>
    <t>Visita casinos de juego</t>
  </si>
  <si>
    <t>No realiza actividades *</t>
  </si>
  <si>
    <t>* En 2009 se introducen cambios metodológicos en el cuestionario, que afectan a la comparativa "no realiza actividades" y "no contesta", de forma que no es posible la comparativa para períodos anteriores.
Fuente: Encuesta al Turismo Receptivo Cabildo Tenerife. Elaboración: Turismo de Tenerife</t>
  </si>
  <si>
    <t>PORCENTAJE DE TURISTAS QUE REALIZAN ALGUNA ACTIVIDAD EN SU VIAJE A TENERIFE POR NACIONALIDADES</t>
  </si>
  <si>
    <t>PORCENTAJE DE TURISTAS QUE VISITAN LUGARES DE INTERÉS</t>
  </si>
  <si>
    <t>Realiza visitas</t>
  </si>
  <si>
    <t>El Teide</t>
  </si>
  <si>
    <t>Santa Cruz (ciudad)</t>
  </si>
  <si>
    <t xml:space="preserve">Puerto de la Cruz </t>
  </si>
  <si>
    <t xml:space="preserve">Acantilado de los Gigantes </t>
  </si>
  <si>
    <t>Garachico/Icod de los Vinos</t>
  </si>
  <si>
    <t>Vuelta/recorridos por la Isla</t>
  </si>
  <si>
    <t xml:space="preserve">La Laguna (ciudad) </t>
  </si>
  <si>
    <t>La Orotava (centro urbano)</t>
  </si>
  <si>
    <t>Barranco de Masca</t>
  </si>
  <si>
    <t>Playa de las Teresitas</t>
  </si>
  <si>
    <t>Candelaria</t>
  </si>
  <si>
    <t>Teno/Buenavista</t>
  </si>
  <si>
    <t>Anaga/Taganana</t>
  </si>
  <si>
    <t>Barranco del Infierno</t>
  </si>
  <si>
    <t>n.d</t>
  </si>
  <si>
    <t>No realiza visitas</t>
  </si>
  <si>
    <t>* En 2009 se introducen cambios metodológicos en el cuestionario, que afectan a la comparativa "no realiza visitas" y "no contesta", de forma que no es posible la comparativa para períodos anteriores.
*En 2011, se introducen nuevas excursiones en el cuestionario (Teno/Buenavista y Vuelta/Recorridos por la Isla), por lo que no existen comparativas con el año anterior.
Fuente: Encuesta al Turismo Receptivo Cabildo Tenerife. Elaboración: Turismo de Tenerife</t>
  </si>
  <si>
    <t>MOTIVOS MÁS IMPORTANTES A LA HORA DE ELEGIR TENERIFE 
(Respuesta espontánea - % sobre turistas)</t>
  </si>
  <si>
    <t>clima</t>
  </si>
  <si>
    <t>playas /mar</t>
  </si>
  <si>
    <t>accesibilidad /cercanía</t>
  </si>
  <si>
    <t>precio del viaje</t>
  </si>
  <si>
    <t>paisaje natural</t>
  </si>
  <si>
    <t>conocer/ excursiones</t>
  </si>
  <si>
    <t>características del alojamiento</t>
  </si>
  <si>
    <t>buenas referencias /fidelidad</t>
  </si>
  <si>
    <t>relax</t>
  </si>
  <si>
    <t>amabilidad/ hospitalidad/ambiente</t>
  </si>
  <si>
    <t>visita familiares /amigos</t>
  </si>
  <si>
    <t>destino preparado para el turismo</t>
  </si>
  <si>
    <t>precios en Tenerife</t>
  </si>
  <si>
    <t>alojamiento (contratación)</t>
  </si>
  <si>
    <t>gastronomía</t>
  </si>
  <si>
    <t>el Teide</t>
  </si>
  <si>
    <t>actividades /ocio</t>
  </si>
  <si>
    <t>otros</t>
  </si>
  <si>
    <t>deportes</t>
  </si>
  <si>
    <t>senderismo</t>
  </si>
  <si>
    <t>loro parque</t>
  </si>
  <si>
    <t>cultura/eventos/costumbres</t>
  </si>
  <si>
    <t>negocios/estudios/médicos</t>
  </si>
  <si>
    <t>turismo familiar</t>
  </si>
  <si>
    <t>medioambiente urbano</t>
  </si>
  <si>
    <t>la isla</t>
  </si>
  <si>
    <t>celebración/aniversarios/evento</t>
  </si>
  <si>
    <t>seguridad</t>
  </si>
  <si>
    <t>servicios</t>
  </si>
  <si>
    <t>ocio nocturno</t>
  </si>
  <si>
    <t>está en España</t>
  </si>
  <si>
    <t>comercio/compras</t>
  </si>
  <si>
    <t>Siam Park</t>
  </si>
  <si>
    <t>infraestructuras urbanas</t>
  </si>
  <si>
    <t>lugares específicos</t>
  </si>
  <si>
    <t>restaurantes/bares/cafés</t>
  </si>
  <si>
    <t>otros parques temáticos</t>
  </si>
  <si>
    <t>carreteras/transporte</t>
  </si>
  <si>
    <t>pubs/clubs/bares</t>
  </si>
  <si>
    <t>no contestan</t>
  </si>
  <si>
    <t>conocer Tenerife</t>
  </si>
  <si>
    <t>oferta cultural y deportiva</t>
  </si>
  <si>
    <t>el destino y sus infraestructuras</t>
  </si>
  <si>
    <t>gastronomía y restauración</t>
  </si>
  <si>
    <t>Lugares</t>
  </si>
  <si>
    <t>parques de ocio</t>
  </si>
  <si>
    <t>oferta y ocio nocturno</t>
  </si>
  <si>
    <t>No contestan</t>
  </si>
  <si>
    <t>MOTIVOS MÁS IMPORTANTES PARA ELEGIR TENERIFE 
(Respuesta espontánea - % sobre respuestas)</t>
  </si>
  <si>
    <t xml:space="preserve"> % SOBRE RESPUESTAS</t>
  </si>
  <si>
    <t>ÍNDICE DE SATISFACCIÓN DE LOS TURISTAS
(escala 1-10)</t>
  </si>
  <si>
    <t>dif 08/07</t>
  </si>
  <si>
    <t>dif 09/08</t>
  </si>
  <si>
    <t>dif 10/09</t>
  </si>
  <si>
    <t>dif 11/10</t>
  </si>
  <si>
    <t>dif 12/11</t>
  </si>
  <si>
    <t>Factores naturales</t>
  </si>
  <si>
    <t>Factores alojativos</t>
  </si>
  <si>
    <t>Servicios e infraestructuras</t>
  </si>
  <si>
    <t>Media de satisfacción factores</t>
  </si>
  <si>
    <t>Factores genéricos</t>
  </si>
  <si>
    <t>Oferta de restauración</t>
  </si>
  <si>
    <t>Factores ambientales</t>
  </si>
  <si>
    <t>Oferta de actividades y ocio</t>
  </si>
  <si>
    <t>Oferta comercial</t>
  </si>
  <si>
    <t>Satisfacción global percibida*</t>
  </si>
  <si>
    <t>*El Índice de satisfacción corresponde a la media de todos los factores.  La satisfacción global percibida es un índice dado por el turista, (se comienza a medir en 2009)
Fuente: Encuesta al Turismo Receptivo Cabildo Tenerife. Elaboración: Turismo de Tenerife</t>
  </si>
  <si>
    <t>dif. 10/09</t>
  </si>
  <si>
    <t>dif. 11/10</t>
  </si>
  <si>
    <t>Irlanda (Eire)</t>
  </si>
  <si>
    <t xml:space="preserve"> La satisfacción global es un índice dado por el turista, (se comienza a medir en 2009)
FUENTE: Encuesta al Turismo Receptivo, Cabildo Insular de Tenerife. ELABORACIÓN: Turismo de Tenerife</t>
  </si>
  <si>
    <t>ÍNDICE DE SATISFACCIÓN DE LOS TURISTAS CON DIFERENTES ASPECTOS DEL VIAJE 
(Escala 1 a 10)</t>
  </si>
  <si>
    <t>Satisfacción media</t>
  </si>
  <si>
    <t>ÍNDICE MEDIO DE SATISFACCIÓN GLOBAL</t>
  </si>
  <si>
    <t>ÍNDICE SATISFACCIÓN  MEDIA DE FACTORES</t>
  </si>
  <si>
    <t>La temperatura</t>
  </si>
  <si>
    <t>El baño en el mar</t>
  </si>
  <si>
    <t>El sol</t>
  </si>
  <si>
    <t>Paisaje natural / naturaleza</t>
  </si>
  <si>
    <t>Las playas</t>
  </si>
  <si>
    <t>Trato alojamiento</t>
  </si>
  <si>
    <t>Calidad alojamiento</t>
  </si>
  <si>
    <t>Precios del alojamiento</t>
  </si>
  <si>
    <t>Piscinas del alojamiento</t>
  </si>
  <si>
    <t>Calidad de la comida/ bebida en el alojamiento</t>
  </si>
  <si>
    <t>Seguridad personal</t>
  </si>
  <si>
    <r>
      <t xml:space="preserve">Transporte público </t>
    </r>
    <r>
      <rPr>
        <b/>
        <sz val="8"/>
        <color theme="3" tint="-0.249977111117893"/>
        <rFont val="Calibri"/>
        <family val="2"/>
        <scheme val="minor"/>
      </rPr>
      <t>(taxis, autobuses)</t>
    </r>
  </si>
  <si>
    <t>Servicio de alquiler coches</t>
  </si>
  <si>
    <t>Asistencia médica-sanitaria</t>
  </si>
  <si>
    <t>Estado de las carreteras</t>
  </si>
  <si>
    <t>Información y señalización turística en Tenerife</t>
  </si>
  <si>
    <t>Hospitalidad de la población local</t>
  </si>
  <si>
    <r>
      <t xml:space="preserve">Elementos de identidad local </t>
    </r>
    <r>
      <rPr>
        <b/>
        <sz val="8"/>
        <color theme="3" tint="-0.249977111117893"/>
        <rFont val="Calibri"/>
        <family val="2"/>
        <scheme val="minor"/>
      </rPr>
      <t>(tradiciones culturales, patrimonio, folklore, etc.)</t>
    </r>
  </si>
  <si>
    <t>Precios en general en Tenerife</t>
  </si>
  <si>
    <r>
      <t xml:space="preserve">Limpieza pública </t>
    </r>
    <r>
      <rPr>
        <b/>
        <sz val="8"/>
        <color theme="3" tint="-0.249977111117893"/>
        <rFont val="Calibri"/>
        <family val="2"/>
        <scheme val="minor"/>
      </rPr>
      <t>(calles, locales,…)</t>
    </r>
  </si>
  <si>
    <t>La estética / paisaje urbano del centro de vacaciones</t>
  </si>
  <si>
    <t>Tranquilidad / relax</t>
  </si>
  <si>
    <r>
      <t>Calidad ambiental de la zona turística</t>
    </r>
    <r>
      <rPr>
        <b/>
        <sz val="8"/>
        <color theme="3" tint="-0.249977111117893"/>
        <rFont val="Calibri"/>
        <family val="2"/>
        <scheme val="minor"/>
      </rPr>
      <t xml:space="preserve"> (ruidos, contaminación, etc.)</t>
    </r>
  </si>
  <si>
    <t>El trato del personal</t>
  </si>
  <si>
    <t>Calidad de restaurantes y bares</t>
  </si>
  <si>
    <t>Oferta de productos y gastronomía local</t>
  </si>
  <si>
    <t>Los precios de comidas y bebidas en bares y restaurantes</t>
  </si>
  <si>
    <t>Actividades en la naturaleza</t>
  </si>
  <si>
    <t>Instalaciones / actividades deportivas</t>
  </si>
  <si>
    <t>Oferta de ocio nocturno</t>
  </si>
  <si>
    <t>Instalaciones / recreo para niños</t>
  </si>
  <si>
    <t>Actividades culturales</t>
  </si>
  <si>
    <t>Calidad y variedad del comercio de alimentación</t>
  </si>
  <si>
    <t>Calidad y variedad del resto del comercio</t>
  </si>
  <si>
    <t>Precio del comercio</t>
  </si>
  <si>
    <t xml:space="preserve">*El Índice de satisfacción corresponde a la media de todos los factores.  La satisfacción global es un índice dado por el turista, (se comienza a medir en 2009)
FUENTE: Encuesta al Turismo Receptivo, Cabildo Insular de Tenerife. ELABORACIÓN: Turismo de Tenerife </t>
  </si>
  <si>
    <t>ORDEN DE IMPORTANCIA DE LOS FACTORES EN SU VIAJE
(escala 1-8)</t>
  </si>
  <si>
    <t>dif.  Interanual</t>
  </si>
  <si>
    <t>nueva versión</t>
  </si>
  <si>
    <t>*indica orden: EL DATO ES UNA MEDIA DEL ORDEN DE IMPORTANCIA ASIGNADO: CUÁNTO MÁS CERCANO ES A UNO, MÁS IMPORTANTE ES PARA EL TURISTA.
Fuente: Encuesta al Turismo Receptivo Cabildo Tenerife. Elaboración: Turismo de Tenerife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</si>
</sst>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_-* #,##0.00\ [$€-1]_-;\-* #,##0.00\ [$€-1]_-;_-* &quot;-&quot;??\ [$€-1]_-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3" tint="-0.249977111117893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i/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10"/>
      <color rgb="FF000080"/>
      <name val="Arial"/>
      <family val="2"/>
    </font>
    <font>
      <b/>
      <sz val="12"/>
      <color indexed="9"/>
      <name val="Arial"/>
      <family val="2"/>
    </font>
    <font>
      <i/>
      <sz val="10"/>
      <name val="Arial"/>
      <family val="2"/>
    </font>
    <font>
      <sz val="16"/>
      <color rgb="FFFF0000"/>
      <name val="Arial"/>
      <family val="2"/>
    </font>
    <font>
      <b/>
      <sz val="8"/>
      <color theme="3" tint="-0.249977111117893"/>
      <name val="Arial"/>
      <family val="2"/>
    </font>
    <font>
      <b/>
      <sz val="10"/>
      <name val="Arial"/>
      <family val="2"/>
    </font>
    <font>
      <b/>
      <sz val="8"/>
      <color theme="3" tint="-0.249977111117893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sz val="14"/>
      <color rgb="FFFF0000"/>
      <name val="Arial"/>
      <family val="2"/>
    </font>
    <font>
      <sz val="18"/>
      <color rgb="FFFF0000"/>
      <name val="Calibri"/>
      <family val="2"/>
      <scheme val="minor"/>
    </font>
    <font>
      <sz val="8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" fillId="0" borderId="0">
      <alignment vertical="center"/>
    </xf>
  </cellStyleXfs>
  <cellXfs count="3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5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5" borderId="0" xfId="2" quotePrefix="1" applyFill="1" applyAlignment="1" applyProtection="1">
      <alignment horizontal="left" vertical="center"/>
    </xf>
    <xf numFmtId="0" fontId="8" fillId="0" borderId="0" xfId="0" applyFont="1" applyAlignment="1">
      <alignment vertical="center"/>
    </xf>
    <xf numFmtId="0" fontId="7" fillId="5" borderId="0" xfId="0" applyFont="1" applyFill="1" applyBorder="1" applyAlignment="1" applyProtection="1">
      <alignment vertical="center" wrapText="1"/>
      <protection hidden="1"/>
    </xf>
    <xf numFmtId="0" fontId="7" fillId="5" borderId="0" xfId="0" applyFont="1" applyFill="1" applyBorder="1" applyAlignment="1" applyProtection="1">
      <alignment horizontal="right" vertical="center" wrapText="1"/>
      <protection hidden="1"/>
    </xf>
    <xf numFmtId="0" fontId="7" fillId="6" borderId="0" xfId="0" applyFont="1" applyFill="1" applyBorder="1" applyAlignment="1" applyProtection="1">
      <alignment horizontal="right" vertical="center" wrapText="1"/>
      <protection hidden="1"/>
    </xf>
    <xf numFmtId="0" fontId="7" fillId="7" borderId="0" xfId="0" applyFont="1" applyFill="1" applyBorder="1" applyAlignment="1" applyProtection="1">
      <alignment horizontal="left" vertical="center" wrapText="1"/>
      <protection hidden="1"/>
    </xf>
    <xf numFmtId="164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/>
    <xf numFmtId="0" fontId="14" fillId="4" borderId="0" xfId="0" applyFont="1" applyFill="1" applyBorder="1" applyAlignment="1" applyProtection="1">
      <alignment horizontal="left" vertical="center" wrapText="1"/>
      <protection hidden="1"/>
    </xf>
    <xf numFmtId="16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Protection="1">
      <protection hidden="1"/>
    </xf>
    <xf numFmtId="0" fontId="16" fillId="8" borderId="0" xfId="0" applyNumberFormat="1" applyFont="1" applyFill="1" applyBorder="1" applyAlignment="1" applyProtection="1">
      <alignment horizontal="center" vertical="center"/>
      <protection hidden="1"/>
    </xf>
    <xf numFmtId="0" fontId="13" fillId="9" borderId="0" xfId="0" applyFont="1" applyFill="1" applyBorder="1" applyAlignment="1" applyProtection="1">
      <alignment vertical="center" wrapText="1"/>
      <protection hidden="1"/>
    </xf>
    <xf numFmtId="0" fontId="13" fillId="9" borderId="0" xfId="0" applyFont="1" applyFill="1" applyBorder="1" applyAlignment="1" applyProtection="1">
      <alignment horizontal="right" vertical="center" wrapText="1"/>
      <protection hidden="1"/>
    </xf>
    <xf numFmtId="0" fontId="13" fillId="7" borderId="0" xfId="0" applyFont="1" applyFill="1" applyBorder="1" applyAlignment="1" applyProtection="1">
      <alignment vertical="center" wrapText="1"/>
      <protection hidden="1"/>
    </xf>
    <xf numFmtId="164" fontId="6" fillId="7" borderId="0" xfId="0" applyNumberFormat="1" applyFont="1" applyFill="1" applyBorder="1" applyAlignment="1" applyProtection="1">
      <alignment vertical="center" wrapText="1"/>
      <protection hidden="1"/>
    </xf>
    <xf numFmtId="165" fontId="6" fillId="7" borderId="0" xfId="1" applyNumberFormat="1" applyFont="1" applyFill="1" applyBorder="1" applyAlignment="1" applyProtection="1">
      <alignment vertical="center" wrapText="1"/>
      <protection hidden="1"/>
    </xf>
    <xf numFmtId="0" fontId="17" fillId="10" borderId="0" xfId="0" applyFont="1" applyFill="1" applyBorder="1" applyAlignment="1" applyProtection="1">
      <alignment vertical="center" wrapText="1"/>
      <protection hidden="1"/>
    </xf>
    <xf numFmtId="2" fontId="13" fillId="10" borderId="0" xfId="0" applyNumberFormat="1" applyFont="1" applyFill="1" applyBorder="1" applyAlignment="1" applyProtection="1">
      <alignment vertical="center" wrapText="1"/>
      <protection hidden="1"/>
    </xf>
    <xf numFmtId="165" fontId="13" fillId="10" borderId="0" xfId="1" applyNumberFormat="1" applyFont="1" applyFill="1" applyBorder="1" applyAlignment="1" applyProtection="1">
      <alignment vertical="center" wrapText="1"/>
      <protection hidden="1"/>
    </xf>
    <xf numFmtId="0" fontId="18" fillId="9" borderId="0" xfId="0" applyFont="1" applyFill="1" applyBorder="1" applyAlignment="1" applyProtection="1">
      <alignment horizontal="left" vertical="center" wrapText="1"/>
      <protection hidden="1"/>
    </xf>
    <xf numFmtId="0" fontId="14" fillId="7" borderId="0" xfId="0" applyFont="1" applyFill="1" applyBorder="1" applyAlignment="1" applyProtection="1">
      <alignment horizontal="right" vertical="center" wrapText="1"/>
      <protection hidden="1"/>
    </xf>
    <xf numFmtId="164" fontId="8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4" fillId="3" borderId="0" xfId="0" applyFont="1" applyFill="1" applyBorder="1" applyAlignment="1" applyProtection="1">
      <alignment horizontal="right" vertical="center" wrapText="1"/>
      <protection hidden="1"/>
    </xf>
    <xf numFmtId="164" fontId="8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8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7" borderId="0" xfId="0" applyFont="1" applyFill="1" applyBorder="1" applyAlignment="1" applyProtection="1">
      <alignment vertical="center" wrapText="1"/>
      <protection hidden="1"/>
    </xf>
    <xf numFmtId="0" fontId="7" fillId="4" borderId="0" xfId="0" applyFont="1" applyFill="1" applyBorder="1" applyAlignment="1" applyProtection="1">
      <alignment vertical="center" wrapText="1"/>
      <protection hidden="1"/>
    </xf>
    <xf numFmtId="0" fontId="20" fillId="0" borderId="0" xfId="0" applyFont="1"/>
    <xf numFmtId="0" fontId="21" fillId="0" borderId="0" xfId="0" applyFont="1" applyAlignment="1">
      <alignment horizontal="right"/>
    </xf>
    <xf numFmtId="164" fontId="0" fillId="0" borderId="0" xfId="0" applyNumberFormat="1"/>
    <xf numFmtId="164" fontId="0" fillId="0" borderId="0" xfId="1" applyNumberFormat="1" applyFont="1"/>
    <xf numFmtId="0" fontId="22" fillId="0" borderId="0" xfId="0" applyFont="1"/>
    <xf numFmtId="0" fontId="7" fillId="5" borderId="0" xfId="0" applyFont="1" applyFill="1" applyBorder="1" applyAlignment="1" applyProtection="1">
      <alignment vertical="center"/>
      <protection hidden="1"/>
    </xf>
    <xf numFmtId="0" fontId="7" fillId="7" borderId="0" xfId="0" applyFont="1" applyFill="1" applyBorder="1" applyAlignment="1" applyProtection="1">
      <alignment vertical="center"/>
      <protection hidden="1"/>
    </xf>
    <xf numFmtId="0" fontId="14" fillId="4" borderId="0" xfId="0" applyFont="1" applyFill="1" applyBorder="1" applyAlignment="1" applyProtection="1">
      <alignment vertical="center"/>
      <protection hidden="1"/>
    </xf>
    <xf numFmtId="166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6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164" fontId="8" fillId="7" borderId="0" xfId="0" applyNumberFormat="1" applyFont="1" applyFill="1" applyBorder="1" applyAlignment="1" applyProtection="1">
      <alignment vertical="center"/>
      <protection hidden="1"/>
    </xf>
    <xf numFmtId="165" fontId="8" fillId="5" borderId="0" xfId="1" applyNumberFormat="1" applyFont="1" applyFill="1" applyBorder="1" applyAlignment="1" applyProtection="1">
      <alignment vertical="center"/>
      <protection hidden="1"/>
    </xf>
    <xf numFmtId="4" fontId="7" fillId="4" borderId="0" xfId="0" applyNumberFormat="1" applyFont="1" applyFill="1" applyBorder="1" applyAlignment="1" applyProtection="1">
      <alignment vertical="center"/>
      <protection hidden="1"/>
    </xf>
    <xf numFmtId="165" fontId="7" fillId="4" borderId="0" xfId="1" applyNumberFormat="1" applyFont="1" applyFill="1" applyBorder="1" applyAlignment="1" applyProtection="1">
      <alignment vertical="center"/>
      <protection hidden="1"/>
    </xf>
    <xf numFmtId="0" fontId="15" fillId="5" borderId="0" xfId="0" applyFont="1" applyFill="1" applyBorder="1" applyAlignment="1" applyProtection="1">
      <alignment vertical="center"/>
      <protection hidden="1"/>
    </xf>
    <xf numFmtId="0" fontId="15" fillId="5" borderId="0" xfId="0" applyFont="1" applyFill="1" applyBorder="1" applyAlignment="1" applyProtection="1">
      <alignment vertical="center" wrapText="1"/>
      <protection hidden="1"/>
    </xf>
    <xf numFmtId="0" fontId="24" fillId="0" borderId="0" xfId="0" applyFont="1"/>
    <xf numFmtId="164" fontId="8" fillId="7" borderId="0" xfId="0" applyNumberFormat="1" applyFont="1" applyFill="1" applyBorder="1" applyAlignment="1" applyProtection="1">
      <alignment horizontal="right" vertical="center"/>
      <protection hidden="1"/>
    </xf>
    <xf numFmtId="165" fontId="8" fillId="5" borderId="0" xfId="1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right" vertical="center"/>
      <protection hidden="1"/>
    </xf>
    <xf numFmtId="165" fontId="8" fillId="4" borderId="0" xfId="1" applyNumberFormat="1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Border="1" applyAlignment="1" applyProtection="1">
      <alignment horizontal="right" vertical="center"/>
      <protection hidden="1"/>
    </xf>
    <xf numFmtId="4" fontId="26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4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4" fontId="8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4" borderId="0" xfId="1" applyNumberFormat="1" applyFont="1" applyFill="1" applyBorder="1" applyAlignment="1" applyProtection="1">
      <alignment horizontal="right" vertical="center"/>
      <protection hidden="1"/>
    </xf>
    <xf numFmtId="165" fontId="7" fillId="4" borderId="0" xfId="1" applyNumberFormat="1" applyFont="1" applyFill="1" applyBorder="1" applyAlignment="1" applyProtection="1">
      <alignment horizontal="right"/>
      <protection hidden="1"/>
    </xf>
    <xf numFmtId="4" fontId="8" fillId="7" borderId="0" xfId="0" applyNumberFormat="1" applyFont="1" applyFill="1" applyBorder="1" applyAlignment="1" applyProtection="1">
      <alignment vertical="center"/>
      <protection hidden="1"/>
    </xf>
    <xf numFmtId="0" fontId="14" fillId="7" borderId="0" xfId="0" applyFont="1" applyFill="1" applyBorder="1" applyAlignment="1" applyProtection="1">
      <alignment horizontal="right" vertical="center"/>
      <protection hidden="1"/>
    </xf>
    <xf numFmtId="4" fontId="26" fillId="7" borderId="0" xfId="0" applyNumberFormat="1" applyFont="1" applyFill="1" applyBorder="1" applyAlignment="1" applyProtection="1">
      <alignment vertical="center"/>
      <protection hidden="1"/>
    </xf>
    <xf numFmtId="165" fontId="14" fillId="5" borderId="0" xfId="1" applyNumberFormat="1" applyFont="1" applyFill="1" applyBorder="1" applyAlignment="1" applyProtection="1">
      <alignment horizontal="right" vertical="center"/>
      <protection hidden="1"/>
    </xf>
    <xf numFmtId="4" fontId="8" fillId="0" borderId="0" xfId="0" applyNumberFormat="1" applyFont="1" applyFill="1" applyBorder="1" applyAlignment="1" applyProtection="1">
      <alignment vertical="center"/>
      <protection hidden="1"/>
    </xf>
    <xf numFmtId="4" fontId="8" fillId="4" borderId="0" xfId="0" applyNumberFormat="1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right" vertical="center"/>
      <protection hidden="1"/>
    </xf>
    <xf numFmtId="4" fontId="26" fillId="0" borderId="0" xfId="0" applyNumberFormat="1" applyFont="1" applyFill="1" applyBorder="1" applyAlignment="1" applyProtection="1">
      <alignment horizontal="right" vertical="center"/>
      <protection hidden="1"/>
    </xf>
    <xf numFmtId="4" fontId="26" fillId="0" borderId="0" xfId="0" applyNumberFormat="1" applyFont="1" applyFill="1" applyBorder="1" applyAlignment="1" applyProtection="1">
      <alignment vertical="center"/>
      <protection hidden="1"/>
    </xf>
    <xf numFmtId="0" fontId="15" fillId="5" borderId="0" xfId="0" applyFont="1" applyFill="1" applyBorder="1" applyAlignment="1" applyProtection="1">
      <alignment horizontal="left" vertical="center"/>
      <protection hidden="1"/>
    </xf>
    <xf numFmtId="4" fontId="8" fillId="7" borderId="0" xfId="0" quotePrefix="1" applyNumberFormat="1" applyFont="1" applyFill="1" applyBorder="1" applyAlignment="1" applyProtection="1">
      <alignment vertical="center"/>
      <protection hidden="1"/>
    </xf>
    <xf numFmtId="4" fontId="26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/>
      <protection hidden="1"/>
    </xf>
    <xf numFmtId="165" fontId="8" fillId="5" borderId="0" xfId="1" applyNumberFormat="1" applyFont="1" applyFill="1" applyBorder="1" applyAlignment="1" applyProtection="1">
      <alignment horizontal="right" vertical="center"/>
      <protection hidden="1"/>
    </xf>
    <xf numFmtId="4" fontId="8" fillId="4" borderId="0" xfId="0" quotePrefix="1" applyNumberFormat="1" applyFont="1" applyFill="1" applyBorder="1" applyAlignment="1" applyProtection="1">
      <alignment vertical="center"/>
      <protection hidden="1"/>
    </xf>
    <xf numFmtId="165" fontId="8" fillId="4" borderId="0" xfId="1" applyNumberFormat="1" applyFont="1" applyFill="1" applyBorder="1" applyAlignment="1" applyProtection="1">
      <alignment horizontal="right" vertical="center"/>
      <protection hidden="1"/>
    </xf>
    <xf numFmtId="0" fontId="13" fillId="6" borderId="0" xfId="2" applyFont="1" applyFill="1" applyAlignment="1" applyProtection="1">
      <alignment horizontal="center" vertical="center"/>
    </xf>
    <xf numFmtId="0" fontId="7" fillId="7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164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Border="1" applyProtection="1">
      <protection hidden="1"/>
    </xf>
    <xf numFmtId="164" fontId="8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11" borderId="0" xfId="1" applyNumberFormat="1" applyFont="1" applyFill="1" applyBorder="1" applyAlignment="1" applyProtection="1">
      <alignment horizontal="right" vertical="center" wrapText="1"/>
      <protection hidden="1"/>
    </xf>
    <xf numFmtId="165" fontId="0" fillId="0" borderId="0" xfId="1" applyNumberFormat="1" applyFont="1"/>
    <xf numFmtId="0" fontId="7" fillId="11" borderId="0" xfId="0" applyFont="1" applyFill="1" applyBorder="1" applyProtection="1">
      <protection hidden="1"/>
    </xf>
    <xf numFmtId="164" fontId="7" fillId="11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11" borderId="0" xfId="1" applyNumberFormat="1" applyFont="1" applyFill="1" applyBorder="1" applyAlignment="1" applyProtection="1">
      <alignment horizontal="right" vertical="center" wrapText="1"/>
      <protection hidden="1"/>
    </xf>
    <xf numFmtId="0" fontId="27" fillId="0" borderId="0" xfId="0" applyFont="1" applyAlignment="1">
      <alignment vertical="center"/>
    </xf>
    <xf numFmtId="0" fontId="7" fillId="5" borderId="0" xfId="3" applyFont="1" applyFill="1" applyBorder="1" applyAlignment="1" applyProtection="1">
      <alignment horizontal="center" vertical="center" wrapText="1"/>
      <protection hidden="1"/>
    </xf>
    <xf numFmtId="0" fontId="7" fillId="5" borderId="0" xfId="3" applyFont="1" applyFill="1" applyBorder="1" applyAlignment="1" applyProtection="1">
      <alignment horizontal="right" vertical="center" wrapText="1"/>
      <protection hidden="1"/>
    </xf>
    <xf numFmtId="0" fontId="7" fillId="7" borderId="0" xfId="3" applyFont="1" applyFill="1" applyBorder="1" applyAlignment="1" applyProtection="1">
      <alignment vertical="center" wrapText="1"/>
      <protection hidden="1"/>
    </xf>
    <xf numFmtId="4" fontId="8" fillId="7" borderId="0" xfId="3" applyNumberFormat="1" applyFont="1" applyFill="1" applyBorder="1" applyAlignment="1" applyProtection="1">
      <alignment horizontal="right" vertical="center" wrapText="1"/>
      <protection hidden="1"/>
    </xf>
    <xf numFmtId="166" fontId="8" fillId="7" borderId="0" xfId="3" applyNumberFormat="1" applyFont="1" applyFill="1" applyBorder="1" applyAlignment="1" applyProtection="1">
      <alignment horizontal="right" vertical="center" wrapText="1"/>
      <protection hidden="1"/>
    </xf>
    <xf numFmtId="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2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4" fillId="7" borderId="0" xfId="3" applyFont="1" applyFill="1" applyAlignment="1">
      <alignment vertical="center" wrapText="1"/>
    </xf>
    <xf numFmtId="0" fontId="28" fillId="7" borderId="0" xfId="3" applyFont="1" applyFill="1" applyAlignment="1">
      <alignment vertical="center"/>
    </xf>
    <xf numFmtId="0" fontId="28" fillId="7" borderId="0" xfId="3" applyFont="1" applyFill="1" applyAlignment="1">
      <alignment vertical="center" wrapText="1"/>
    </xf>
    <xf numFmtId="0" fontId="4" fillId="0" borderId="0" xfId="0" applyFont="1"/>
    <xf numFmtId="0" fontId="8" fillId="5" borderId="0" xfId="0" applyFont="1" applyFill="1" applyBorder="1" applyAlignment="1" applyProtection="1">
      <alignment horizontal="right" vertical="center"/>
      <protection hidden="1"/>
    </xf>
    <xf numFmtId="0" fontId="7" fillId="5" borderId="0" xfId="3" applyFont="1" applyFill="1" applyBorder="1" applyAlignment="1" applyProtection="1">
      <alignment horizontal="center" vertical="center" wrapText="1"/>
      <protection hidden="1"/>
    </xf>
    <xf numFmtId="0" fontId="7" fillId="3" borderId="0" xfId="3" applyFont="1" applyFill="1" applyBorder="1" applyAlignment="1" applyProtection="1">
      <alignment horizontal="center" vertical="center" wrapText="1"/>
      <protection hidden="1"/>
    </xf>
    <xf numFmtId="0" fontId="7" fillId="6" borderId="0" xfId="3" applyFont="1" applyFill="1" applyBorder="1" applyAlignment="1" applyProtection="1">
      <alignment horizontal="center" vertical="center" wrapText="1"/>
      <protection hidden="1"/>
    </xf>
    <xf numFmtId="0" fontId="7" fillId="14" borderId="0" xfId="3" applyFont="1" applyFill="1" applyBorder="1" applyAlignment="1" applyProtection="1">
      <alignment horizontal="center" vertical="center" wrapText="1"/>
      <protection hidden="1"/>
    </xf>
    <xf numFmtId="0" fontId="4" fillId="7" borderId="0" xfId="3" applyFont="1" applyFill="1" applyAlignment="1">
      <alignment horizontal="center" vertical="center" wrapText="1"/>
    </xf>
    <xf numFmtId="2" fontId="4" fillId="7" borderId="0" xfId="3" applyNumberFormat="1" applyFont="1" applyFill="1" applyAlignment="1">
      <alignment horizontal="center" vertical="center" wrapText="1"/>
    </xf>
    <xf numFmtId="2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0" xfId="0" applyNumberFormat="1" applyFont="1" applyFill="1" applyBorder="1" applyAlignment="1" applyProtection="1">
      <alignment horizontal="center" vertical="center" wrapText="1"/>
      <protection hidden="1"/>
    </xf>
    <xf numFmtId="2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8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7" borderId="0" xfId="1" applyNumberFormat="1" applyFont="1" applyFill="1" applyBorder="1" applyAlignment="1" applyProtection="1">
      <alignment horizontal="right" vertical="center" wrapText="1"/>
      <protection hidden="1"/>
    </xf>
    <xf numFmtId="0" fontId="4" fillId="7" borderId="0" xfId="3" applyFont="1" applyFill="1" applyAlignment="1">
      <alignment horizontal="right" vertical="center" wrapText="1"/>
    </xf>
    <xf numFmtId="2" fontId="4" fillId="7" borderId="0" xfId="3" applyNumberFormat="1" applyFont="1" applyFill="1" applyAlignment="1">
      <alignment horizontal="right" vertical="center" wrapText="1"/>
    </xf>
    <xf numFmtId="0" fontId="8" fillId="7" borderId="0" xfId="0" applyFont="1" applyFill="1" applyBorder="1" applyAlignment="1" applyProtection="1">
      <alignment horizontal="left" vertical="center" wrapText="1" indent="1"/>
      <protection hidden="1"/>
    </xf>
    <xf numFmtId="0" fontId="7" fillId="7" borderId="0" xfId="0" applyFont="1" applyFill="1" applyBorder="1" applyAlignment="1" applyProtection="1">
      <alignment horizontal="right" vertical="center" wrapText="1"/>
      <protection hidden="1"/>
    </xf>
    <xf numFmtId="0" fontId="7" fillId="7" borderId="0" xfId="0" applyFont="1" applyFill="1" applyBorder="1" applyAlignment="1" applyProtection="1">
      <alignment horizontal="center" vertical="center" wrapText="1"/>
      <protection hidden="1"/>
    </xf>
    <xf numFmtId="0" fontId="7" fillId="4" borderId="0" xfId="3" applyFont="1" applyFill="1" applyBorder="1" applyAlignment="1" applyProtection="1">
      <alignment horizontal="left" vertical="center" wrapText="1"/>
      <protection hidden="1"/>
    </xf>
    <xf numFmtId="2" fontId="7" fillId="4" borderId="0" xfId="3" applyNumberFormat="1" applyFont="1" applyFill="1" applyBorder="1" applyAlignment="1" applyProtection="1">
      <alignment horizontal="center" vertical="center" wrapText="1"/>
      <protection hidden="1"/>
    </xf>
    <xf numFmtId="2" fontId="7" fillId="4" borderId="0" xfId="3" applyNumberFormat="1" applyFont="1" applyFill="1" applyBorder="1" applyAlignment="1" applyProtection="1">
      <alignment horizontal="right" vertical="center" wrapText="1"/>
      <protection hidden="1"/>
    </xf>
    <xf numFmtId="165" fontId="8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8" fillId="7" borderId="0" xfId="3" applyFont="1" applyFill="1" applyAlignment="1">
      <alignment vertical="center" wrapText="1"/>
    </xf>
    <xf numFmtId="0" fontId="8" fillId="6" borderId="0" xfId="0" applyFont="1" applyFill="1" applyBorder="1" applyAlignment="1" applyProtection="1">
      <alignment horizontal="right" vertical="center"/>
      <protection hidden="1"/>
    </xf>
    <xf numFmtId="0" fontId="8" fillId="7" borderId="0" xfId="0" applyFont="1" applyFill="1" applyBorder="1" applyAlignment="1" applyProtection="1">
      <alignment vertical="center" wrapText="1"/>
      <protection hidden="1"/>
    </xf>
    <xf numFmtId="2" fontId="8" fillId="5" borderId="0" xfId="0" applyNumberFormat="1" applyFont="1" applyFill="1" applyBorder="1" applyAlignment="1" applyProtection="1">
      <alignment vertical="center" wrapText="1"/>
      <protection hidden="1"/>
    </xf>
    <xf numFmtId="2" fontId="8" fillId="7" borderId="0" xfId="0" applyNumberFormat="1" applyFont="1" applyFill="1" applyBorder="1" applyAlignment="1" applyProtection="1">
      <alignment vertical="center" wrapText="1"/>
      <protection hidden="1"/>
    </xf>
    <xf numFmtId="2" fontId="4" fillId="0" borderId="0" xfId="0" applyNumberFormat="1" applyFont="1"/>
    <xf numFmtId="0" fontId="8" fillId="7" borderId="0" xfId="0" applyFont="1" applyFill="1" applyBorder="1" applyAlignment="1" applyProtection="1">
      <alignment horizontal="right" vertical="center" wrapText="1"/>
      <protection hidden="1"/>
    </xf>
    <xf numFmtId="0" fontId="7" fillId="10" borderId="0" xfId="3" applyFont="1" applyFill="1" applyBorder="1" applyAlignment="1" applyProtection="1">
      <alignment vertical="center" wrapText="1"/>
      <protection hidden="1"/>
    </xf>
    <xf numFmtId="2" fontId="7" fillId="10" borderId="0" xfId="3" applyNumberFormat="1" applyFont="1" applyFill="1" applyBorder="1" applyAlignment="1" applyProtection="1">
      <alignment vertical="center" wrapText="1"/>
      <protection hidden="1"/>
    </xf>
    <xf numFmtId="165" fontId="8" fillId="10" borderId="0" xfId="1" applyNumberFormat="1" applyFont="1" applyFill="1" applyBorder="1" applyAlignment="1" applyProtection="1">
      <alignment horizontal="right" vertical="center" wrapText="1"/>
      <protection hidden="1"/>
    </xf>
    <xf numFmtId="2" fontId="8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right" vertical="center" wrapText="1"/>
      <protection hidden="1"/>
    </xf>
    <xf numFmtId="2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7" borderId="0" xfId="0" applyFont="1" applyFill="1" applyBorder="1" applyAlignment="1" applyProtection="1">
      <alignment horizontal="left" vertical="center"/>
      <protection hidden="1"/>
    </xf>
    <xf numFmtId="2" fontId="8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5" fontId="8" fillId="5" borderId="0" xfId="1" quotePrefix="1" applyNumberFormat="1" applyFont="1" applyFill="1" applyBorder="1" applyAlignment="1" applyProtection="1">
      <alignment horizontal="right" vertical="center" wrapText="1"/>
      <protection hidden="1"/>
    </xf>
    <xf numFmtId="0" fontId="7" fillId="6" borderId="0" xfId="0" applyFont="1" applyFill="1" applyBorder="1" applyAlignment="1" applyProtection="1">
      <alignment vertical="center" wrapText="1"/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7" fillId="7" borderId="0" xfId="0" applyFont="1" applyFill="1" applyProtection="1">
      <protection hidden="1"/>
    </xf>
    <xf numFmtId="165" fontId="8" fillId="15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Protection="1">
      <protection hidden="1"/>
    </xf>
    <xf numFmtId="0" fontId="7" fillId="0" borderId="0" xfId="0" applyFont="1" applyFill="1" applyAlignment="1" applyProtection="1">
      <alignment horizontal="right"/>
      <protection hidden="1"/>
    </xf>
    <xf numFmtId="0" fontId="7" fillId="7" borderId="0" xfId="0" applyFont="1" applyFill="1" applyAlignment="1" applyProtection="1">
      <alignment horizontal="right"/>
      <protection hidden="1"/>
    </xf>
    <xf numFmtId="0" fontId="2" fillId="0" borderId="1" xfId="0" applyFont="1" applyBorder="1"/>
    <xf numFmtId="0" fontId="2" fillId="0" borderId="0" xfId="0" applyFont="1" applyBorder="1"/>
    <xf numFmtId="2" fontId="2" fillId="0" borderId="1" xfId="0" applyNumberFormat="1" applyFont="1" applyBorder="1"/>
    <xf numFmtId="0" fontId="7" fillId="5" borderId="0" xfId="0" applyFont="1" applyFill="1" applyBorder="1" applyAlignment="1" applyProtection="1">
      <alignment horizontal="right"/>
      <protection hidden="1"/>
    </xf>
    <xf numFmtId="0" fontId="7" fillId="6" borderId="0" xfId="0" applyFont="1" applyFill="1" applyBorder="1" applyAlignment="1" applyProtection="1">
      <alignment horizontal="right"/>
      <protection hidden="1"/>
    </xf>
    <xf numFmtId="164" fontId="8" fillId="5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12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Protection="1">
      <protection hidden="1"/>
    </xf>
    <xf numFmtId="0" fontId="9" fillId="0" borderId="0" xfId="0" applyFont="1"/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left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7" fillId="4" borderId="0" xfId="0" applyFont="1" applyFill="1" applyAlignment="1" applyProtection="1">
      <alignment horizontal="left"/>
      <protection hidden="1"/>
    </xf>
    <xf numFmtId="2" fontId="2" fillId="0" borderId="0" xfId="0" applyNumberFormat="1" applyFont="1" applyBorder="1"/>
    <xf numFmtId="0" fontId="0" fillId="7" borderId="0" xfId="0" applyFill="1" applyAlignment="1">
      <alignment vertical="center" wrapText="1"/>
    </xf>
    <xf numFmtId="0" fontId="7" fillId="5" borderId="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Protection="1">
      <protection hidden="1"/>
    </xf>
    <xf numFmtId="0" fontId="6" fillId="7" borderId="0" xfId="0" applyFont="1" applyFill="1" applyAlignment="1">
      <alignment vertical="center" wrapText="1"/>
    </xf>
    <xf numFmtId="164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0" fontId="0" fillId="7" borderId="0" xfId="0" applyFill="1" applyAlignment="1" applyProtection="1">
      <alignment vertical="center"/>
      <protection hidden="1"/>
    </xf>
    <xf numFmtId="0" fontId="2" fillId="0" borderId="2" xfId="0" applyFont="1" applyBorder="1"/>
    <xf numFmtId="2" fontId="2" fillId="0" borderId="2" xfId="0" applyNumberFormat="1" applyFont="1" applyBorder="1"/>
    <xf numFmtId="2" fontId="8" fillId="5" borderId="0" xfId="1" applyNumberFormat="1" applyFont="1" applyFill="1" applyBorder="1" applyAlignment="1" applyProtection="1">
      <alignment horizontal="right" vertical="center" wrapText="1"/>
      <protection hidden="1"/>
    </xf>
    <xf numFmtId="2" fontId="8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2" fillId="13" borderId="3" xfId="0" applyFont="1" applyFill="1" applyBorder="1"/>
    <xf numFmtId="2" fontId="2" fillId="0" borderId="3" xfId="0" applyNumberFormat="1" applyFont="1" applyBorder="1"/>
    <xf numFmtId="0" fontId="29" fillId="13" borderId="1" xfId="0" applyFont="1" applyFill="1" applyBorder="1"/>
    <xf numFmtId="0" fontId="25" fillId="5" borderId="0" xfId="0" applyFont="1" applyFill="1" applyBorder="1" applyAlignment="1" applyProtection="1">
      <alignment horizontal="left" vertical="center" wrapText="1"/>
      <protection hidden="1"/>
    </xf>
    <xf numFmtId="0" fontId="14" fillId="3" borderId="0" xfId="0" applyFont="1" applyFill="1" applyBorder="1" applyAlignment="1" applyProtection="1">
      <alignment horizontal="left" vertical="center" wrapText="1"/>
      <protection hidden="1"/>
    </xf>
    <xf numFmtId="164" fontId="14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0" xfId="0" applyFont="1" applyFill="1" applyBorder="1" applyAlignment="1" applyProtection="1">
      <alignment horizontal="right" vertical="center" wrapText="1"/>
      <protection hidden="1"/>
    </xf>
    <xf numFmtId="2" fontId="8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165" fontId="8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165" fontId="8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5" fontId="8" fillId="5" borderId="0" xfId="9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25" fillId="6" borderId="0" xfId="0" applyFont="1" applyFill="1" applyBorder="1" applyAlignment="1" applyProtection="1">
      <alignment horizontal="left" vertical="center" wrapText="1"/>
      <protection hidden="1"/>
    </xf>
    <xf numFmtId="164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 indent="3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Fill="1" applyBorder="1" applyAlignment="1" applyProtection="1">
      <alignment vertical="center" wrapText="1"/>
      <protection hidden="1"/>
    </xf>
    <xf numFmtId="164" fontId="7" fillId="5" borderId="0" xfId="0" applyNumberFormat="1" applyFont="1" applyFill="1" applyBorder="1" applyAlignment="1" applyProtection="1">
      <alignment vertical="center" wrapText="1"/>
      <protection hidden="1"/>
    </xf>
    <xf numFmtId="164" fontId="0" fillId="0" borderId="0" xfId="0" applyNumberFormat="1" applyAlignment="1" applyProtection="1">
      <alignment vertical="center" wrapText="1"/>
      <protection hidden="1"/>
    </xf>
    <xf numFmtId="165" fontId="7" fillId="5" borderId="0" xfId="1" applyNumberFormat="1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0" fontId="7" fillId="4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horizontal="left" indent="10"/>
      <protection hidden="1"/>
    </xf>
    <xf numFmtId="164" fontId="8" fillId="3" borderId="0" xfId="0" applyNumberFormat="1" applyFont="1" applyFill="1" applyAlignment="1" applyProtection="1">
      <alignment horizontal="right" vertical="center" wrapText="1"/>
      <protection hidden="1"/>
    </xf>
    <xf numFmtId="165" fontId="7" fillId="3" borderId="0" xfId="1" applyNumberFormat="1" applyFont="1" applyFill="1" applyAlignment="1" applyProtection="1">
      <alignment horizontal="right" vertical="center" wrapText="1"/>
      <protection hidden="1"/>
    </xf>
    <xf numFmtId="164" fontId="8" fillId="0" borderId="0" xfId="0" applyNumberFormat="1" applyFont="1" applyAlignment="1" applyProtection="1">
      <alignment horizontal="right" vertical="center" wrapText="1"/>
      <protection hidden="1"/>
    </xf>
    <xf numFmtId="165" fontId="7" fillId="5" borderId="0" xfId="1" applyNumberFormat="1" applyFont="1" applyFill="1" applyAlignment="1" applyProtection="1">
      <alignment horizontal="right" vertical="center" wrapText="1"/>
      <protection hidden="1"/>
    </xf>
    <xf numFmtId="164" fontId="7" fillId="4" borderId="0" xfId="0" applyNumberFormat="1" applyFont="1" applyFill="1" applyAlignment="1" applyProtection="1">
      <alignment horizontal="right" vertical="center" wrapText="1"/>
      <protection hidden="1"/>
    </xf>
    <xf numFmtId="165" fontId="7" fillId="4" borderId="0" xfId="1" applyNumberFormat="1" applyFont="1" applyFill="1" applyAlignment="1" applyProtection="1">
      <alignment horizontal="right" vertical="center" wrapText="1"/>
      <protection hidden="1"/>
    </xf>
    <xf numFmtId="165" fontId="7" fillId="5" borderId="0" xfId="1" quotePrefix="1" applyNumberFormat="1" applyFont="1" applyFill="1" applyAlignment="1" applyProtection="1">
      <alignment horizontal="right" vertical="center" wrapText="1"/>
      <protection hidden="1"/>
    </xf>
    <xf numFmtId="164" fontId="8" fillId="0" borderId="0" xfId="0" applyNumberFormat="1" applyFont="1" applyFill="1" applyAlignment="1" applyProtection="1">
      <alignment horizontal="right" vertical="center" wrapText="1"/>
      <protection hidden="1"/>
    </xf>
    <xf numFmtId="0" fontId="2" fillId="0" borderId="0" xfId="0" applyFont="1"/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3" borderId="0" xfId="0" applyFont="1" applyFill="1" applyBorder="1" applyAlignment="1" applyProtection="1">
      <alignment horizontal="left" vertical="center" wrapText="1" indent="1"/>
      <protection hidden="1"/>
    </xf>
    <xf numFmtId="0" fontId="2" fillId="7" borderId="0" xfId="0" applyFont="1" applyFill="1" applyAlignment="1" applyProtection="1">
      <alignment vertical="center"/>
      <protection hidden="1"/>
    </xf>
    <xf numFmtId="164" fontId="0" fillId="7" borderId="0" xfId="0" applyNumberForma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right"/>
      <protection hidden="1"/>
    </xf>
    <xf numFmtId="0" fontId="30" fillId="7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 vertical="center" indent="1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horizontal="left" vertical="center" indent="2"/>
      <protection hidden="1"/>
    </xf>
    <xf numFmtId="164" fontId="8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7" fillId="7" borderId="0" xfId="0" applyFont="1" applyFill="1" applyBorder="1" applyAlignment="1" applyProtection="1">
      <alignment horizontal="left" vertical="center" wrapText="1" indent="1"/>
      <protection hidden="1"/>
    </xf>
    <xf numFmtId="166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166" fontId="8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6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6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6" fontId="0" fillId="7" borderId="0" xfId="0" applyNumberFormat="1" applyFill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 vertical="center" wrapText="1" indent="1"/>
      <protection hidden="1"/>
    </xf>
    <xf numFmtId="0" fontId="0" fillId="7" borderId="0" xfId="0" applyFill="1" applyBorder="1" applyAlignment="1" applyProtection="1">
      <alignment vertical="center"/>
      <protection hidden="1"/>
    </xf>
    <xf numFmtId="0" fontId="31" fillId="0" borderId="0" xfId="0" applyFont="1" applyBorder="1" applyAlignment="1">
      <alignment horizontal="center" vertical="center" textRotation="90" wrapText="1"/>
    </xf>
    <xf numFmtId="0" fontId="2" fillId="0" borderId="0" xfId="12" applyBorder="1"/>
    <xf numFmtId="2" fontId="2" fillId="0" borderId="0" xfId="12" applyNumberFormat="1" applyBorder="1"/>
    <xf numFmtId="0" fontId="2" fillId="0" borderId="0" xfId="12" applyFont="1" applyBorder="1"/>
    <xf numFmtId="0" fontId="0" fillId="7" borderId="0" xfId="0" applyFill="1"/>
    <xf numFmtId="0" fontId="0" fillId="7" borderId="0" xfId="0" applyFill="1" applyBorder="1"/>
    <xf numFmtId="164" fontId="7" fillId="0" borderId="0" xfId="0" applyNumberFormat="1" applyFont="1" applyBorder="1" applyProtection="1">
      <protection hidden="1"/>
    </xf>
    <xf numFmtId="164" fontId="8" fillId="0" borderId="0" xfId="0" applyNumberFormat="1" applyFont="1" applyBorder="1" applyAlignment="1" applyProtection="1">
      <alignment horizontal="right" vertical="center" wrapText="1"/>
      <protection hidden="1"/>
    </xf>
    <xf numFmtId="165" fontId="8" fillId="0" borderId="0" xfId="1" applyNumberFormat="1" applyFont="1" applyBorder="1" applyAlignment="1" applyProtection="1">
      <alignment horizontal="right" vertical="center" wrapText="1"/>
      <protection hidden="1"/>
    </xf>
    <xf numFmtId="164" fontId="7" fillId="0" borderId="0" xfId="0" applyNumberFormat="1" applyFont="1" applyBorder="1" applyAlignment="1" applyProtection="1">
      <alignment wrapText="1"/>
      <protection hidden="1"/>
    </xf>
    <xf numFmtId="0" fontId="4" fillId="7" borderId="0" xfId="0" applyFont="1" applyFill="1"/>
    <xf numFmtId="164" fontId="4" fillId="7" borderId="0" xfId="0" applyNumberFormat="1" applyFont="1" applyFill="1"/>
    <xf numFmtId="164" fontId="4" fillId="17" borderId="0" xfId="0" applyNumberFormat="1" applyFont="1" applyFill="1"/>
    <xf numFmtId="0" fontId="7" fillId="0" borderId="0" xfId="0" applyFont="1" applyBorder="1" applyAlignment="1" applyProtection="1">
      <alignment vertical="center"/>
      <protection hidden="1"/>
    </xf>
    <xf numFmtId="2" fontId="8" fillId="0" borderId="0" xfId="0" applyNumberFormat="1" applyFont="1" applyBorder="1" applyAlignment="1" applyProtection="1">
      <alignment horizontal="right" vertical="center" wrapText="1"/>
      <protection hidden="1"/>
    </xf>
    <xf numFmtId="2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/>
    <xf numFmtId="0" fontId="2" fillId="0" borderId="0" xfId="6"/>
    <xf numFmtId="0" fontId="7" fillId="7" borderId="0" xfId="6" applyFont="1" applyFill="1" applyProtection="1">
      <protection hidden="1"/>
    </xf>
    <xf numFmtId="2" fontId="8" fillId="7" borderId="0" xfId="6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6" applyFont="1" applyFill="1" applyProtection="1">
      <protection hidden="1"/>
    </xf>
    <xf numFmtId="2" fontId="7" fillId="4" borderId="0" xfId="6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6" applyFont="1" applyFill="1" applyProtection="1">
      <protection hidden="1"/>
    </xf>
    <xf numFmtId="2" fontId="8" fillId="0" borderId="0" xfId="6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6" applyFont="1"/>
    <xf numFmtId="0" fontId="7" fillId="13" borderId="0" xfId="10" applyFont="1" applyFill="1" applyBorder="1" applyAlignment="1">
      <alignment vertical="center" wrapText="1"/>
    </xf>
    <xf numFmtId="2" fontId="7" fillId="13" borderId="0" xfId="13" applyNumberFormat="1" applyFont="1" applyFill="1" applyBorder="1" applyAlignment="1">
      <alignment horizontal="right" vertical="center" wrapText="1"/>
    </xf>
    <xf numFmtId="0" fontId="7" fillId="4" borderId="0" xfId="10" applyFont="1" applyFill="1" applyBorder="1" applyAlignment="1">
      <alignment vertical="center" wrapText="1"/>
    </xf>
    <xf numFmtId="2" fontId="7" fillId="4" borderId="0" xfId="13" applyNumberFormat="1" applyFont="1" applyFill="1" applyBorder="1" applyAlignment="1">
      <alignment horizontal="right" vertical="center" wrapText="1"/>
    </xf>
    <xf numFmtId="0" fontId="7" fillId="0" borderId="0" xfId="10" applyFont="1" applyFill="1" applyBorder="1" applyAlignment="1">
      <alignment vertical="center" wrapText="1"/>
    </xf>
    <xf numFmtId="2" fontId="7" fillId="0" borderId="0" xfId="10" applyNumberFormat="1" applyFont="1" applyFill="1" applyBorder="1" applyAlignment="1">
      <alignment horizontal="right" vertical="center" wrapText="1"/>
    </xf>
    <xf numFmtId="3" fontId="7" fillId="3" borderId="0" xfId="13" applyFont="1" applyFill="1" applyBorder="1" applyAlignment="1">
      <alignment horizontal="left" vertical="center" wrapText="1" indent="3"/>
    </xf>
    <xf numFmtId="2" fontId="8" fillId="3" borderId="0" xfId="13" applyNumberFormat="1" applyFont="1" applyFill="1" applyBorder="1" applyAlignment="1">
      <alignment horizontal="right" vertical="center" wrapText="1"/>
    </xf>
    <xf numFmtId="3" fontId="7" fillId="0" borderId="0" xfId="13" applyFont="1" applyFill="1" applyBorder="1" applyAlignment="1">
      <alignment vertical="center" wrapText="1"/>
    </xf>
    <xf numFmtId="2" fontId="7" fillId="0" borderId="0" xfId="13" applyNumberFormat="1" applyFont="1" applyFill="1" applyBorder="1" applyAlignment="1">
      <alignment horizontal="right" vertical="center" wrapText="1"/>
    </xf>
    <xf numFmtId="0" fontId="8" fillId="5" borderId="0" xfId="0" applyFont="1" applyFill="1" applyBorder="1" applyAlignment="1" applyProtection="1">
      <alignment horizontal="center"/>
      <protection hidden="1"/>
    </xf>
    <xf numFmtId="2" fontId="8" fillId="5" borderId="0" xfId="0" applyNumberFormat="1" applyFont="1" applyFill="1" applyBorder="1" applyProtection="1">
      <protection hidden="1"/>
    </xf>
    <xf numFmtId="0" fontId="24" fillId="4" borderId="0" xfId="0" applyFont="1" applyFill="1"/>
    <xf numFmtId="2" fontId="8" fillId="0" borderId="0" xfId="0" applyNumberFormat="1" applyFont="1" applyBorder="1" applyProtection="1">
      <protection hidden="1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8" fillId="9" borderId="0" xfId="0" applyFont="1" applyFill="1" applyBorder="1" applyAlignment="1" applyProtection="1">
      <alignment horizontal="left" vertical="center" wrapText="1"/>
      <protection hidden="1"/>
    </xf>
    <xf numFmtId="0" fontId="1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>
      <alignment horizontal="center" vertical="center"/>
    </xf>
    <xf numFmtId="0" fontId="15" fillId="5" borderId="0" xfId="0" applyFont="1" applyFill="1" applyBorder="1" applyAlignment="1" applyProtection="1">
      <alignment horizontal="left" vertical="center" wrapText="1"/>
      <protection hidden="1"/>
    </xf>
    <xf numFmtId="0" fontId="16" fillId="8" borderId="0" xfId="0" applyNumberFormat="1" applyFont="1" applyFill="1" applyBorder="1" applyAlignment="1" applyProtection="1">
      <alignment horizontal="center" vertical="center" wrapText="1"/>
      <protection hidden="1"/>
    </xf>
    <xf numFmtId="0" fontId="16" fillId="8" borderId="0" xfId="0" applyNumberFormat="1" applyFont="1" applyFill="1" applyBorder="1" applyAlignment="1" applyProtection="1">
      <alignment horizontal="center" vertical="center"/>
      <protection hidden="1"/>
    </xf>
    <xf numFmtId="0" fontId="19" fillId="6" borderId="0" xfId="0" applyFont="1" applyFill="1" applyAlignment="1">
      <alignment horizontal="center" vertical="center"/>
    </xf>
    <xf numFmtId="0" fontId="18" fillId="5" borderId="0" xfId="0" applyFont="1" applyFill="1" applyBorder="1" applyAlignment="1" applyProtection="1">
      <alignment horizontal="left" vertical="center" wrapText="1"/>
      <protection hidden="1"/>
    </xf>
    <xf numFmtId="0" fontId="15" fillId="9" borderId="0" xfId="0" applyFont="1" applyFill="1" applyBorder="1" applyAlignment="1" applyProtection="1">
      <alignment horizontal="left" vertical="center" wrapText="1"/>
      <protection hidden="1"/>
    </xf>
    <xf numFmtId="0" fontId="19" fillId="6" borderId="0" xfId="2" applyFont="1" applyFill="1" applyAlignment="1" applyProtection="1">
      <alignment horizontal="center" vertical="center"/>
    </xf>
    <xf numFmtId="0" fontId="7" fillId="11" borderId="0" xfId="3" applyFont="1" applyFill="1" applyBorder="1" applyAlignment="1" applyProtection="1">
      <alignment horizontal="center" vertical="center" wrapText="1"/>
      <protection hidden="1"/>
    </xf>
    <xf numFmtId="0" fontId="13" fillId="6" borderId="0" xfId="2" applyFont="1" applyFill="1" applyAlignment="1" applyProtection="1">
      <alignment horizontal="center" vertical="center"/>
    </xf>
    <xf numFmtId="0" fontId="15" fillId="5" borderId="0" xfId="3" applyFont="1" applyFill="1" applyBorder="1" applyAlignment="1" applyProtection="1">
      <alignment horizontal="left" vertical="center" wrapText="1"/>
      <protection hidden="1"/>
    </xf>
    <xf numFmtId="0" fontId="7" fillId="3" borderId="0" xfId="3" applyFont="1" applyFill="1" applyBorder="1" applyAlignment="1" applyProtection="1">
      <alignment horizontal="center" vertical="center" wrapText="1"/>
      <protection hidden="1"/>
    </xf>
    <xf numFmtId="0" fontId="7" fillId="5" borderId="0" xfId="3" applyFont="1" applyFill="1" applyBorder="1" applyAlignment="1" applyProtection="1">
      <alignment horizontal="center" vertical="center" wrapText="1"/>
      <protection hidden="1"/>
    </xf>
    <xf numFmtId="0" fontId="7" fillId="14" borderId="0" xfId="3" applyFont="1" applyFill="1" applyBorder="1" applyAlignment="1" applyProtection="1">
      <alignment horizontal="center" vertical="center" wrapText="1"/>
      <protection hidden="1"/>
    </xf>
    <xf numFmtId="0" fontId="7" fillId="6" borderId="0" xfId="3" applyFont="1" applyFill="1" applyBorder="1" applyAlignment="1" applyProtection="1">
      <alignment horizontal="center" vertical="center" wrapText="1"/>
      <protection hidden="1"/>
    </xf>
    <xf numFmtId="0" fontId="15" fillId="9" borderId="0" xfId="3" applyFont="1" applyFill="1" applyBorder="1" applyAlignment="1" applyProtection="1">
      <alignment horizontal="left" vertical="center" wrapText="1"/>
      <protection hidden="1"/>
    </xf>
    <xf numFmtId="0" fontId="12" fillId="2" borderId="0" xfId="3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right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6" borderId="0" xfId="2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12" fillId="2" borderId="0" xfId="10" applyFont="1" applyFill="1" applyBorder="1" applyAlignment="1" applyProtection="1">
      <alignment horizontal="center" vertical="center" wrapText="1"/>
      <protection hidden="1"/>
    </xf>
    <xf numFmtId="0" fontId="15" fillId="5" borderId="0" xfId="0" quotePrefix="1" applyNumberFormat="1" applyFont="1" applyFill="1" applyBorder="1" applyAlignment="1" applyProtection="1">
      <alignment horizontal="left" vertical="center" wrapText="1"/>
      <protection hidden="1"/>
    </xf>
    <xf numFmtId="0" fontId="15" fillId="5" borderId="0" xfId="11" applyFont="1" applyFill="1" applyBorder="1" applyAlignment="1" applyProtection="1">
      <alignment horizontal="left" vertical="center" wrapText="1"/>
      <protection hidden="1"/>
    </xf>
    <xf numFmtId="0" fontId="12" fillId="16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Border="1" applyAlignment="1">
      <alignment horizontal="center" vertical="center" textRotation="90" wrapText="1"/>
    </xf>
    <xf numFmtId="0" fontId="12" fillId="2" borderId="0" xfId="6" applyFont="1" applyFill="1" applyAlignment="1" applyProtection="1">
      <alignment horizontal="center" vertical="center" wrapText="1"/>
      <protection hidden="1"/>
    </xf>
    <xf numFmtId="0" fontId="12" fillId="2" borderId="0" xfId="10" applyFont="1" applyFill="1" applyBorder="1" applyAlignment="1">
      <alignment horizontal="center" vertical="center" wrapText="1"/>
    </xf>
    <xf numFmtId="3" fontId="15" fillId="5" borderId="0" xfId="13" applyFont="1" applyFill="1" applyBorder="1" applyAlignment="1">
      <alignment horizontal="left" vertical="center" wrapText="1"/>
    </xf>
  </cellXfs>
  <cellStyles count="14">
    <cellStyle name="Estilo 1" xfId="4"/>
    <cellStyle name="Euro" xfId="5"/>
    <cellStyle name="Hipervínculo" xfId="2" builtinId="8"/>
    <cellStyle name="Normal" xfId="0" builtinId="0"/>
    <cellStyle name="Normal 2" xfId="6"/>
    <cellStyle name="Normal 3" xfId="7"/>
    <cellStyle name="Normal 3 2" xfId="8"/>
    <cellStyle name="Normal_Análisis de las Encuestas INVESTUR 2005-2006" xfId="10"/>
    <cellStyle name="Normal_Hoja1" xfId="12"/>
    <cellStyle name="Normal_Tablas y Gráficos publicación 2006" xfId="13"/>
    <cellStyle name="Normal_WEB Análisis de las Encuestas INVESTUR" xfId="3"/>
    <cellStyle name="Normal_WEB Análisis de las Encuestas INVESTUR 2" xfId="11"/>
    <cellStyle name="Porcentaje" xfId="1" builtinId="5"/>
    <cellStyle name="Porcentual 2" xfId="9"/>
  </cellStyles>
  <dxfs count="1"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/>
              <a:t>DISTRIBUCIÓN POR EDADES DE LOS TURISTAS (%)</a:t>
            </a:r>
          </a:p>
        </c:rich>
      </c:tx>
      <c:layout>
        <c:manualLayout>
          <c:xMode val="edge"/>
          <c:yMode val="edge"/>
          <c:x val="0.11654247634183362"/>
          <c:y val="1.8648014084389857E-2"/>
        </c:manualLayout>
      </c:layout>
      <c:overlay val="1"/>
    </c:title>
    <c:autoTitleDeleted val="0"/>
    <c:view3D>
      <c:rotX val="30"/>
      <c:rotY val="94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2948201063058"/>
          <c:y val="0.23647541765922891"/>
          <c:w val="0.67420551812470475"/>
          <c:h val="0.6562316915413133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5"/>
              <c:layout>
                <c:manualLayout>
                  <c:x val="8.7056128293245244E-2"/>
                  <c:y val="-5.59440422531693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Edad!$H$5:$H$11</c:f>
              <c:numCache>
                <c:formatCode>0.0</c:formatCode>
                <c:ptCount val="7"/>
                <c:pt idx="0">
                  <c:v>9.1181818181818191</c:v>
                </c:pt>
                <c:pt idx="1">
                  <c:v>8.963636363636363</c:v>
                </c:pt>
                <c:pt idx="2">
                  <c:v>26.736363636363638</c:v>
                </c:pt>
                <c:pt idx="3">
                  <c:v>11.718181818181819</c:v>
                </c:pt>
                <c:pt idx="4">
                  <c:v>19.645454545454545</c:v>
                </c:pt>
                <c:pt idx="5">
                  <c:v>22.2</c:v>
                </c:pt>
                <c:pt idx="6">
                  <c:v>1.6181818181818182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es-ES">
                <a:solidFill>
                  <a:schemeClr val="tx2"/>
                </a:solidFill>
              </a:rPr>
              <a:t>GASTO TURÍSTICO SEGÚN MERCADOS 2012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ES">
                <a:solidFill>
                  <a:schemeClr val="tx2"/>
                </a:solidFill>
              </a:rPr>
              <a:t>(euros/persona y día)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171047849788058"/>
          <c:y val="0.13276231508631986"/>
          <c:w val="0.77964833908655573"/>
          <c:h val="0.8230406333520247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'Evolución gasto (nacionalidad) '!$Z$6</c:f>
              <c:strCache>
                <c:ptCount val="1"/>
                <c:pt idx="0">
                  <c:v>Origen</c:v>
                </c:pt>
              </c:strCache>
            </c:strRef>
          </c:tx>
          <c:invertIfNegative val="0"/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'Evolución gasto (nacionalidad) '!$C$7:$C$25</c:f>
              <c:strCache>
                <c:ptCount val="19"/>
                <c:pt idx="0">
                  <c:v>Suiza + Austria</c:v>
                </c:pt>
                <c:pt idx="1">
                  <c:v>Noruega</c:v>
                </c:pt>
                <c:pt idx="2">
                  <c:v>Suecia</c:v>
                </c:pt>
                <c:pt idx="3">
                  <c:v>Dinamarca</c:v>
                </c:pt>
                <c:pt idx="4">
                  <c:v>Total nórdicos</c:v>
                </c:pt>
                <c:pt idx="5">
                  <c:v>Rusia</c:v>
                </c:pt>
                <c:pt idx="6">
                  <c:v>Resto del Mundo</c:v>
                </c:pt>
                <c:pt idx="7">
                  <c:v>Bélgica</c:v>
                </c:pt>
                <c:pt idx="8">
                  <c:v>Francia</c:v>
                </c:pt>
                <c:pt idx="9">
                  <c:v>Holanda</c:v>
                </c:pt>
                <c:pt idx="10">
                  <c:v>Finlandia</c:v>
                </c:pt>
                <c:pt idx="11">
                  <c:v>Alemania</c:v>
                </c:pt>
                <c:pt idx="12">
                  <c:v>Total Mercados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Reino Unido</c:v>
                </c:pt>
                <c:pt idx="17">
                  <c:v>Irlanda </c:v>
                </c:pt>
                <c:pt idx="18">
                  <c:v>Canarias</c:v>
                </c:pt>
              </c:strCache>
            </c:strRef>
          </c:cat>
          <c:val>
            <c:numRef>
              <c:f>'Evolución gasto (nacionalidad) '!$Z$7:$Z$25</c:f>
              <c:numCache>
                <c:formatCode>0.00</c:formatCode>
                <c:ptCount val="19"/>
                <c:pt idx="0">
                  <c:v>102.82983513223364</c:v>
                </c:pt>
                <c:pt idx="1">
                  <c:v>99.746983174251199</c:v>
                </c:pt>
                <c:pt idx="2">
                  <c:v>92.681094665957616</c:v>
                </c:pt>
                <c:pt idx="3">
                  <c:v>92.306049150098502</c:v>
                </c:pt>
                <c:pt idx="4">
                  <c:v>90.125635860336217</c:v>
                </c:pt>
                <c:pt idx="5">
                  <c:v>85.688534858844264</c:v>
                </c:pt>
                <c:pt idx="6">
                  <c:v>85.266851283181794</c:v>
                </c:pt>
                <c:pt idx="7">
                  <c:v>84.393867018615538</c:v>
                </c:pt>
                <c:pt idx="8">
                  <c:v>83.307906076687971</c:v>
                </c:pt>
                <c:pt idx="9">
                  <c:v>80.575896952383914</c:v>
                </c:pt>
                <c:pt idx="10">
                  <c:v>77.149501192729758</c:v>
                </c:pt>
                <c:pt idx="11">
                  <c:v>73.84256600161649</c:v>
                </c:pt>
                <c:pt idx="12">
                  <c:v>73.835711246010717</c:v>
                </c:pt>
                <c:pt idx="13">
                  <c:v>73.087843015783932</c:v>
                </c:pt>
                <c:pt idx="14">
                  <c:v>67.859059765866306</c:v>
                </c:pt>
                <c:pt idx="15">
                  <c:v>67.549974119853914</c:v>
                </c:pt>
                <c:pt idx="16">
                  <c:v>66.123948948974757</c:v>
                </c:pt>
                <c:pt idx="17">
                  <c:v>64.530071422247303</c:v>
                </c:pt>
                <c:pt idx="18">
                  <c:v>45.07982004712251</c:v>
                </c:pt>
              </c:numCache>
            </c:numRef>
          </c:val>
        </c:ser>
        <c:ser>
          <c:idx val="0"/>
          <c:order val="1"/>
          <c:tx>
            <c:strRef>
              <c:f>'Evolución gasto (nacionalidad) '!$AA$6</c:f>
              <c:strCache>
                <c:ptCount val="1"/>
                <c:pt idx="0">
                  <c:v>Destino</c:v>
                </c:pt>
              </c:strCache>
            </c:strRef>
          </c:tx>
          <c:invertIfNegative val="0"/>
          <c:dPt>
            <c:idx val="1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'Evolución gasto (nacionalidad) '!$C$7:$C$25</c:f>
              <c:strCache>
                <c:ptCount val="19"/>
                <c:pt idx="0">
                  <c:v>Suiza + Austria</c:v>
                </c:pt>
                <c:pt idx="1">
                  <c:v>Noruega</c:v>
                </c:pt>
                <c:pt idx="2">
                  <c:v>Suecia</c:v>
                </c:pt>
                <c:pt idx="3">
                  <c:v>Dinamarca</c:v>
                </c:pt>
                <c:pt idx="4">
                  <c:v>Total nórdicos</c:v>
                </c:pt>
                <c:pt idx="5">
                  <c:v>Rusia</c:v>
                </c:pt>
                <c:pt idx="6">
                  <c:v>Resto del Mundo</c:v>
                </c:pt>
                <c:pt idx="7">
                  <c:v>Bélgica</c:v>
                </c:pt>
                <c:pt idx="8">
                  <c:v>Francia</c:v>
                </c:pt>
                <c:pt idx="9">
                  <c:v>Holanda</c:v>
                </c:pt>
                <c:pt idx="10">
                  <c:v>Finlandia</c:v>
                </c:pt>
                <c:pt idx="11">
                  <c:v>Alemania</c:v>
                </c:pt>
                <c:pt idx="12">
                  <c:v>Total Mercados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Reino Unido</c:v>
                </c:pt>
                <c:pt idx="17">
                  <c:v>Irlanda </c:v>
                </c:pt>
                <c:pt idx="18">
                  <c:v>Canarias</c:v>
                </c:pt>
              </c:strCache>
            </c:strRef>
          </c:cat>
          <c:val>
            <c:numRef>
              <c:f>'Evolución gasto (nacionalidad) '!$AA$7:$AA$25</c:f>
              <c:numCache>
                <c:formatCode>0.00</c:formatCode>
                <c:ptCount val="19"/>
                <c:pt idx="0">
                  <c:v>41.755445704548961</c:v>
                </c:pt>
                <c:pt idx="1">
                  <c:v>48.141818214854808</c:v>
                </c:pt>
                <c:pt idx="2">
                  <c:v>35.272264887176775</c:v>
                </c:pt>
                <c:pt idx="3">
                  <c:v>39.312240209120972</c:v>
                </c:pt>
                <c:pt idx="4">
                  <c:v>39.149548654636114</c:v>
                </c:pt>
                <c:pt idx="5">
                  <c:v>75.824316523273339</c:v>
                </c:pt>
                <c:pt idx="6">
                  <c:v>45.211698776965484</c:v>
                </c:pt>
                <c:pt idx="7">
                  <c:v>34.793138099339664</c:v>
                </c:pt>
                <c:pt idx="8">
                  <c:v>34.464157091407984</c:v>
                </c:pt>
                <c:pt idx="9">
                  <c:v>35.904354073421871</c:v>
                </c:pt>
                <c:pt idx="10">
                  <c:v>36.860867910163684</c:v>
                </c:pt>
                <c:pt idx="11">
                  <c:v>29.259961273666139</c:v>
                </c:pt>
                <c:pt idx="12">
                  <c:v>37.539493044820354</c:v>
                </c:pt>
                <c:pt idx="13">
                  <c:v>33.546966554903051</c:v>
                </c:pt>
                <c:pt idx="14">
                  <c:v>44.06743009397406</c:v>
                </c:pt>
                <c:pt idx="15">
                  <c:v>44.27565354966125</c:v>
                </c:pt>
                <c:pt idx="16">
                  <c:v>33.143863523662304</c:v>
                </c:pt>
                <c:pt idx="17">
                  <c:v>50.441454224735814</c:v>
                </c:pt>
                <c:pt idx="18">
                  <c:v>58.582654823587504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52576000"/>
        <c:axId val="128598016"/>
      </c:barChart>
      <c:catAx>
        <c:axId val="152576000"/>
        <c:scaling>
          <c:orientation val="maxMin"/>
        </c:scaling>
        <c:delete val="0"/>
        <c:axPos val="l"/>
        <c:majorTickMark val="in"/>
        <c:minorTickMark val="none"/>
        <c:tickLblPos val="low"/>
        <c:txPr>
          <a:bodyPr rot="0" vert="horz"/>
          <a:lstStyle/>
          <a:p>
            <a:pPr>
              <a:defRPr sz="1100"/>
            </a:pPr>
            <a:endParaRPr lang="es-ES"/>
          </a:p>
        </c:txPr>
        <c:crossAx val="128598016"/>
        <c:crosses val="autoZero"/>
        <c:auto val="1"/>
        <c:lblAlgn val="ctr"/>
        <c:lblOffset val="100"/>
        <c:noMultiLvlLbl val="0"/>
      </c:catAx>
      <c:valAx>
        <c:axId val="128598016"/>
        <c:scaling>
          <c:orientation val="minMax"/>
        </c:scaling>
        <c:delete val="1"/>
        <c:axPos val="t"/>
        <c:numFmt formatCode="0.00" sourceLinked="1"/>
        <c:majorTickMark val="out"/>
        <c:minorTickMark val="none"/>
        <c:tickLblPos val="none"/>
        <c:crossAx val="15257600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39228872895186218"/>
          <c:y val="8.8630419008298184E-2"/>
          <c:w val="0.23477658085972294"/>
          <c:h val="3.1423054876761093E-2"/>
        </c:manualLayout>
      </c:layout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400"/>
              <a:t>DISTRIBUCIÓN DEL GASTO DE LOS TURISTAS EN</a:t>
            </a:r>
            <a:r>
              <a:rPr lang="en-US" sz="1400" baseline="0"/>
              <a:t> DESTINO</a:t>
            </a:r>
            <a:endParaRPr lang="en-US" sz="14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35489984031716332"/>
          <c:y val="0.12135065761407918"/>
          <c:w val="0.61086136960152704"/>
          <c:h val="0.833484884637354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'Gasto partidas'!$Q$4:$Q$5</c:f>
              <c:strCache>
                <c:ptCount val="1"/>
                <c:pt idx="0">
                  <c:v>Peso cada concepto año 2012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95250"/>
            </a:sp3d>
          </c:spPr>
          <c:invertIfNegative val="0"/>
          <c:dLbls>
            <c:dLbl>
              <c:idx val="7"/>
              <c:layout>
                <c:manualLayout>
                  <c:x val="5.59440559440552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Extras alojamiento</c:v>
                </c:pt>
                <c:pt idx="4">
                  <c:v>Excursiones organizadas</c:v>
                </c:pt>
                <c:pt idx="5">
                  <c:v>Alquiler de coche </c:v>
                </c:pt>
                <c:pt idx="6">
                  <c:v>Ocio/ diversión/cultura</c:v>
                </c:pt>
                <c:pt idx="7">
                  <c:v>Alojamiento pagado en destino</c:v>
                </c:pt>
                <c:pt idx="8">
                  <c:v>Transporte público </c:v>
                </c:pt>
                <c:pt idx="9">
                  <c:v>Ocio nocturno </c:v>
                </c:pt>
                <c:pt idx="10">
                  <c:v>Actividades deportivas</c:v>
                </c:pt>
                <c:pt idx="11">
                  <c:v>Tratamientos salud</c:v>
                </c:pt>
                <c:pt idx="12">
                  <c:v>Time sharing</c:v>
                </c:pt>
                <c:pt idx="13">
                  <c:v>Otros servicios fuera del alojamiento</c:v>
                </c:pt>
                <c:pt idx="14">
                  <c:v>Otros gastos</c:v>
                </c:pt>
                <c:pt idx="15">
                  <c:v>Casinos</c:v>
                </c:pt>
              </c:strCache>
            </c:strRef>
          </c:cat>
          <c:val>
            <c:numRef>
              <c:f>'Gasto partidas'!$Q$6:$Q$21</c:f>
              <c:numCache>
                <c:formatCode>0.0%</c:formatCode>
                <c:ptCount val="16"/>
                <c:pt idx="0">
                  <c:v>0.32017258041404617</c:v>
                </c:pt>
                <c:pt idx="1">
                  <c:v>0.18761352073179074</c:v>
                </c:pt>
                <c:pt idx="2">
                  <c:v>0.1036438905960038</c:v>
                </c:pt>
                <c:pt idx="3">
                  <c:v>7.6983633039077529E-2</c:v>
                </c:pt>
                <c:pt idx="4">
                  <c:v>6.8563214854528515E-2</c:v>
                </c:pt>
                <c:pt idx="5">
                  <c:v>5.5308085906344055E-2</c:v>
                </c:pt>
                <c:pt idx="6">
                  <c:v>4.9870582014731414E-2</c:v>
                </c:pt>
                <c:pt idx="7">
                  <c:v>3.8359919914193054E-2</c:v>
                </c:pt>
                <c:pt idx="8">
                  <c:v>2.6834532038804527E-2</c:v>
                </c:pt>
                <c:pt idx="9">
                  <c:v>1.8257473977883229E-2</c:v>
                </c:pt>
                <c:pt idx="10">
                  <c:v>1.4131814370379749E-2</c:v>
                </c:pt>
                <c:pt idx="11">
                  <c:v>1.2204760424815912E-2</c:v>
                </c:pt>
                <c:pt idx="12">
                  <c:v>1.0005102342168741E-2</c:v>
                </c:pt>
                <c:pt idx="13">
                  <c:v>9.9185706881858519E-3</c:v>
                </c:pt>
                <c:pt idx="14">
                  <c:v>5.5134385691651203E-3</c:v>
                </c:pt>
                <c:pt idx="15">
                  <c:v>2.6188801178749286E-3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132599808"/>
        <c:axId val="128600896"/>
      </c:barChart>
      <c:barChart>
        <c:barDir val="bar"/>
        <c:grouping val="clustered"/>
        <c:varyColors val="0"/>
        <c:ser>
          <c:idx val="1"/>
          <c:order val="1"/>
          <c:tx>
            <c:strRef>
              <c:f>'Gasto partidas'!$N$5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chemeClr val="bg1">
                    <a:lumMod val="65000"/>
                  </a:schemeClr>
                </a:gs>
              </a:gsLst>
              <a:lin ang="54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4"/>
            <c:invertIfNegative val="0"/>
            <c:bubble3D val="0"/>
            <c:spPr>
              <a:noFill/>
              <a:ln w="25400">
                <a:noFill/>
              </a:ln>
            </c:spPr>
          </c:dPt>
          <c:dPt>
            <c:idx val="15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11"/>
              <c:layout>
                <c:manualLayout>
                  <c:x val="-1.6741368867353203E-2"/>
                  <c:y val="1.4461002292069027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0.36739034194152331"/>
                  <c:y val="1.83669190111567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1"/>
              </a:gradFill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  <a:latin typeface="+mn-lt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Extras alojamiento</c:v>
                </c:pt>
                <c:pt idx="4">
                  <c:v>Excursiones organizadas</c:v>
                </c:pt>
                <c:pt idx="5">
                  <c:v>Alquiler de coche </c:v>
                </c:pt>
                <c:pt idx="6">
                  <c:v>Ocio/ diversión/cultura</c:v>
                </c:pt>
                <c:pt idx="7">
                  <c:v>Alojamiento pagado en destino</c:v>
                </c:pt>
                <c:pt idx="8">
                  <c:v>Transporte público </c:v>
                </c:pt>
                <c:pt idx="9">
                  <c:v>Ocio nocturno </c:v>
                </c:pt>
                <c:pt idx="10">
                  <c:v>Actividades deportivas</c:v>
                </c:pt>
                <c:pt idx="11">
                  <c:v>Tratamientos salud</c:v>
                </c:pt>
                <c:pt idx="12">
                  <c:v>Time sharing</c:v>
                </c:pt>
                <c:pt idx="13">
                  <c:v>Otros servicios fuera del alojamiento</c:v>
                </c:pt>
                <c:pt idx="14">
                  <c:v>Otros gastos</c:v>
                </c:pt>
                <c:pt idx="15">
                  <c:v>Casinos</c:v>
                </c:pt>
              </c:strCache>
            </c:strRef>
          </c:cat>
          <c:val>
            <c:numRef>
              <c:f>'Gasto partidas'!$N$6:$N$21</c:f>
              <c:numCache>
                <c:formatCode>0.0%</c:formatCode>
                <c:ptCount val="16"/>
                <c:pt idx="0">
                  <c:v>1.3756760846008298E-2</c:v>
                </c:pt>
                <c:pt idx="1">
                  <c:v>6.8338689257809726E-3</c:v>
                </c:pt>
                <c:pt idx="2">
                  <c:v>8.615551388130438E-2</c:v>
                </c:pt>
                <c:pt idx="3">
                  <c:v>1.1484575455455781E-2</c:v>
                </c:pt>
                <c:pt idx="4">
                  <c:v>-1.0948838658210724E-2</c:v>
                </c:pt>
                <c:pt idx="5">
                  <c:v>-1.2262781090822683E-2</c:v>
                </c:pt>
                <c:pt idx="6">
                  <c:v>1.6189617256079369E-2</c:v>
                </c:pt>
                <c:pt idx="7">
                  <c:v>6.6754671086808548E-2</c:v>
                </c:pt>
                <c:pt idx="8">
                  <c:v>-1.6971058238639647E-2</c:v>
                </c:pt>
                <c:pt idx="9">
                  <c:v>-0.29486317325928635</c:v>
                </c:pt>
                <c:pt idx="10">
                  <c:v>-7.9635067210558907E-2</c:v>
                </c:pt>
                <c:pt idx="11">
                  <c:v>6.3160898185677716E-2</c:v>
                </c:pt>
                <c:pt idx="12">
                  <c:v>0.54708057536377375</c:v>
                </c:pt>
                <c:pt idx="13">
                  <c:v>-0.16015372682458406</c:v>
                </c:pt>
                <c:pt idx="14">
                  <c:v>-0.50548224252833918</c:v>
                </c:pt>
                <c:pt idx="15">
                  <c:v>-0.62511634290830054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34016512"/>
        <c:axId val="128601472"/>
      </c:barChart>
      <c:catAx>
        <c:axId val="132599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28600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8600896"/>
        <c:scaling>
          <c:orientation val="minMax"/>
          <c:max val="0.35000000000000031"/>
          <c:min val="-0.1"/>
        </c:scaling>
        <c:delete val="0"/>
        <c:axPos val="t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4.7120753262485486E-2"/>
              <c:y val="0.96575403281202277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one"/>
        <c:spPr>
          <a:ln w="9525">
            <a:noFill/>
          </a:ln>
        </c:spPr>
        <c:crossAx val="132599808"/>
        <c:crosses val="autoZero"/>
        <c:crossBetween val="between"/>
      </c:valAx>
      <c:valAx>
        <c:axId val="128601472"/>
        <c:scaling>
          <c:orientation val="minMax"/>
          <c:min val="0"/>
        </c:scaling>
        <c:delete val="1"/>
        <c:axPos val="t"/>
        <c:numFmt formatCode="0.0%" sourceLinked="1"/>
        <c:majorTickMark val="out"/>
        <c:minorTickMark val="none"/>
        <c:tickLblPos val="none"/>
        <c:crossAx val="134016512"/>
        <c:crosses val="autoZero"/>
        <c:crossBetween val="between"/>
      </c:valAx>
      <c:catAx>
        <c:axId val="134016512"/>
        <c:scaling>
          <c:orientation val="maxMin"/>
        </c:scaling>
        <c:delete val="1"/>
        <c:axPos val="l"/>
        <c:majorTickMark val="out"/>
        <c:minorTickMark val="none"/>
        <c:tickLblPos val="none"/>
        <c:crossAx val="128601472"/>
        <c:crossesAt val="0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802367711029141"/>
          <c:y val="5.3407084445022991E-2"/>
          <c:w val="0.64395249894462492"/>
          <c:h val="5.6500003615250545E-2"/>
        </c:manualLayout>
      </c:layout>
      <c:overlay val="0"/>
      <c:spPr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VISITAS ANTERIORES A LA ISLA (%) </a:t>
            </a:r>
          </a:p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ÚLTIMOS 5 AÑOS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961732906620137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4754669637757968"/>
          <c:y val="0.17039309228709418"/>
          <c:w val="0.64064677408784065"/>
          <c:h val="0.765583542667272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'fidelidad '!$E$16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'fidelidad '!$C$17:$C$21</c:f>
              <c:strCache>
                <c:ptCount val="5"/>
                <c:pt idx="0">
                  <c:v>Nuevos visitantes</c:v>
                </c:pt>
                <c:pt idx="1">
                  <c:v>Repetidores</c:v>
                </c:pt>
                <c:pt idx="2">
                  <c:v>1 visita anterior</c:v>
                </c:pt>
                <c:pt idx="3">
                  <c:v>2-3 visitas anteriores</c:v>
                </c:pt>
                <c:pt idx="4">
                  <c:v>4 o más visitas anteriores</c:v>
                </c:pt>
              </c:strCache>
            </c:strRef>
          </c:cat>
          <c:val>
            <c:numRef>
              <c:f>'fidelidad '!$E$17:$E$21</c:f>
              <c:numCache>
                <c:formatCode>0.0</c:formatCode>
                <c:ptCount val="5"/>
                <c:pt idx="0">
                  <c:v>57.590909090909093</c:v>
                </c:pt>
                <c:pt idx="1">
                  <c:v>40.354545454545452</c:v>
                </c:pt>
                <c:pt idx="2">
                  <c:v>8.5545454545454547</c:v>
                </c:pt>
                <c:pt idx="3">
                  <c:v>14.145454545454545</c:v>
                </c:pt>
                <c:pt idx="4">
                  <c:v>17.654545454545456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2715264"/>
        <c:axId val="128605504"/>
      </c:barChart>
      <c:barChart>
        <c:barDir val="bar"/>
        <c:grouping val="clustered"/>
        <c:varyColors val="0"/>
        <c:ser>
          <c:idx val="1"/>
          <c:order val="1"/>
          <c:tx>
            <c:strRef>
              <c:f>'fidelidad '!$F$16</c:f>
              <c:strCache>
                <c:ptCount val="1"/>
                <c:pt idx="0">
                  <c:v>var.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Lbls>
            <c:dLbl>
              <c:idx val="1"/>
              <c:layout>
                <c:manualLayout>
                  <c:x val="-2.7106837566826304E-3"/>
                  <c:y val="1.919320959152194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590672895971246E-2"/>
                  <c:y val="-2.4373456865948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210641624612657E-3"/>
                  <c:y val="3.838641919198124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008576216914685E-3"/>
                  <c:y val="3.838641919198124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260275075603659"/>
                  <c:y val="-2.43696182240294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13687473667456238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'fidelidad '!#REF!</c:f>
            </c:strRef>
          </c:cat>
          <c:val>
            <c:numRef>
              <c:f>'fidelidad '!$F$17:$F$21</c:f>
              <c:numCache>
                <c:formatCode>0.0%</c:formatCode>
                <c:ptCount val="5"/>
                <c:pt idx="0">
                  <c:v>-2.7777777777777679E-2</c:v>
                </c:pt>
                <c:pt idx="1">
                  <c:v>5.4143908810258878E-2</c:v>
                </c:pt>
                <c:pt idx="2">
                  <c:v>8.9120370370370461E-2</c:v>
                </c:pt>
                <c:pt idx="3">
                  <c:v>8.5076708507670906E-2</c:v>
                </c:pt>
                <c:pt idx="4">
                  <c:v>1.5159435441714608E-2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2717312"/>
        <c:axId val="134447104"/>
      </c:barChart>
      <c:catAx>
        <c:axId val="152715264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28605504"/>
        <c:crosses val="autoZero"/>
        <c:auto val="1"/>
        <c:lblAlgn val="ctr"/>
        <c:lblOffset val="100"/>
        <c:noMultiLvlLbl val="0"/>
      </c:catAx>
      <c:valAx>
        <c:axId val="128605504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2715264"/>
        <c:crosses val="autoZero"/>
        <c:crossBetween val="between"/>
      </c:valAx>
      <c:valAx>
        <c:axId val="13444710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2717312"/>
        <c:crosses val="autoZero"/>
        <c:crossBetween val="between"/>
      </c:valAx>
      <c:catAx>
        <c:axId val="152717312"/>
        <c:scaling>
          <c:orientation val="maxMin"/>
        </c:scaling>
        <c:delete val="1"/>
        <c:axPos val="r"/>
        <c:majorTickMark val="out"/>
        <c:minorTickMark val="none"/>
        <c:tickLblPos val="none"/>
        <c:crossAx val="134447104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7737526566610832"/>
          <c:y val="0.11023178487636502"/>
          <c:w val="0.44384125737948438"/>
          <c:h val="4.448026323870883E-2"/>
        </c:manualLayout>
      </c:layout>
      <c:overlay val="0"/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VISITAS ANTERIORES A LA ISLA (%)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961732906620137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4516857509339288"/>
          <c:y val="0.16792730817472348"/>
          <c:w val="0.63600386662036723"/>
          <c:h val="0.77292436285222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'fidelidad '!$I$4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'fidelidad '!$C$5:$C$9</c:f>
              <c:strCache>
                <c:ptCount val="5"/>
                <c:pt idx="0">
                  <c:v>Nuevos visitantes</c:v>
                </c:pt>
                <c:pt idx="1">
                  <c:v>Repetidores</c:v>
                </c:pt>
                <c:pt idx="2">
                  <c:v>1 visita anterior</c:v>
                </c:pt>
                <c:pt idx="3">
                  <c:v>2-3 visitas anteriores</c:v>
                </c:pt>
                <c:pt idx="4">
                  <c:v>4 o más visitas anteriores</c:v>
                </c:pt>
              </c:strCache>
            </c:strRef>
          </c:cat>
          <c:val>
            <c:numRef>
              <c:f>'fidelidad '!$I$5:$I$9</c:f>
              <c:numCache>
                <c:formatCode>0.0</c:formatCode>
                <c:ptCount val="5"/>
                <c:pt idx="0">
                  <c:v>40.836363636363636</c:v>
                </c:pt>
                <c:pt idx="1">
                  <c:v>59.018181818181816</c:v>
                </c:pt>
                <c:pt idx="2">
                  <c:v>13.627272727272727</c:v>
                </c:pt>
                <c:pt idx="3">
                  <c:v>16.172727272727272</c:v>
                </c:pt>
                <c:pt idx="4">
                  <c:v>29.218181818181819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2718848"/>
        <c:axId val="134448832"/>
      </c:barChart>
      <c:barChart>
        <c:barDir val="bar"/>
        <c:grouping val="clustered"/>
        <c:varyColors val="0"/>
        <c:ser>
          <c:idx val="1"/>
          <c:order val="1"/>
          <c:tx>
            <c:strRef>
              <c:f>'fidelidad '!$N$4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'fidelidad '!$N$5:$N$9</c:f>
              <c:numCache>
                <c:formatCode>0.0%</c:formatCode>
                <c:ptCount val="5"/>
                <c:pt idx="0">
                  <c:v>-1.3614404918752765E-2</c:v>
                </c:pt>
                <c:pt idx="1">
                  <c:v>1.3899734499453364E-2</c:v>
                </c:pt>
                <c:pt idx="2">
                  <c:v>-4.2784163473818637E-2</c:v>
                </c:pt>
                <c:pt idx="3">
                  <c:v>4.3401759530791839E-2</c:v>
                </c:pt>
                <c:pt idx="4">
                  <c:v>2.6181353767560589E-2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3719808"/>
        <c:axId val="134449408"/>
      </c:barChart>
      <c:catAx>
        <c:axId val="152718848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4448832"/>
        <c:crosses val="autoZero"/>
        <c:auto val="1"/>
        <c:lblAlgn val="ctr"/>
        <c:lblOffset val="100"/>
        <c:noMultiLvlLbl val="0"/>
      </c:catAx>
      <c:valAx>
        <c:axId val="13444883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2718848"/>
        <c:crosses val="autoZero"/>
        <c:crossBetween val="between"/>
      </c:valAx>
      <c:valAx>
        <c:axId val="13444940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3719808"/>
        <c:crosses val="autoZero"/>
        <c:crossBetween val="between"/>
      </c:valAx>
      <c:catAx>
        <c:axId val="153719808"/>
        <c:scaling>
          <c:orientation val="maxMin"/>
        </c:scaling>
        <c:delete val="1"/>
        <c:axPos val="r"/>
        <c:majorTickMark val="out"/>
        <c:minorTickMark val="none"/>
        <c:tickLblPos val="none"/>
        <c:crossAx val="134449408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7737526873584623"/>
          <c:y val="7.1231182977312096E-2"/>
          <c:w val="0.44384125737948438"/>
          <c:h val="4.9355338476089868E-2"/>
        </c:manualLayout>
      </c:layout>
      <c:overlay val="0"/>
      <c:txPr>
        <a:bodyPr/>
        <a:lstStyle/>
        <a:p>
          <a:pPr>
            <a:defRPr sz="12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NIVEL DE FIDELIDAD: PORCENTAJE DE REPETICIÓN DE VISITAS A TENERIFE SEGÚN MERCADOS (%)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375689842288825"/>
          <c:y val="0.13870508864216888"/>
          <c:w val="0.80415652588880937"/>
          <c:h val="0.807021674591931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'fidelidad nac'!$N$4:$O$4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'fidelidad nac'!$C$6:$C$24</c:f>
              <c:strCache>
                <c:ptCount val="19"/>
                <c:pt idx="0">
                  <c:v>Canarias</c:v>
                </c:pt>
                <c:pt idx="1">
                  <c:v>Reino Unido</c:v>
                </c:pt>
                <c:pt idx="2">
                  <c:v>Finlandia</c:v>
                </c:pt>
                <c:pt idx="3">
                  <c:v>Bélgica</c:v>
                </c:pt>
                <c:pt idx="4">
                  <c:v>Irlanda</c:v>
                </c:pt>
                <c:pt idx="5">
                  <c:v>Suecia</c:v>
                </c:pt>
                <c:pt idx="6">
                  <c:v>Total nórdicos</c:v>
                </c:pt>
                <c:pt idx="7">
                  <c:v>Noruega</c:v>
                </c:pt>
                <c:pt idx="8">
                  <c:v>Dinamarca</c:v>
                </c:pt>
                <c:pt idx="9">
                  <c:v>Todos los países</c:v>
                </c:pt>
                <c:pt idx="10">
                  <c:v>España</c:v>
                </c:pt>
                <c:pt idx="11">
                  <c:v>Península</c:v>
                </c:pt>
                <c:pt idx="12">
                  <c:v>Holanda</c:v>
                </c:pt>
                <c:pt idx="13">
                  <c:v>Alemania</c:v>
                </c:pt>
                <c:pt idx="14">
                  <c:v>Suiza + Austria</c:v>
                </c:pt>
                <c:pt idx="15">
                  <c:v>Italia</c:v>
                </c:pt>
                <c:pt idx="16">
                  <c:v>Francia</c:v>
                </c:pt>
                <c:pt idx="17">
                  <c:v>Rusia</c:v>
                </c:pt>
                <c:pt idx="18">
                  <c:v>Resto del Mundo</c:v>
                </c:pt>
              </c:strCache>
            </c:strRef>
          </c:cat>
          <c:val>
            <c:numRef>
              <c:f>'fidelidad nac'!$O$6:$O$23</c:f>
              <c:numCache>
                <c:formatCode>0.0</c:formatCode>
                <c:ptCount val="18"/>
                <c:pt idx="0">
                  <c:v>82.352941176470594</c:v>
                </c:pt>
                <c:pt idx="1">
                  <c:v>77.866119517825084</c:v>
                </c:pt>
                <c:pt idx="2">
                  <c:v>63.333333333333336</c:v>
                </c:pt>
                <c:pt idx="3">
                  <c:v>62.756598240469209</c:v>
                </c:pt>
                <c:pt idx="4">
                  <c:v>62.275449101796404</c:v>
                </c:pt>
                <c:pt idx="5">
                  <c:v>62.195121951219512</c:v>
                </c:pt>
                <c:pt idx="6">
                  <c:v>61.726242371403664</c:v>
                </c:pt>
                <c:pt idx="7">
                  <c:v>60.995850622406635</c:v>
                </c:pt>
                <c:pt idx="8">
                  <c:v>59.73451327433628</c:v>
                </c:pt>
                <c:pt idx="9">
                  <c:v>59.018181818181816</c:v>
                </c:pt>
                <c:pt idx="10">
                  <c:v>56.256256256256258</c:v>
                </c:pt>
                <c:pt idx="11">
                  <c:v>55.336787564766837</c:v>
                </c:pt>
                <c:pt idx="12">
                  <c:v>48.118279569892472</c:v>
                </c:pt>
                <c:pt idx="13">
                  <c:v>45.892351274787536</c:v>
                </c:pt>
                <c:pt idx="14">
                  <c:v>40.74074074074074</c:v>
                </c:pt>
                <c:pt idx="15">
                  <c:v>32.780082987551864</c:v>
                </c:pt>
                <c:pt idx="16">
                  <c:v>32.054794520547944</c:v>
                </c:pt>
                <c:pt idx="17">
                  <c:v>24.561403508771932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3322496"/>
        <c:axId val="134452864"/>
      </c:barChart>
      <c:barChart>
        <c:barDir val="bar"/>
        <c:grouping val="clustered"/>
        <c:varyColors val="0"/>
        <c:ser>
          <c:idx val="1"/>
          <c:order val="1"/>
          <c:tx>
            <c:strRef>
              <c:f>'fidelidad nac'!$V$4:$W$4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'fidelidad nac'!$C$6:$C$23</c:f>
              <c:strCache>
                <c:ptCount val="18"/>
                <c:pt idx="0">
                  <c:v>Canarias</c:v>
                </c:pt>
                <c:pt idx="1">
                  <c:v>Reino Unido</c:v>
                </c:pt>
                <c:pt idx="2">
                  <c:v>Finlandia</c:v>
                </c:pt>
                <c:pt idx="3">
                  <c:v>Bélgica</c:v>
                </c:pt>
                <c:pt idx="4">
                  <c:v>Irlanda</c:v>
                </c:pt>
                <c:pt idx="5">
                  <c:v>Suecia</c:v>
                </c:pt>
                <c:pt idx="6">
                  <c:v>Total nórdicos</c:v>
                </c:pt>
                <c:pt idx="7">
                  <c:v>Noruega</c:v>
                </c:pt>
                <c:pt idx="8">
                  <c:v>Dinamarca</c:v>
                </c:pt>
                <c:pt idx="9">
                  <c:v>Todos los países</c:v>
                </c:pt>
                <c:pt idx="10">
                  <c:v>España</c:v>
                </c:pt>
                <c:pt idx="11">
                  <c:v>Península</c:v>
                </c:pt>
                <c:pt idx="12">
                  <c:v>Holanda</c:v>
                </c:pt>
                <c:pt idx="13">
                  <c:v>Alemania</c:v>
                </c:pt>
                <c:pt idx="14">
                  <c:v>Suiza + Austria</c:v>
                </c:pt>
                <c:pt idx="15">
                  <c:v>Italia</c:v>
                </c:pt>
                <c:pt idx="16">
                  <c:v>Francia</c:v>
                </c:pt>
                <c:pt idx="17">
                  <c:v>Rusia</c:v>
                </c:pt>
              </c:strCache>
            </c:strRef>
          </c:cat>
          <c:val>
            <c:numRef>
              <c:f>'fidelidad nac'!$W$6:$W$23</c:f>
              <c:numCache>
                <c:formatCode>0.0%</c:formatCode>
                <c:ptCount val="18"/>
                <c:pt idx="0">
                  <c:v>1.6042780748663166E-2</c:v>
                </c:pt>
                <c:pt idx="1">
                  <c:v>2.7532994367316821E-2</c:v>
                </c:pt>
                <c:pt idx="2">
                  <c:v>8.3848797250859253E-2</c:v>
                </c:pt>
                <c:pt idx="3">
                  <c:v>2.576774788990277E-2</c:v>
                </c:pt>
                <c:pt idx="4">
                  <c:v>-2.8288251084038984E-2</c:v>
                </c:pt>
                <c:pt idx="5">
                  <c:v>8.4584885257719566E-2</c:v>
                </c:pt>
                <c:pt idx="6">
                  <c:v>6.3831949988466752E-2</c:v>
                </c:pt>
                <c:pt idx="7">
                  <c:v>1.9502074688796611E-2</c:v>
                </c:pt>
                <c:pt idx="8">
                  <c:v>5.4404666130329904E-2</c:v>
                </c:pt>
                <c:pt idx="9">
                  <c:v>1.3899734499453364E-2</c:v>
                </c:pt>
                <c:pt idx="10">
                  <c:v>5.6218924591867836E-2</c:v>
                </c:pt>
                <c:pt idx="11">
                  <c:v>6.5926910908340686E-2</c:v>
                </c:pt>
                <c:pt idx="12">
                  <c:v>-5.0118461818844384E-3</c:v>
                </c:pt>
                <c:pt idx="13">
                  <c:v>2.4640547330161855E-2</c:v>
                </c:pt>
                <c:pt idx="14">
                  <c:v>-6.8055555555555536E-2</c:v>
                </c:pt>
                <c:pt idx="15">
                  <c:v>8.0756703698745547E-3</c:v>
                </c:pt>
                <c:pt idx="16">
                  <c:v>-0.20512773047019628</c:v>
                </c:pt>
                <c:pt idx="17">
                  <c:v>-0.16026552868658128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4172928"/>
        <c:axId val="134453440"/>
      </c:barChart>
      <c:catAx>
        <c:axId val="153322496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4452864"/>
        <c:crosses val="autoZero"/>
        <c:auto val="1"/>
        <c:lblAlgn val="ctr"/>
        <c:lblOffset val="100"/>
        <c:noMultiLvlLbl val="0"/>
      </c:catAx>
      <c:valAx>
        <c:axId val="134452864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3322496"/>
        <c:crosses val="autoZero"/>
        <c:crossBetween val="between"/>
      </c:valAx>
      <c:valAx>
        <c:axId val="134453440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4172928"/>
        <c:crosses val="autoZero"/>
        <c:crossBetween val="between"/>
      </c:valAx>
      <c:catAx>
        <c:axId val="154172928"/>
        <c:scaling>
          <c:orientation val="maxMin"/>
        </c:scaling>
        <c:delete val="1"/>
        <c:axPos val="r"/>
        <c:majorTickMark val="out"/>
        <c:minorTickMark val="none"/>
        <c:tickLblPos val="none"/>
        <c:crossAx val="134453440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8189761470432034"/>
          <c:y val="9.5606584741760842E-2"/>
          <c:w val="0.44384125737948438"/>
          <c:h val="2.9855075646926077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NIVEL DE FIDELIDAD: PORCENTAJE DE REPETICIÓN DE VISITAS A TENERIFE SEGÚN MERCADOS (%) </a:t>
            </a:r>
          </a:p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ÚLTIMOS 5 AÑOS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929095373342362"/>
          <c:y val="0.16374050787544009"/>
          <c:w val="0.7943815087630175"/>
          <c:h val="0.787426953516767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'fidelidad nac'!$F$35:$G$35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'fidelidad nac'!$C$37:$C$54</c:f>
              <c:strCache>
                <c:ptCount val="18"/>
                <c:pt idx="0">
                  <c:v>Canarias</c:v>
                </c:pt>
                <c:pt idx="1">
                  <c:v>Reino Unido</c:v>
                </c:pt>
                <c:pt idx="2">
                  <c:v>Bélgica</c:v>
                </c:pt>
                <c:pt idx="3">
                  <c:v>Irlanda</c:v>
                </c:pt>
                <c:pt idx="4">
                  <c:v>Dinamarca</c:v>
                </c:pt>
                <c:pt idx="5">
                  <c:v>Finlandia</c:v>
                </c:pt>
                <c:pt idx="6">
                  <c:v>Total nórdicos</c:v>
                </c:pt>
                <c:pt idx="7">
                  <c:v>Noruega</c:v>
                </c:pt>
                <c:pt idx="8">
                  <c:v>Todos los países</c:v>
                </c:pt>
                <c:pt idx="9">
                  <c:v>Suecia</c:v>
                </c:pt>
                <c:pt idx="10">
                  <c:v>España</c:v>
                </c:pt>
                <c:pt idx="11">
                  <c:v>Alemania</c:v>
                </c:pt>
                <c:pt idx="12">
                  <c:v>Península</c:v>
                </c:pt>
                <c:pt idx="13">
                  <c:v>Suiza + Austria</c:v>
                </c:pt>
                <c:pt idx="14">
                  <c:v>Holanda</c:v>
                </c:pt>
                <c:pt idx="15">
                  <c:v>Italia</c:v>
                </c:pt>
                <c:pt idx="16">
                  <c:v>Francia</c:v>
                </c:pt>
                <c:pt idx="17">
                  <c:v>Rusia</c:v>
                </c:pt>
              </c:strCache>
            </c:strRef>
          </c:cat>
          <c:val>
            <c:numRef>
              <c:f>'fidelidad nac'!$G$37:$G$54</c:f>
              <c:numCache>
                <c:formatCode>0.0</c:formatCode>
                <c:ptCount val="18"/>
                <c:pt idx="0">
                  <c:v>66.176470588235304</c:v>
                </c:pt>
                <c:pt idx="1">
                  <c:v>58.502180046165684</c:v>
                </c:pt>
                <c:pt idx="2">
                  <c:v>48.387096774193544</c:v>
                </c:pt>
                <c:pt idx="3">
                  <c:v>46.706586826347305</c:v>
                </c:pt>
                <c:pt idx="4">
                  <c:v>42.920353982300888</c:v>
                </c:pt>
                <c:pt idx="5">
                  <c:v>42.592592592592595</c:v>
                </c:pt>
                <c:pt idx="6">
                  <c:v>41.238012205754139</c:v>
                </c:pt>
                <c:pt idx="7">
                  <c:v>41.078838174273855</c:v>
                </c:pt>
                <c:pt idx="8">
                  <c:v>40.354545454545452</c:v>
                </c:pt>
                <c:pt idx="9">
                  <c:v>39.512195121951216</c:v>
                </c:pt>
                <c:pt idx="10">
                  <c:v>30.08008008008008</c:v>
                </c:pt>
                <c:pt idx="11">
                  <c:v>29.107648725212467</c:v>
                </c:pt>
                <c:pt idx="12">
                  <c:v>28.808290155440417</c:v>
                </c:pt>
                <c:pt idx="13">
                  <c:v>28.042328042328041</c:v>
                </c:pt>
                <c:pt idx="14">
                  <c:v>26.881720430107528</c:v>
                </c:pt>
                <c:pt idx="15">
                  <c:v>24.481327800829874</c:v>
                </c:pt>
                <c:pt idx="16">
                  <c:v>21.095890410958905</c:v>
                </c:pt>
                <c:pt idx="17">
                  <c:v>17.836257309941519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3324544"/>
        <c:axId val="134472832"/>
      </c:barChart>
      <c:barChart>
        <c:barDir val="bar"/>
        <c:grouping val="clustered"/>
        <c:varyColors val="0"/>
        <c:ser>
          <c:idx val="1"/>
          <c:order val="1"/>
          <c:tx>
            <c:strRef>
              <c:f>'fidelidad nac'!$H$35:$I$35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'fidelidad nac'!$C$37:$C$54</c:f>
              <c:strCache>
                <c:ptCount val="18"/>
                <c:pt idx="0">
                  <c:v>Canarias</c:v>
                </c:pt>
                <c:pt idx="1">
                  <c:v>Reino Unido</c:v>
                </c:pt>
                <c:pt idx="2">
                  <c:v>Bélgica</c:v>
                </c:pt>
                <c:pt idx="3">
                  <c:v>Irlanda</c:v>
                </c:pt>
                <c:pt idx="4">
                  <c:v>Dinamarca</c:v>
                </c:pt>
                <c:pt idx="5">
                  <c:v>Finlandia</c:v>
                </c:pt>
                <c:pt idx="6">
                  <c:v>Total nórdicos</c:v>
                </c:pt>
                <c:pt idx="7">
                  <c:v>Noruega</c:v>
                </c:pt>
                <c:pt idx="8">
                  <c:v>Todos los países</c:v>
                </c:pt>
                <c:pt idx="9">
                  <c:v>Suecia</c:v>
                </c:pt>
                <c:pt idx="10">
                  <c:v>España</c:v>
                </c:pt>
                <c:pt idx="11">
                  <c:v>Alemania</c:v>
                </c:pt>
                <c:pt idx="12">
                  <c:v>Península</c:v>
                </c:pt>
                <c:pt idx="13">
                  <c:v>Suiza + Austria</c:v>
                </c:pt>
                <c:pt idx="14">
                  <c:v>Holanda</c:v>
                </c:pt>
                <c:pt idx="15">
                  <c:v>Italia</c:v>
                </c:pt>
                <c:pt idx="16">
                  <c:v>Francia</c:v>
                </c:pt>
                <c:pt idx="17">
                  <c:v>Rusia</c:v>
                </c:pt>
              </c:strCache>
            </c:strRef>
          </c:cat>
          <c:val>
            <c:numRef>
              <c:f>'fidelidad nac'!$I$37:$I$54</c:f>
              <c:numCache>
                <c:formatCode>0.0%</c:formatCode>
                <c:ptCount val="18"/>
                <c:pt idx="0">
                  <c:v>4.7794117647059098E-2</c:v>
                </c:pt>
                <c:pt idx="1">
                  <c:v>5.6813575027508945E-2</c:v>
                </c:pt>
                <c:pt idx="2">
                  <c:v>8.9555605684637829E-2</c:v>
                </c:pt>
                <c:pt idx="3">
                  <c:v>7.0112938679602888E-2</c:v>
                </c:pt>
                <c:pt idx="4">
                  <c:v>0.23462252813285267</c:v>
                </c:pt>
                <c:pt idx="5">
                  <c:v>0.33403214535290027</c:v>
                </c:pt>
                <c:pt idx="6">
                  <c:v>0.23499813177232509</c:v>
                </c:pt>
                <c:pt idx="7">
                  <c:v>0.13087625091530386</c:v>
                </c:pt>
                <c:pt idx="8">
                  <c:v>5.4143908810258878E-2</c:v>
                </c:pt>
                <c:pt idx="9">
                  <c:v>0.23781567019210015</c:v>
                </c:pt>
                <c:pt idx="10">
                  <c:v>4.8972571892775596E-2</c:v>
                </c:pt>
                <c:pt idx="11">
                  <c:v>8.7706873415834163E-2</c:v>
                </c:pt>
                <c:pt idx="12">
                  <c:v>6.6832522013379636E-2</c:v>
                </c:pt>
                <c:pt idx="13">
                  <c:v>0.22184429327286481</c:v>
                </c:pt>
                <c:pt idx="14">
                  <c:v>-9.7366084640426065E-2</c:v>
                </c:pt>
                <c:pt idx="15">
                  <c:v>6.0857538035961278E-2</c:v>
                </c:pt>
                <c:pt idx="16">
                  <c:v>-0.20998043052837567</c:v>
                </c:pt>
                <c:pt idx="17">
                  <c:v>-0.1795321637426901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3640960"/>
        <c:axId val="134473408"/>
      </c:barChart>
      <c:catAx>
        <c:axId val="153324544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4472832"/>
        <c:crosses val="autoZero"/>
        <c:auto val="1"/>
        <c:lblAlgn val="ctr"/>
        <c:lblOffset val="100"/>
        <c:noMultiLvlLbl val="0"/>
      </c:catAx>
      <c:valAx>
        <c:axId val="13447283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3324544"/>
        <c:crosses val="autoZero"/>
        <c:crossBetween val="between"/>
      </c:valAx>
      <c:valAx>
        <c:axId val="13447340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3640960"/>
        <c:crosses val="autoZero"/>
        <c:crossBetween val="between"/>
      </c:valAx>
      <c:catAx>
        <c:axId val="153640960"/>
        <c:scaling>
          <c:orientation val="maxMin"/>
        </c:scaling>
        <c:delete val="1"/>
        <c:axPos val="r"/>
        <c:majorTickMark val="out"/>
        <c:minorTickMark val="none"/>
        <c:tickLblPos val="none"/>
        <c:crossAx val="134473408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8580768313051935"/>
          <c:y val="0.12798753236032587"/>
          <c:w val="0.44384125737948438"/>
          <c:h val="2.9855075646926094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>
                <a:solidFill>
                  <a:schemeClr val="tx2">
                    <a:lumMod val="75000"/>
                  </a:schemeClr>
                </a:solidFill>
              </a:rPr>
              <a:t>PORCENTAJE DE TURISTAS SEGÚN ZONA DE ALOJAMIENTO (%)</a:t>
            </a:r>
          </a:p>
        </c:rich>
      </c:tx>
      <c:layout>
        <c:manualLayout>
          <c:xMode val="edge"/>
          <c:yMode val="edge"/>
          <c:x val="0.15061216432311747"/>
          <c:y val="1.29360173536604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957981448243338"/>
          <c:y val="0.189975240279352"/>
          <c:w val="0.54572202521800905"/>
          <c:h val="0.765808714765998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'Zonas de aloja Total y País '!$I$4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4719032017850792E-2"/>
                  <c:y val="1.88722618535602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292284738911741E-2"/>
                  <c:y val="1.57694910597269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695948796834062E-2"/>
                  <c:y val="3.83065350207216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897634670860409E-2"/>
                  <c:y val="-2.9007979780082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0997371856511592E-2"/>
                  <c:y val="4.8514455789614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5984231139069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2992115569534698E-2"/>
                  <c:y val="-1.26881859757882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999025192878222E-3"/>
                  <c:y val="1.95142817222213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8792641198233103E-2"/>
                  <c:y val="7.012847422514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anchor="b" anchorCtr="0"/>
              <a:lstStyle/>
              <a:p>
                <a:pPr>
                  <a:defRPr sz="14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'Zonas de aloja Total y País '!$C$5:$C$13</c:f>
              <c:strCache>
                <c:ptCount val="9"/>
                <c:pt idx="0">
                  <c:v>Costa Adeje</c:v>
                </c:pt>
                <c:pt idx="1">
                  <c:v>Las Américas-Arona</c:v>
                </c:pt>
                <c:pt idx="2">
                  <c:v>Pº Cruz/ Valle Orotava</c:v>
                </c:pt>
                <c:pt idx="3">
                  <c:v>Centros sec.sur</c:v>
                </c:pt>
                <c:pt idx="4">
                  <c:v>Los Cristianos</c:v>
                </c:pt>
                <c:pt idx="5">
                  <c:v>Los Gigantes/ Pº Santiago + Abama</c:v>
                </c:pt>
                <c:pt idx="6">
                  <c:v>Resto sur + sur interior</c:v>
                </c:pt>
                <c:pt idx="7">
                  <c:v>Área metropolitana</c:v>
                </c:pt>
                <c:pt idx="8">
                  <c:v>Resto norte</c:v>
                </c:pt>
              </c:strCache>
            </c:strRef>
          </c:cat>
          <c:val>
            <c:numRef>
              <c:f>'Zonas de aloja Total y País '!$I$5:$I$13</c:f>
              <c:numCache>
                <c:formatCode>0.0</c:formatCode>
                <c:ptCount val="9"/>
                <c:pt idx="0">
                  <c:v>31.336363636363636</c:v>
                </c:pt>
                <c:pt idx="1">
                  <c:v>19.145454545454545</c:v>
                </c:pt>
                <c:pt idx="2">
                  <c:v>15.918181818181818</c:v>
                </c:pt>
                <c:pt idx="3">
                  <c:v>12.709090909090909</c:v>
                </c:pt>
                <c:pt idx="4">
                  <c:v>9.5909090909090917</c:v>
                </c:pt>
                <c:pt idx="5">
                  <c:v>5.9363636363636365</c:v>
                </c:pt>
                <c:pt idx="6">
                  <c:v>2.8</c:v>
                </c:pt>
                <c:pt idx="7">
                  <c:v>1.2545454545454546</c:v>
                </c:pt>
                <c:pt idx="8">
                  <c:v>1.3090909090909091</c:v>
                </c:pt>
              </c:numCache>
            </c:numRef>
          </c:val>
        </c:ser>
        <c:ser>
          <c:idx val="1"/>
          <c:order val="1"/>
          <c:tx>
            <c:strRef>
              <c:f>'Zonas de aloja Total y País '!$N$4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8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invertIfNegative val="0"/>
          <c:dLbls>
            <c:dLbl>
              <c:idx val="6"/>
              <c:layout>
                <c:manualLayout>
                  <c:x val="-2.0999025192878222E-3"/>
                  <c:y val="1.951428172222146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997371856511602E-3"/>
                  <c:y val="4.9568227002614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'Zonas de aloja Total y País '!$N$5:$N$13</c:f>
              <c:numCache>
                <c:formatCode>0.0%</c:formatCode>
                <c:ptCount val="9"/>
                <c:pt idx="0">
                  <c:v>-4.0450736781277863E-3</c:v>
                </c:pt>
                <c:pt idx="1">
                  <c:v>-3.4830430797433531E-2</c:v>
                </c:pt>
                <c:pt idx="2">
                  <c:v>3.5481963335304512E-2</c:v>
                </c:pt>
                <c:pt idx="3">
                  <c:v>-3.319502074688796E-2</c:v>
                </c:pt>
                <c:pt idx="4">
                  <c:v>8.5390946502057696E-2</c:v>
                </c:pt>
                <c:pt idx="5">
                  <c:v>-5.3623188405797051E-2</c:v>
                </c:pt>
                <c:pt idx="6">
                  <c:v>0.11191335740072206</c:v>
                </c:pt>
                <c:pt idx="7">
                  <c:v>-5.4794520547945202E-2</c:v>
                </c:pt>
                <c:pt idx="8">
                  <c:v>6.6666666666666652E-2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3"/>
        <c:overlap val="100"/>
        <c:axId val="153862144"/>
        <c:axId val="134476288"/>
      </c:barChart>
      <c:catAx>
        <c:axId val="153862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447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7628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5386214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61345524815257"/>
          <c:y val="0.12335562905067712"/>
          <c:w val="0.54287464932735652"/>
          <c:h val="4.5023545932326034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chemeClr val="tx2">
              <a:lumMod val="7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'Tipo de alojamiento'!$B$3:$J$3</c:f>
          <c:strCache>
            <c:ptCount val="1"/>
            <c:pt idx="0">
              <c:v>PORCENTAJE DE TURISTAS EN TENERIFE SEGÚN TIPO DE ALOJAMIENTO  (%)</c:v>
            </c:pt>
          </c:strCache>
        </c:strRef>
      </c:tx>
      <c:layout>
        <c:manualLayout>
          <c:xMode val="edge"/>
          <c:yMode val="edge"/>
          <c:x val="0.13485411236116926"/>
          <c:y val="0"/>
        </c:manualLayout>
      </c:layout>
      <c:overlay val="1"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81231315280087"/>
          <c:y val="0.17232541878211174"/>
          <c:w val="0.75957965068473365"/>
          <c:h val="0.787710860466766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'Tipo de alojamiento'!$H$4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>
                <a:rot lat="0" lon="0" rev="0"/>
              </a:lightRig>
            </a:scene3d>
            <a:sp3d>
              <a:bevelT/>
            </a:sp3d>
          </c:spPr>
          <c:invertIfNegative val="0"/>
          <c:dLbls>
            <c:dLbl>
              <c:idx val="4"/>
              <c:numFmt formatCode="#,##0.0" sourceLinked="0"/>
              <c:spPr/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452695782695409E-3"/>
                  <c:y val="2.0267736803170301E-7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Aparthotel</c:v>
                </c:pt>
                <c:pt idx="4">
                  <c:v>Time sharing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alojamiento'!$H$5:$H$11</c:f>
              <c:numCache>
                <c:formatCode>0.0</c:formatCode>
                <c:ptCount val="7"/>
                <c:pt idx="0">
                  <c:v>52.081818181818178</c:v>
                </c:pt>
                <c:pt idx="1">
                  <c:v>18.7</c:v>
                </c:pt>
                <c:pt idx="2">
                  <c:v>12.018181818181818</c:v>
                </c:pt>
                <c:pt idx="3">
                  <c:v>8.5727272727272723</c:v>
                </c:pt>
                <c:pt idx="4">
                  <c:v>8.1181818181818191</c:v>
                </c:pt>
                <c:pt idx="5" formatCode="0.00">
                  <c:v>0.46363636363636362</c:v>
                </c:pt>
                <c:pt idx="6" formatCode="0.00">
                  <c:v>4.5454545454545456E-2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4316800"/>
        <c:axId val="134478016"/>
      </c:barChart>
      <c:barChart>
        <c:barDir val="bar"/>
        <c:grouping val="clustered"/>
        <c:varyColors val="0"/>
        <c:ser>
          <c:idx val="1"/>
          <c:order val="1"/>
          <c:tx>
            <c:strRef>
              <c:f>'Tipo de alojamiento'!$M$4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Lbls>
            <c:dLbl>
              <c:idx val="5"/>
              <c:layout>
                <c:manualLayout>
                  <c:x val="7.2832363969812824E-2"/>
                  <c:y val="1.010089341462765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654455986878075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Aparthotel</c:v>
                </c:pt>
                <c:pt idx="4">
                  <c:v>Time sharing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alojamiento'!$M$5:$M$11</c:f>
              <c:numCache>
                <c:formatCode>0.0%</c:formatCode>
                <c:ptCount val="7"/>
                <c:pt idx="0">
                  <c:v>2.9840014380729807E-2</c:v>
                </c:pt>
                <c:pt idx="1">
                  <c:v>-3.9234002802428836E-2</c:v>
                </c:pt>
                <c:pt idx="2">
                  <c:v>-5.5039313795568368E-2</c:v>
                </c:pt>
                <c:pt idx="3">
                  <c:v>-1.975051975051989E-2</c:v>
                </c:pt>
                <c:pt idx="4">
                  <c:v>1.1210762331839152E-3</c:v>
                </c:pt>
                <c:pt idx="5">
                  <c:v>0.34210526315789469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4318848"/>
        <c:axId val="134111808"/>
      </c:barChart>
      <c:catAx>
        <c:axId val="154316800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4478016"/>
        <c:crosses val="autoZero"/>
        <c:auto val="1"/>
        <c:lblAlgn val="ctr"/>
        <c:lblOffset val="100"/>
        <c:noMultiLvlLbl val="0"/>
      </c:catAx>
      <c:valAx>
        <c:axId val="134478016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4316800"/>
        <c:crosses val="autoZero"/>
        <c:crossBetween val="between"/>
      </c:valAx>
      <c:valAx>
        <c:axId val="13411180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4318848"/>
        <c:crosses val="autoZero"/>
        <c:crossBetween val="between"/>
      </c:valAx>
      <c:catAx>
        <c:axId val="154318848"/>
        <c:scaling>
          <c:orientation val="maxMin"/>
        </c:scaling>
        <c:delete val="1"/>
        <c:axPos val="l"/>
        <c:majorTickMark val="out"/>
        <c:minorTickMark val="none"/>
        <c:tickLblPos val="none"/>
        <c:crossAx val="1341118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8635535486974233"/>
          <c:y val="9.9173684370534684E-2"/>
          <c:w val="0.75173539326542238"/>
          <c:h val="8.448727692822168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'estancia media nacionalidades'!$C$3:$K$3</c:f>
          <c:strCache>
            <c:ptCount val="1"/>
            <c:pt idx="0">
              <c:v>ESTANCIA MEDIA DE LOS TURISTAS QUE  VISITAN TENERIFE  SEGÚN MERCADOS (noches)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346402814017749"/>
          <c:y val="0.16338449219271389"/>
          <c:w val="0.78431369832436637"/>
          <c:h val="0.790174730983488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'estancia media nacionalidades'!$I$4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8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Alemania</c:v>
                </c:pt>
                <c:pt idx="2">
                  <c:v>Bélgica</c:v>
                </c:pt>
                <c:pt idx="3">
                  <c:v>Italia</c:v>
                </c:pt>
                <c:pt idx="4">
                  <c:v>Suiza + Austria</c:v>
                </c:pt>
                <c:pt idx="5">
                  <c:v>Finlandia</c:v>
                </c:pt>
                <c:pt idx="6">
                  <c:v>Reino Unido</c:v>
                </c:pt>
                <c:pt idx="7">
                  <c:v>Holanda</c:v>
                </c:pt>
                <c:pt idx="8">
                  <c:v>Todos los países</c:v>
                </c:pt>
                <c:pt idx="9">
                  <c:v>Noruega</c:v>
                </c:pt>
                <c:pt idx="10">
                  <c:v>Total nórdicos</c:v>
                </c:pt>
                <c:pt idx="11">
                  <c:v>Francia</c:v>
                </c:pt>
                <c:pt idx="12">
                  <c:v>Suecia</c:v>
                </c:pt>
                <c:pt idx="13">
                  <c:v>Irlanda</c:v>
                </c:pt>
                <c:pt idx="14">
                  <c:v>Resto del Mundo</c:v>
                </c:pt>
                <c:pt idx="15">
                  <c:v>Dinamarca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nacionalidades'!$I$5:$I$23</c:f>
              <c:numCache>
                <c:formatCode>0.00</c:formatCode>
                <c:ptCount val="19"/>
                <c:pt idx="0">
                  <c:v>12.836257309941523</c:v>
                </c:pt>
                <c:pt idx="1">
                  <c:v>11.756373937677058</c:v>
                </c:pt>
                <c:pt idx="2">
                  <c:v>10.43108504398827</c:v>
                </c:pt>
                <c:pt idx="3">
                  <c:v>10.311203319502068</c:v>
                </c:pt>
                <c:pt idx="4">
                  <c:v>9.7883597883597808</c:v>
                </c:pt>
                <c:pt idx="5">
                  <c:v>9.7296296296296294</c:v>
                </c:pt>
                <c:pt idx="6">
                  <c:v>9.6347781482431589</c:v>
                </c:pt>
                <c:pt idx="7">
                  <c:v>9.5430107526881685</c:v>
                </c:pt>
                <c:pt idx="8">
                  <c:v>9.4065454545454159</c:v>
                </c:pt>
                <c:pt idx="9">
                  <c:v>9.3278008298755211</c:v>
                </c:pt>
                <c:pt idx="10">
                  <c:v>9.1769834350479425</c:v>
                </c:pt>
                <c:pt idx="11">
                  <c:v>9.1479452054794539</c:v>
                </c:pt>
                <c:pt idx="12">
                  <c:v>9.1292682926829176</c:v>
                </c:pt>
                <c:pt idx="13">
                  <c:v>8.9221556886227535</c:v>
                </c:pt>
                <c:pt idx="14">
                  <c:v>8.8045540796963913</c:v>
                </c:pt>
                <c:pt idx="15">
                  <c:v>8.4424778761061887</c:v>
                </c:pt>
                <c:pt idx="16">
                  <c:v>6.8839378238342004</c:v>
                </c:pt>
                <c:pt idx="17">
                  <c:v>6.7462462462462591</c:v>
                </c:pt>
                <c:pt idx="18">
                  <c:v>2.8382352941176485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3542656"/>
        <c:axId val="134115264"/>
      </c:barChart>
      <c:barChart>
        <c:barDir val="bar"/>
        <c:grouping val="clustered"/>
        <c:varyColors val="0"/>
        <c:ser>
          <c:idx val="1"/>
          <c:order val="1"/>
          <c:tx>
            <c:strRef>
              <c:f>'estancia media nacionalidades'!$N$4</c:f>
              <c:strCache>
                <c:ptCount val="1"/>
                <c:pt idx="0">
                  <c:v>dif.12/11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Lbls>
            <c:dLbl>
              <c:idx val="8"/>
              <c:spPr>
                <a:gradFill flip="none" rotWithShape="1"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1"/>
                  <a:tileRect/>
                </a:gradFill>
              </c:spPr>
              <c:txPr>
                <a:bodyPr/>
                <a:lstStyle/>
                <a:p>
                  <a:pPr>
                    <a:defRPr sz="1100" b="1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Alemania</c:v>
                </c:pt>
                <c:pt idx="2">
                  <c:v>Bélgica</c:v>
                </c:pt>
                <c:pt idx="3">
                  <c:v>Italia</c:v>
                </c:pt>
                <c:pt idx="4">
                  <c:v>Suiza + Austria</c:v>
                </c:pt>
                <c:pt idx="5">
                  <c:v>Finlandia</c:v>
                </c:pt>
                <c:pt idx="6">
                  <c:v>Reino Unido</c:v>
                </c:pt>
                <c:pt idx="7">
                  <c:v>Holanda</c:v>
                </c:pt>
                <c:pt idx="8">
                  <c:v>Todos los países</c:v>
                </c:pt>
                <c:pt idx="9">
                  <c:v>Noruega</c:v>
                </c:pt>
                <c:pt idx="10">
                  <c:v>Total nórdicos</c:v>
                </c:pt>
                <c:pt idx="11">
                  <c:v>Francia</c:v>
                </c:pt>
                <c:pt idx="12">
                  <c:v>Suecia</c:v>
                </c:pt>
                <c:pt idx="13">
                  <c:v>Irlanda</c:v>
                </c:pt>
                <c:pt idx="14">
                  <c:v>Resto del Mundo</c:v>
                </c:pt>
                <c:pt idx="15">
                  <c:v>Dinamarca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nacionalidades'!$N$5:$N$23</c:f>
              <c:numCache>
                <c:formatCode>0.00</c:formatCode>
                <c:ptCount val="19"/>
                <c:pt idx="0">
                  <c:v>0.17617825855812796</c:v>
                </c:pt>
                <c:pt idx="1">
                  <c:v>0.10074013486014799</c:v>
                </c:pt>
                <c:pt idx="2">
                  <c:v>0.33170616200069425</c:v>
                </c:pt>
                <c:pt idx="3">
                  <c:v>-0.3391463308475835</c:v>
                </c:pt>
                <c:pt idx="4">
                  <c:v>-0.43021944661289879</c:v>
                </c:pt>
                <c:pt idx="5">
                  <c:v>1.2085452922802258</c:v>
                </c:pt>
                <c:pt idx="6">
                  <c:v>-3.8511590187383149E-2</c:v>
                </c:pt>
                <c:pt idx="7">
                  <c:v>-0.1263881544156682</c:v>
                </c:pt>
                <c:pt idx="8">
                  <c:v>3.1818181817282465E-3</c:v>
                </c:pt>
                <c:pt idx="9">
                  <c:v>7.2880093626963571E-3</c:v>
                </c:pt>
                <c:pt idx="10">
                  <c:v>0.46492792767586799</c:v>
                </c:pt>
                <c:pt idx="11">
                  <c:v>-0.47875779179576483</c:v>
                </c:pt>
                <c:pt idx="12">
                  <c:v>0.30723439437782751</c:v>
                </c:pt>
                <c:pt idx="13">
                  <c:v>0.19839878254540366</c:v>
                </c:pt>
                <c:pt idx="14">
                  <c:v>-0.33895389296877276</c:v>
                </c:pt>
                <c:pt idx="15">
                  <c:v>0.23646929241519743</c:v>
                </c:pt>
                <c:pt idx="16">
                  <c:v>-0.28962011388913655</c:v>
                </c:pt>
                <c:pt idx="17">
                  <c:v>-0.23720068656776583</c:v>
                </c:pt>
                <c:pt idx="18">
                  <c:v>-0.22492260061919334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4478592"/>
        <c:axId val="134115840"/>
      </c:barChart>
      <c:catAx>
        <c:axId val="153542656"/>
        <c:scaling>
          <c:orientation val="maxMin"/>
        </c:scaling>
        <c:delete val="0"/>
        <c:axPos val="l"/>
        <c:majorTickMark val="out"/>
        <c:minorTickMark val="out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4115264"/>
        <c:crosses val="autoZero"/>
        <c:auto val="1"/>
        <c:lblAlgn val="ctr"/>
        <c:lblOffset val="100"/>
        <c:noMultiLvlLbl val="0"/>
      </c:catAx>
      <c:valAx>
        <c:axId val="134115264"/>
        <c:scaling>
          <c:orientation val="minMax"/>
        </c:scaling>
        <c:delete val="1"/>
        <c:axPos val="t"/>
        <c:numFmt formatCode="0.00" sourceLinked="1"/>
        <c:majorTickMark val="out"/>
        <c:minorTickMark val="none"/>
        <c:tickLblPos val="none"/>
        <c:crossAx val="153542656"/>
        <c:crosses val="autoZero"/>
        <c:crossBetween val="between"/>
      </c:valAx>
      <c:valAx>
        <c:axId val="134115840"/>
        <c:scaling>
          <c:orientation val="minMax"/>
        </c:scaling>
        <c:delete val="1"/>
        <c:axPos val="t"/>
        <c:numFmt formatCode="0.00" sourceLinked="1"/>
        <c:majorTickMark val="out"/>
        <c:minorTickMark val="none"/>
        <c:tickLblPos val="none"/>
        <c:crossAx val="154478592"/>
        <c:crosses val="autoZero"/>
        <c:crossBetween val="between"/>
      </c:valAx>
      <c:catAx>
        <c:axId val="154478592"/>
        <c:scaling>
          <c:orientation val="maxMin"/>
        </c:scaling>
        <c:delete val="1"/>
        <c:axPos val="r"/>
        <c:majorTickMark val="out"/>
        <c:minorTickMark val="none"/>
        <c:tickLblPos val="none"/>
        <c:crossAx val="134115840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34250367531038234"/>
          <c:y val="0.11048336472065286"/>
          <c:w val="0.47316677057596668"/>
          <c:h val="4.8451146996455856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'Servi contrata origen '!$C$4:$Q$4</c:f>
          <c:strCache>
            <c:ptCount val="1"/>
            <c:pt idx="0">
              <c:v>SERVICIOS CONTRATADOS POR LOS TURISTAS EN ORIGEN (%)</c:v>
            </c:pt>
          </c:strCache>
        </c:strRef>
      </c:tx>
      <c:layout/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9290332007468241"/>
          <c:y val="0.28725579008254781"/>
          <c:w val="0.43168771508474718"/>
          <c:h val="0.597547176383065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'fórmde contratación(new version'!$I$4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'fórmde contratación(new version'!$C$5:$C$6</c:f>
              <c:strCache>
                <c:ptCount val="2"/>
                <c:pt idx="0">
                  <c:v>Contrata vuelo y alojamiento como servicios independientes</c:v>
                </c:pt>
                <c:pt idx="1">
                  <c:v>Paquete turístico</c:v>
                </c:pt>
              </c:strCache>
            </c:strRef>
          </c:cat>
          <c:val>
            <c:numRef>
              <c:f>'fórmde contratación(new version'!$I$5:$I$6</c:f>
              <c:numCache>
                <c:formatCode>0.0</c:formatCode>
                <c:ptCount val="2"/>
                <c:pt idx="0">
                  <c:v>47.31818181818182</c:v>
                </c:pt>
                <c:pt idx="1">
                  <c:v>50.6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55641856"/>
        <c:axId val="154361856"/>
      </c:barChart>
      <c:barChart>
        <c:barDir val="bar"/>
        <c:grouping val="clustered"/>
        <c:varyColors val="0"/>
        <c:ser>
          <c:idx val="1"/>
          <c:order val="1"/>
          <c:tx>
            <c:strRef>
              <c:f>'fórmde contratación(new version'!$N$4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version'!$N$5:$N$6</c:f>
              <c:numCache>
                <c:formatCode>0.0%</c:formatCode>
                <c:ptCount val="2"/>
                <c:pt idx="0">
                  <c:v>-2.3001725129384587E-3</c:v>
                </c:pt>
                <c:pt idx="1">
                  <c:v>8.5160355136799648E-3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43392"/>
        <c:axId val="154362432"/>
      </c:barChart>
      <c:catAx>
        <c:axId val="155641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4361856"/>
        <c:crosses val="autoZero"/>
        <c:auto val="1"/>
        <c:lblAlgn val="ctr"/>
        <c:lblOffset val="100"/>
        <c:noMultiLvlLbl val="0"/>
      </c:catAx>
      <c:valAx>
        <c:axId val="154361856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5641856"/>
        <c:crosses val="autoZero"/>
        <c:crossBetween val="between"/>
      </c:valAx>
      <c:valAx>
        <c:axId val="154362432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5643392"/>
        <c:crosses val="autoZero"/>
        <c:crossBetween val="between"/>
      </c:valAx>
      <c:catAx>
        <c:axId val="155643392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4362432"/>
        <c:crosses val="max"/>
        <c:auto val="1"/>
        <c:lblAlgn val="ctr"/>
        <c:lblOffset val="100"/>
        <c:tickLblSkip val="1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7915967205130277"/>
          <c:y val="0.19427122762342486"/>
          <c:w val="0.43288994838949246"/>
          <c:h val="5.2869601418667034E-2"/>
        </c:manualLayout>
      </c:layout>
      <c:overlay val="0"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002060"/>
                </a:solidFill>
              </a:defRPr>
            </a:pPr>
            <a:r>
              <a:rPr lang="en-US" sz="1600" b="1" i="0" baseline="0">
                <a:solidFill>
                  <a:srgbClr val="002060"/>
                </a:solidFill>
              </a:rPr>
              <a:t>DISTRIBUCIÓN POR EDADES DE LOS TURISTAS (%)</a:t>
            </a:r>
            <a:endParaRPr lang="es-ES" sz="1600">
              <a:solidFill>
                <a:srgbClr val="00206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5700779927426167"/>
          <c:y val="0.14520248310811212"/>
          <c:w val="0.76409852422932745"/>
          <c:h val="0.8098616567336758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Edad!$H$4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4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Ref>
              <c:f>Edad!$H$5:$H$11</c:f>
              <c:numCache>
                <c:formatCode>0.0</c:formatCode>
                <c:ptCount val="7"/>
                <c:pt idx="0">
                  <c:v>9.1181818181818191</c:v>
                </c:pt>
                <c:pt idx="1">
                  <c:v>8.963636363636363</c:v>
                </c:pt>
                <c:pt idx="2">
                  <c:v>26.736363636363638</c:v>
                </c:pt>
                <c:pt idx="3">
                  <c:v>11.718181818181819</c:v>
                </c:pt>
                <c:pt idx="4">
                  <c:v>19.645454545454545</c:v>
                </c:pt>
                <c:pt idx="5">
                  <c:v>22.2</c:v>
                </c:pt>
                <c:pt idx="6">
                  <c:v>1.6181818181818182</c:v>
                </c:pt>
              </c:numCache>
            </c:numRef>
          </c:val>
        </c:ser>
        <c:ser>
          <c:idx val="0"/>
          <c:order val="1"/>
          <c:tx>
            <c:strRef>
              <c:f>Edad!$G$4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anchor="t" anchorCtr="0"/>
              <a:lstStyle/>
              <a:p>
                <a:pPr>
                  <a:defRPr sz="14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25 años y menos</c:v>
              </c:pt>
              <c:pt idx="1">
                <c:v>26 a 30 años</c:v>
              </c:pt>
              <c:pt idx="2">
                <c:v>31 a 45 años</c:v>
              </c:pt>
              <c:pt idx="3">
                <c:v>46 a 50 años</c:v>
              </c:pt>
              <c:pt idx="4">
                <c:v>51 a 60 años</c:v>
              </c:pt>
              <c:pt idx="5">
                <c:v>61 y más años</c:v>
              </c:pt>
              <c:pt idx="6">
                <c:v>no contesta</c:v>
              </c:pt>
            </c:strLit>
          </c:cat>
          <c:val>
            <c:numRef>
              <c:f>Edad!$G$5:$G$11</c:f>
              <c:numCache>
                <c:formatCode>0.0</c:formatCode>
                <c:ptCount val="7"/>
                <c:pt idx="0">
                  <c:v>11.418181818181818</c:v>
                </c:pt>
                <c:pt idx="1">
                  <c:v>11.1</c:v>
                </c:pt>
                <c:pt idx="2">
                  <c:v>28.736363636363638</c:v>
                </c:pt>
                <c:pt idx="3">
                  <c:v>11.063636363636364</c:v>
                </c:pt>
                <c:pt idx="4">
                  <c:v>17.609090909090909</c:v>
                </c:pt>
                <c:pt idx="5">
                  <c:v>18.418181818181818</c:v>
                </c:pt>
                <c:pt idx="6">
                  <c:v>1.6545454545454545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28749056"/>
        <c:axId val="50331648"/>
      </c:barChart>
      <c:barChart>
        <c:barDir val="bar"/>
        <c:grouping val="clustered"/>
        <c:varyColors val="0"/>
        <c:ser>
          <c:idx val="3"/>
          <c:order val="2"/>
          <c:tx>
            <c:strRef>
              <c:f>Edad!$M$4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Lbls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Edad!$M$5:$M$11</c:f>
              <c:numCache>
                <c:formatCode>0.0%</c:formatCode>
                <c:ptCount val="7"/>
                <c:pt idx="0">
                  <c:v>-0.20143312101910815</c:v>
                </c:pt>
                <c:pt idx="1">
                  <c:v>-0.19246519246519245</c:v>
                </c:pt>
                <c:pt idx="2">
                  <c:v>-6.9598228408731422E-2</c:v>
                </c:pt>
                <c:pt idx="3">
                  <c:v>5.916187345932622E-2</c:v>
                </c:pt>
                <c:pt idx="4">
                  <c:v>0.11564274651522966</c:v>
                </c:pt>
                <c:pt idx="5">
                  <c:v>0.20533070088845018</c:v>
                </c:pt>
                <c:pt idx="6">
                  <c:v>-2.1978021978022011E-2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31821568"/>
        <c:axId val="50332224"/>
      </c:barChart>
      <c:catAx>
        <c:axId val="128749056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400">
                <a:solidFill>
                  <a:srgbClr val="000080"/>
                </a:solidFill>
              </a:defRPr>
            </a:pPr>
            <a:endParaRPr lang="es-ES"/>
          </a:p>
        </c:txPr>
        <c:crossAx val="50331648"/>
        <c:crosses val="autoZero"/>
        <c:auto val="1"/>
        <c:lblAlgn val="ctr"/>
        <c:lblOffset val="100"/>
        <c:noMultiLvlLbl val="0"/>
      </c:catAx>
      <c:valAx>
        <c:axId val="5033164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28749056"/>
        <c:crosses val="autoZero"/>
        <c:crossBetween val="between"/>
      </c:valAx>
      <c:valAx>
        <c:axId val="5033222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31821568"/>
        <c:crosses val="autoZero"/>
        <c:crossBetween val="between"/>
      </c:valAx>
      <c:catAx>
        <c:axId val="131821568"/>
        <c:scaling>
          <c:orientation val="maxMin"/>
        </c:scaling>
        <c:delete val="1"/>
        <c:axPos val="r"/>
        <c:majorTickMark val="out"/>
        <c:minorTickMark val="none"/>
        <c:tickLblPos val="none"/>
        <c:crossAx val="50332224"/>
        <c:crosses val="max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4109922306223482"/>
          <c:y val="8.9052203027444043E-2"/>
          <c:w val="0.72116581772793353"/>
          <c:h val="5.4666589789006514E-2"/>
        </c:manualLayout>
      </c:layout>
      <c:overlay val="0"/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'fórmula de contratación por mer'!$C$3:$N$3</c:f>
          <c:strCache>
            <c:ptCount val="1"/>
            <c:pt idx="0">
              <c:v>FÓRMULA DE CONTRATACIÓN MODALIDAD PAQUETE TURÍSTICO  POR NACIONALIDADES (%)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8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5391337812978682"/>
          <c:y val="0.13077790017083726"/>
          <c:w val="0.71399772789595328"/>
          <c:h val="0.824156352369685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'fórmula de contratación por mer'!$I$4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9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'fórmula de contratación por mer'!$C$5:$C$22</c:f>
              <c:strCache>
                <c:ptCount val="18"/>
                <c:pt idx="0">
                  <c:v>Dinamarca</c:v>
                </c:pt>
                <c:pt idx="1">
                  <c:v>Suecia</c:v>
                </c:pt>
                <c:pt idx="2">
                  <c:v>Total nórdicos</c:v>
                </c:pt>
                <c:pt idx="3">
                  <c:v>Holanda</c:v>
                </c:pt>
                <c:pt idx="4">
                  <c:v>Finlandia</c:v>
                </c:pt>
                <c:pt idx="5">
                  <c:v>Noruega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Italia</c:v>
                </c:pt>
                <c:pt idx="11">
                  <c:v>Reino Unido</c:v>
                </c:pt>
                <c:pt idx="12">
                  <c:v>Rusia</c:v>
                </c:pt>
                <c:pt idx="13">
                  <c:v>Francia</c:v>
                </c:pt>
                <c:pt idx="14">
                  <c:v>Península</c:v>
                </c:pt>
                <c:pt idx="15">
                  <c:v>España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mer'!$I$5:$I$22</c:f>
              <c:numCache>
                <c:formatCode>0.0</c:formatCode>
                <c:ptCount val="18"/>
                <c:pt idx="0">
                  <c:v>80.530973451327441</c:v>
                </c:pt>
                <c:pt idx="1">
                  <c:v>79.268292682926827</c:v>
                </c:pt>
                <c:pt idx="2">
                  <c:v>76.547515257192671</c:v>
                </c:pt>
                <c:pt idx="3">
                  <c:v>74.193548387096769</c:v>
                </c:pt>
                <c:pt idx="4">
                  <c:v>72.962962962962962</c:v>
                </c:pt>
                <c:pt idx="5">
                  <c:v>72.199170124481327</c:v>
                </c:pt>
                <c:pt idx="6">
                  <c:v>63.385269121813032</c:v>
                </c:pt>
                <c:pt idx="7">
                  <c:v>61.375661375661373</c:v>
                </c:pt>
                <c:pt idx="8">
                  <c:v>52.785923753665692</c:v>
                </c:pt>
                <c:pt idx="9">
                  <c:v>50.6</c:v>
                </c:pt>
                <c:pt idx="10">
                  <c:v>47.302904564315355</c:v>
                </c:pt>
                <c:pt idx="11">
                  <c:v>44.806360605283409</c:v>
                </c:pt>
                <c:pt idx="12">
                  <c:v>43.274853801169591</c:v>
                </c:pt>
                <c:pt idx="13">
                  <c:v>41.369863013698627</c:v>
                </c:pt>
                <c:pt idx="14">
                  <c:v>40.259067357512954</c:v>
                </c:pt>
                <c:pt idx="15">
                  <c:v>39.039039039039039</c:v>
                </c:pt>
                <c:pt idx="16">
                  <c:v>16.766467065868262</c:v>
                </c:pt>
                <c:pt idx="17">
                  <c:v>4.4117647058823533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5363328"/>
        <c:axId val="154365312"/>
      </c:barChart>
      <c:barChart>
        <c:barDir val="bar"/>
        <c:grouping val="clustered"/>
        <c:varyColors val="0"/>
        <c:ser>
          <c:idx val="1"/>
          <c:order val="1"/>
          <c:tx>
            <c:strRef>
              <c:f>'fórmula de contratación por mer'!$N$4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Lbls>
            <c:dLbl>
              <c:idx val="17"/>
              <c:layout>
                <c:manualLayout>
                  <c:x val="6.16915422885567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 flip="none" rotWithShape="1"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1"/>
                <a:tileRect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'fórmula de contratación por mer'!$C$5:$C$22</c:f>
              <c:strCache>
                <c:ptCount val="18"/>
                <c:pt idx="0">
                  <c:v>Dinamarca</c:v>
                </c:pt>
                <c:pt idx="1">
                  <c:v>Suecia</c:v>
                </c:pt>
                <c:pt idx="2">
                  <c:v>Total nórdicos</c:v>
                </c:pt>
                <c:pt idx="3">
                  <c:v>Holanda</c:v>
                </c:pt>
                <c:pt idx="4">
                  <c:v>Finlandia</c:v>
                </c:pt>
                <c:pt idx="5">
                  <c:v>Noruega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Italia</c:v>
                </c:pt>
                <c:pt idx="11">
                  <c:v>Reino Unido</c:v>
                </c:pt>
                <c:pt idx="12">
                  <c:v>Rusia</c:v>
                </c:pt>
                <c:pt idx="13">
                  <c:v>Francia</c:v>
                </c:pt>
                <c:pt idx="14">
                  <c:v>Península</c:v>
                </c:pt>
                <c:pt idx="15">
                  <c:v>España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mer'!$N$5:$N$22</c:f>
              <c:numCache>
                <c:formatCode>0.0%</c:formatCode>
                <c:ptCount val="18"/>
                <c:pt idx="0">
                  <c:v>3.0973451327433787E-2</c:v>
                </c:pt>
                <c:pt idx="1">
                  <c:v>3.5460354603545907E-2</c:v>
                </c:pt>
                <c:pt idx="2">
                  <c:v>-2.2599279163420194E-2</c:v>
                </c:pt>
                <c:pt idx="3">
                  <c:v>9.473557980573144E-3</c:v>
                </c:pt>
                <c:pt idx="4">
                  <c:v>-8.9334447229184044E-2</c:v>
                </c:pt>
                <c:pt idx="5">
                  <c:v>-8.1814901677791929E-2</c:v>
                </c:pt>
                <c:pt idx="6">
                  <c:v>-5.9487124838301986E-2</c:v>
                </c:pt>
                <c:pt idx="7">
                  <c:v>-8.6849916118208803E-2</c:v>
                </c:pt>
                <c:pt idx="8">
                  <c:v>4.2764874152168897E-2</c:v>
                </c:pt>
                <c:pt idx="9">
                  <c:v>8.5160355136799648E-3</c:v>
                </c:pt>
                <c:pt idx="10">
                  <c:v>0.11806865333836303</c:v>
                </c:pt>
                <c:pt idx="11">
                  <c:v>2.4439849146675297E-2</c:v>
                </c:pt>
                <c:pt idx="12">
                  <c:v>4.4530285959547555E-3</c:v>
                </c:pt>
                <c:pt idx="13">
                  <c:v>0.32023823704586052</c:v>
                </c:pt>
                <c:pt idx="14">
                  <c:v>-1.2922240884006508E-2</c:v>
                </c:pt>
                <c:pt idx="15">
                  <c:v>2.3273273273274331E-3</c:v>
                </c:pt>
                <c:pt idx="16">
                  <c:v>-8.0384685175104442E-2</c:v>
                </c:pt>
                <c:pt idx="17">
                  <c:v>3.1911764705882355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5364864"/>
        <c:axId val="154365888"/>
      </c:barChart>
      <c:catAx>
        <c:axId val="1553633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4365312"/>
        <c:crosses val="autoZero"/>
        <c:auto val="1"/>
        <c:lblAlgn val="ctr"/>
        <c:lblOffset val="100"/>
        <c:noMultiLvlLbl val="0"/>
      </c:catAx>
      <c:valAx>
        <c:axId val="15436531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5363328"/>
        <c:crosses val="autoZero"/>
        <c:crossBetween val="between"/>
      </c:valAx>
      <c:valAx>
        <c:axId val="15436588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5364864"/>
        <c:crosses val="autoZero"/>
        <c:crossBetween val="between"/>
      </c:valAx>
      <c:catAx>
        <c:axId val="155364864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4365888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7241569877079582"/>
          <c:y val="9.5606584741760842E-2"/>
          <c:w val="0.66671515767275313"/>
          <c:h val="2.9855075646926094E-2"/>
        </c:manualLayout>
      </c:layout>
      <c:overlay val="0"/>
      <c:txPr>
        <a:bodyPr/>
        <a:lstStyle/>
        <a:p>
          <a:pPr rtl="0"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  INDEPENDIENTE POR NACIONALIDADES (%)</a:t>
            </a: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804827549049335"/>
          <c:y val="0.12887404514924727"/>
          <c:w val="0.65827633715874512"/>
          <c:h val="0.807021674591931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'fórmula de contratación por mer'!$I$76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8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75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España</c:v>
                </c:pt>
                <c:pt idx="3">
                  <c:v>Península</c:v>
                </c:pt>
                <c:pt idx="4">
                  <c:v>Reino Unido</c:v>
                </c:pt>
                <c:pt idx="5">
                  <c:v>Francia</c:v>
                </c:pt>
                <c:pt idx="6">
                  <c:v>Rusia</c:v>
                </c:pt>
                <c:pt idx="7">
                  <c:v>Italia</c:v>
                </c:pt>
                <c:pt idx="8">
                  <c:v>Media nacionalidades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Alemania</c:v>
                </c:pt>
                <c:pt idx="12">
                  <c:v>Noruega</c:v>
                </c:pt>
                <c:pt idx="13">
                  <c:v>Finlandia</c:v>
                </c:pt>
                <c:pt idx="14">
                  <c:v>Holanda</c:v>
                </c:pt>
                <c:pt idx="15">
                  <c:v>Total nórdicos</c:v>
                </c:pt>
                <c:pt idx="16">
                  <c:v>Suecia</c:v>
                </c:pt>
                <c:pt idx="17">
                  <c:v>Dinamarca</c:v>
                </c:pt>
              </c:strCache>
            </c:strRef>
          </c:cat>
          <c:val>
            <c:numRef>
              <c:f>'fórmula de contratación por mer'!$I$77:$I$94</c:f>
              <c:numCache>
                <c:formatCode>0.0</c:formatCode>
                <c:ptCount val="18"/>
                <c:pt idx="0">
                  <c:v>89.705882352941174</c:v>
                </c:pt>
                <c:pt idx="1">
                  <c:v>82.634730538922156</c:v>
                </c:pt>
                <c:pt idx="2">
                  <c:v>57.457457457457458</c:v>
                </c:pt>
                <c:pt idx="3">
                  <c:v>56.321243523316056</c:v>
                </c:pt>
                <c:pt idx="4">
                  <c:v>54.244678122595545</c:v>
                </c:pt>
                <c:pt idx="5">
                  <c:v>53.972602739726028</c:v>
                </c:pt>
                <c:pt idx="6">
                  <c:v>53.216374269005847</c:v>
                </c:pt>
                <c:pt idx="7">
                  <c:v>50.207468879668049</c:v>
                </c:pt>
                <c:pt idx="8">
                  <c:v>47.31818181818182</c:v>
                </c:pt>
                <c:pt idx="9">
                  <c:v>43.401759530791786</c:v>
                </c:pt>
                <c:pt idx="10">
                  <c:v>34.391534391534393</c:v>
                </c:pt>
                <c:pt idx="11">
                  <c:v>34.065155807365436</c:v>
                </c:pt>
                <c:pt idx="12">
                  <c:v>26.970954356846473</c:v>
                </c:pt>
                <c:pt idx="13">
                  <c:v>25.925925925925927</c:v>
                </c:pt>
                <c:pt idx="14">
                  <c:v>24.462365591397848</c:v>
                </c:pt>
                <c:pt idx="15">
                  <c:v>22.755013077593723</c:v>
                </c:pt>
                <c:pt idx="16">
                  <c:v>20</c:v>
                </c:pt>
                <c:pt idx="17">
                  <c:v>19.469026548672566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5722240"/>
        <c:axId val="154368192"/>
      </c:barChart>
      <c:barChart>
        <c:barDir val="bar"/>
        <c:grouping val="clustered"/>
        <c:varyColors val="0"/>
        <c:ser>
          <c:idx val="1"/>
          <c:order val="1"/>
          <c:tx>
            <c:strRef>
              <c:f>'fórmula de contratación por mer'!$N$76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España</c:v>
                </c:pt>
                <c:pt idx="3">
                  <c:v>Península</c:v>
                </c:pt>
                <c:pt idx="4">
                  <c:v>Reino Unido</c:v>
                </c:pt>
                <c:pt idx="5">
                  <c:v>Francia</c:v>
                </c:pt>
                <c:pt idx="6">
                  <c:v>Rusia</c:v>
                </c:pt>
                <c:pt idx="7">
                  <c:v>Italia</c:v>
                </c:pt>
                <c:pt idx="8">
                  <c:v>Media nacionalidades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Alemania</c:v>
                </c:pt>
                <c:pt idx="12">
                  <c:v>Noruega</c:v>
                </c:pt>
                <c:pt idx="13">
                  <c:v>Finlandia</c:v>
                </c:pt>
                <c:pt idx="14">
                  <c:v>Holanda</c:v>
                </c:pt>
                <c:pt idx="15">
                  <c:v>Total nórdicos</c:v>
                </c:pt>
                <c:pt idx="16">
                  <c:v>Suecia</c:v>
                </c:pt>
                <c:pt idx="17">
                  <c:v>Dinamarca</c:v>
                </c:pt>
              </c:strCache>
            </c:strRef>
          </c:cat>
          <c:val>
            <c:numRef>
              <c:f>'fórmula de contratación por mer'!$N$77:$N$94</c:f>
              <c:numCache>
                <c:formatCode>0.0%</c:formatCode>
                <c:ptCount val="18"/>
                <c:pt idx="0">
                  <c:v>-7.3689258312020445E-2</c:v>
                </c:pt>
                <c:pt idx="1">
                  <c:v>7.6034980398914431E-2</c:v>
                </c:pt>
                <c:pt idx="2">
                  <c:v>-4.0707374040707123E-3</c:v>
                </c:pt>
                <c:pt idx="3">
                  <c:v>9.4539438442466928E-3</c:v>
                </c:pt>
                <c:pt idx="4">
                  <c:v>-1.3823318630819093E-2</c:v>
                </c:pt>
                <c:pt idx="5">
                  <c:v>-0.16068028790341293</c:v>
                </c:pt>
                <c:pt idx="6">
                  <c:v>1.2311480455524881E-2</c:v>
                </c:pt>
                <c:pt idx="7">
                  <c:v>-9.6897100655027546E-2</c:v>
                </c:pt>
                <c:pt idx="8">
                  <c:v>-2.3001725129384587E-3</c:v>
                </c:pt>
                <c:pt idx="9">
                  <c:v>-2.9488432714239288E-2</c:v>
                </c:pt>
                <c:pt idx="10">
                  <c:v>8.5112205801860963E-2</c:v>
                </c:pt>
                <c:pt idx="11">
                  <c:v>0.1275645978195552</c:v>
                </c:pt>
                <c:pt idx="12">
                  <c:v>0.31483402489626555</c:v>
                </c:pt>
                <c:pt idx="13">
                  <c:v>0.34490740740740766</c:v>
                </c:pt>
                <c:pt idx="14">
                  <c:v>-1.6129032258064613E-2</c:v>
                </c:pt>
                <c:pt idx="15">
                  <c:v>0.11644808844534316</c:v>
                </c:pt>
                <c:pt idx="16">
                  <c:v>-5.600000000000005E-2</c:v>
                </c:pt>
                <c:pt idx="17">
                  <c:v>-5.4941002949852491E-2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5723776"/>
        <c:axId val="154368768"/>
      </c:barChart>
      <c:catAx>
        <c:axId val="1557222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4368192"/>
        <c:crosses val="autoZero"/>
        <c:auto val="1"/>
        <c:lblAlgn val="ctr"/>
        <c:lblOffset val="100"/>
        <c:noMultiLvlLbl val="0"/>
      </c:catAx>
      <c:valAx>
        <c:axId val="15436819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5722240"/>
        <c:crosses val="autoZero"/>
        <c:crossBetween val="between"/>
      </c:valAx>
      <c:valAx>
        <c:axId val="15436876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5723776"/>
        <c:crosses val="autoZero"/>
        <c:crossBetween val="between"/>
      </c:valAx>
      <c:catAx>
        <c:axId val="155723776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4368768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7241569877079593"/>
          <c:y val="9.5606584741760842E-2"/>
          <c:w val="0.66671515767275336"/>
          <c:h val="2.9855075646926108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SERVICIOS CONTRATADOS POR LOS TURISTAS EN ORIGEN (%) </a:t>
            </a:r>
          </a:p>
        </c:rich>
      </c:tx>
      <c:layout>
        <c:manualLayout>
          <c:xMode val="edge"/>
          <c:yMode val="edge"/>
          <c:x val="0.15322485679389194"/>
          <c:y val="2.306804655967341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0583611186532731"/>
          <c:y val="0.1363251386354507"/>
          <c:w val="0.59416388813467258"/>
          <c:h val="0.810184669702808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'Servi contrata origen '!$I$5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'!$I$6,'Servi contrata origen '!$I$8:$I$12)</c:f>
              <c:numCache>
                <c:formatCode>0.0</c:formatCode>
                <c:ptCount val="6"/>
                <c:pt idx="0">
                  <c:v>14.9</c:v>
                </c:pt>
                <c:pt idx="1">
                  <c:v>24.427272727272726</c:v>
                </c:pt>
                <c:pt idx="2">
                  <c:v>8.709090909090909</c:v>
                </c:pt>
                <c:pt idx="3">
                  <c:v>24.390909090909091</c:v>
                </c:pt>
                <c:pt idx="4">
                  <c:v>5.3090909090909095</c:v>
                </c:pt>
                <c:pt idx="5">
                  <c:v>22.263636363636362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155209728"/>
        <c:axId val="153045248"/>
      </c:barChart>
      <c:barChart>
        <c:barDir val="bar"/>
        <c:grouping val="clustered"/>
        <c:varyColors val="0"/>
        <c:ser>
          <c:idx val="1"/>
          <c:order val="1"/>
          <c:tx>
            <c:strRef>
              <c:f>'Servi contrata origen '!$N$5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'!$N$6,'Servi contrata origen '!$N$8:$N$12)</c:f>
              <c:numCache>
                <c:formatCode>0.0%</c:formatCode>
                <c:ptCount val="6"/>
                <c:pt idx="0">
                  <c:v>-1.3245033112582738E-2</c:v>
                </c:pt>
                <c:pt idx="1">
                  <c:v>-3.0663780663780726E-2</c:v>
                </c:pt>
                <c:pt idx="2">
                  <c:v>-5.1921079958462402E-3</c:v>
                </c:pt>
                <c:pt idx="3">
                  <c:v>-2.6022304832713505E-3</c:v>
                </c:pt>
                <c:pt idx="4">
                  <c:v>0.17979797979797985</c:v>
                </c:pt>
                <c:pt idx="5">
                  <c:v>1.2401818933443387E-2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25312"/>
        <c:axId val="153045824"/>
      </c:barChart>
      <c:catAx>
        <c:axId val="155209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3045248"/>
        <c:crosses val="autoZero"/>
        <c:auto val="1"/>
        <c:lblAlgn val="ctr"/>
        <c:lblOffset val="100"/>
        <c:noMultiLvlLbl val="0"/>
      </c:catAx>
      <c:valAx>
        <c:axId val="15304524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5209728"/>
        <c:crosses val="autoZero"/>
        <c:crossBetween val="between"/>
      </c:valAx>
      <c:valAx>
        <c:axId val="15304582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5725312"/>
        <c:crosses val="autoZero"/>
        <c:crossBetween val="between"/>
      </c:valAx>
      <c:catAx>
        <c:axId val="155725312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3045824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3256314247847733"/>
          <c:y val="5.5247971510417597E-2"/>
          <c:w val="0.4978295039852767"/>
          <c:h val="7.0763211337190435E-2"/>
        </c:manualLayout>
      </c:layout>
      <c:overlay val="0"/>
      <c:txPr>
        <a:bodyPr/>
        <a:lstStyle/>
        <a:p>
          <a:pPr rtl="0"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'escala nacionalidad'!$C$3:$K$3</c:f>
          <c:strCache>
            <c:ptCount val="1"/>
            <c:pt idx="0">
              <c:v>PORCENTAJE DE TURISTAS QUE REALIZAN ESCALA EN SU VIAJE A TENERIFE POR NACIONALIDADES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906222016365601"/>
          <c:y val="0.12117433774386449"/>
          <c:w val="0.79017880096366255"/>
          <c:h val="0.83009154783487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'escala nacionalidad'!$I$4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7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12"/>
              <c:layout>
                <c:manualLayout>
                  <c:x val="9.8039215686274508E-3"/>
                  <c:y val="2.29095074455900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7647058823529412E-2"/>
                  <c:y val="-8.40005569188966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6078431372549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2.941176470588235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5.0980392156862744E-2"/>
                  <c:y val="-2.2907703547366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'escala nacionalidad'!$C$5:$C$22</c:f>
              <c:strCache>
                <c:ptCount val="18"/>
                <c:pt idx="0">
                  <c:v>Rusia</c:v>
                </c:pt>
                <c:pt idx="1">
                  <c:v>Italia</c:v>
                </c:pt>
                <c:pt idx="2">
                  <c:v>Resto del Mundo</c:v>
                </c:pt>
                <c:pt idx="3">
                  <c:v>Francia</c:v>
                </c:pt>
                <c:pt idx="4">
                  <c:v>Holanda</c:v>
                </c:pt>
                <c:pt idx="5">
                  <c:v>Suiza + Austria</c:v>
                </c:pt>
                <c:pt idx="6">
                  <c:v>Bélgica</c:v>
                </c:pt>
                <c:pt idx="7">
                  <c:v>Todos los países</c:v>
                </c:pt>
                <c:pt idx="8">
                  <c:v>Alemania</c:v>
                </c:pt>
                <c:pt idx="9">
                  <c:v>Península</c:v>
                </c:pt>
                <c:pt idx="10">
                  <c:v>España</c:v>
                </c:pt>
                <c:pt idx="11">
                  <c:v>Suecia</c:v>
                </c:pt>
                <c:pt idx="12">
                  <c:v>Total nórdicos</c:v>
                </c:pt>
                <c:pt idx="13">
                  <c:v>Finlandia</c:v>
                </c:pt>
                <c:pt idx="14">
                  <c:v>Noruega</c:v>
                </c:pt>
                <c:pt idx="15">
                  <c:v>Dinamarca</c:v>
                </c:pt>
                <c:pt idx="16">
                  <c:v>Irlanda</c:v>
                </c:pt>
                <c:pt idx="17">
                  <c:v>Reino Unido</c:v>
                </c:pt>
              </c:strCache>
            </c:strRef>
          </c:cat>
          <c:val>
            <c:numRef>
              <c:f>'escala nacionalidad'!$I$5:$I$22</c:f>
              <c:numCache>
                <c:formatCode>0.0</c:formatCode>
                <c:ptCount val="18"/>
                <c:pt idx="0">
                  <c:v>34.210526315789473</c:v>
                </c:pt>
                <c:pt idx="1">
                  <c:v>32.365145228215766</c:v>
                </c:pt>
                <c:pt idx="2">
                  <c:v>26.185958254269451</c:v>
                </c:pt>
                <c:pt idx="3">
                  <c:v>25.205479452054796</c:v>
                </c:pt>
                <c:pt idx="4">
                  <c:v>15.591397849462366</c:v>
                </c:pt>
                <c:pt idx="5">
                  <c:v>12.169312169312169</c:v>
                </c:pt>
                <c:pt idx="6">
                  <c:v>11.436950146627566</c:v>
                </c:pt>
                <c:pt idx="7">
                  <c:v>7.7727272727272725</c:v>
                </c:pt>
                <c:pt idx="8">
                  <c:v>7.7195467422096318</c:v>
                </c:pt>
                <c:pt idx="9">
                  <c:v>6.062176165803109</c:v>
                </c:pt>
                <c:pt idx="10">
                  <c:v>5.8558558558558556</c:v>
                </c:pt>
                <c:pt idx="11">
                  <c:v>5.6097560975609753</c:v>
                </c:pt>
                <c:pt idx="12">
                  <c:v>4.0104620749782036</c:v>
                </c:pt>
                <c:pt idx="13">
                  <c:v>3.7037037037037037</c:v>
                </c:pt>
                <c:pt idx="14">
                  <c:v>2.904564315352697</c:v>
                </c:pt>
                <c:pt idx="15">
                  <c:v>2.6548672566371683</c:v>
                </c:pt>
                <c:pt idx="16">
                  <c:v>1.7964071856287425</c:v>
                </c:pt>
                <c:pt idx="17">
                  <c:v>0.89766606822262118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-73"/>
        <c:axId val="155212288"/>
        <c:axId val="153049280"/>
      </c:barChart>
      <c:barChart>
        <c:barDir val="bar"/>
        <c:grouping val="clustered"/>
        <c:varyColors val="0"/>
        <c:ser>
          <c:idx val="1"/>
          <c:order val="1"/>
          <c:tx>
            <c:strRef>
              <c:f>'escala nacionalidad'!$N$4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Lbls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'escala nacionalidad'!$C$5:$C$22</c:f>
              <c:strCache>
                <c:ptCount val="18"/>
                <c:pt idx="0">
                  <c:v>Rusia</c:v>
                </c:pt>
                <c:pt idx="1">
                  <c:v>Italia</c:v>
                </c:pt>
                <c:pt idx="2">
                  <c:v>Resto del Mundo</c:v>
                </c:pt>
                <c:pt idx="3">
                  <c:v>Francia</c:v>
                </c:pt>
                <c:pt idx="4">
                  <c:v>Holanda</c:v>
                </c:pt>
                <c:pt idx="5">
                  <c:v>Suiza + Austria</c:v>
                </c:pt>
                <c:pt idx="6">
                  <c:v>Bélgica</c:v>
                </c:pt>
                <c:pt idx="7">
                  <c:v>Todos los países</c:v>
                </c:pt>
                <c:pt idx="8">
                  <c:v>Alemania</c:v>
                </c:pt>
                <c:pt idx="9">
                  <c:v>Península</c:v>
                </c:pt>
                <c:pt idx="10">
                  <c:v>España</c:v>
                </c:pt>
                <c:pt idx="11">
                  <c:v>Suecia</c:v>
                </c:pt>
                <c:pt idx="12">
                  <c:v>Total nórdicos</c:v>
                </c:pt>
                <c:pt idx="13">
                  <c:v>Finlandia</c:v>
                </c:pt>
                <c:pt idx="14">
                  <c:v>Noruega</c:v>
                </c:pt>
                <c:pt idx="15">
                  <c:v>Dinamarca</c:v>
                </c:pt>
                <c:pt idx="16">
                  <c:v>Irlanda</c:v>
                </c:pt>
                <c:pt idx="17">
                  <c:v>Reino Unido</c:v>
                </c:pt>
              </c:strCache>
            </c:strRef>
          </c:cat>
          <c:val>
            <c:numRef>
              <c:f>'escala nacionalidad'!$N$5:$N$22</c:f>
              <c:numCache>
                <c:formatCode>0.0%</c:formatCode>
                <c:ptCount val="18"/>
                <c:pt idx="0">
                  <c:v>-5.9210526315789602E-2</c:v>
                </c:pt>
                <c:pt idx="1">
                  <c:v>-0.10995850622406655</c:v>
                </c:pt>
                <c:pt idx="2">
                  <c:v>-0.27988614800759015</c:v>
                </c:pt>
                <c:pt idx="3">
                  <c:v>-0.20255077940481814</c:v>
                </c:pt>
                <c:pt idx="4">
                  <c:v>-0.44054395951929159</c:v>
                </c:pt>
                <c:pt idx="5">
                  <c:v>-0.51587301587301582</c:v>
                </c:pt>
                <c:pt idx="6">
                  <c:v>0.22756598240469206</c:v>
                </c:pt>
                <c:pt idx="7">
                  <c:v>-0.18338108882521487</c:v>
                </c:pt>
                <c:pt idx="8">
                  <c:v>-0.42608605372054043</c:v>
                </c:pt>
                <c:pt idx="9">
                  <c:v>-0.18097909594425587</c:v>
                </c:pt>
                <c:pt idx="10">
                  <c:v>-0.17048772910841881</c:v>
                </c:pt>
                <c:pt idx="11">
                  <c:v>-7.0731707317074344E-3</c:v>
                </c:pt>
                <c:pt idx="12">
                  <c:v>0.12782018840240705</c:v>
                </c:pt>
                <c:pt idx="13">
                  <c:v>1.0493827160493825</c:v>
                </c:pt>
                <c:pt idx="14">
                  <c:v>0.3593360995850623</c:v>
                </c:pt>
                <c:pt idx="15">
                  <c:v>-0.38141592920353973</c:v>
                </c:pt>
                <c:pt idx="16">
                  <c:v>0.62574850299401175</c:v>
                </c:pt>
                <c:pt idx="17">
                  <c:v>0.27468581687612215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155479552"/>
        <c:axId val="153049856"/>
      </c:barChart>
      <c:catAx>
        <c:axId val="155212288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3049280"/>
        <c:crosses val="autoZero"/>
        <c:auto val="1"/>
        <c:lblAlgn val="ctr"/>
        <c:lblOffset val="100"/>
        <c:noMultiLvlLbl val="0"/>
      </c:catAx>
      <c:valAx>
        <c:axId val="153049280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5212288"/>
        <c:crosses val="autoZero"/>
        <c:crossBetween val="between"/>
      </c:valAx>
      <c:valAx>
        <c:axId val="153049856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5479552"/>
        <c:crosses val="autoZero"/>
        <c:crossBetween val="between"/>
      </c:valAx>
      <c:catAx>
        <c:axId val="155479552"/>
        <c:scaling>
          <c:orientation val="maxMin"/>
        </c:scaling>
        <c:delete val="1"/>
        <c:axPos val="r"/>
        <c:majorTickMark val="out"/>
        <c:minorTickMark val="none"/>
        <c:tickLblPos val="none"/>
        <c:crossAx val="153049856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9003396634244249"/>
          <c:y val="9.0524844188294942E-2"/>
          <c:w val="0.68235543137752963"/>
          <c:h val="3.2414427577996056E-2"/>
        </c:manualLayout>
      </c:layout>
      <c:overlay val="0"/>
      <c:txPr>
        <a:bodyPr/>
        <a:lstStyle/>
        <a:p>
          <a:pPr>
            <a:defRPr sz="11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'Uso de internet'!$E$4:$P$4</c:f>
          <c:strCache>
            <c:ptCount val="1"/>
            <c:pt idx="0">
              <c:v>NIVEL DE USO DE INTERNET DE LOS TURISTAS  (%)</c:v>
            </c:pt>
          </c:strCache>
        </c:strRef>
      </c:tx>
      <c:layout>
        <c:manualLayout>
          <c:xMode val="edge"/>
          <c:yMode val="edge"/>
          <c:x val="0.18151339993391921"/>
          <c:y val="2.3067173637515842E-3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0929000274588674"/>
          <c:y val="0.13602706505793241"/>
          <c:w val="0.7832218899122031"/>
          <c:h val="0.810184669702808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'Uso de internet'!$K$5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5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6"/>
              <c:layout>
                <c:manualLayout>
                  <c:x val="6.03204524033930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'Uso de internet'!$E$6:$E$12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internet'!$K$6:$K$12</c:f>
              <c:numCache>
                <c:formatCode>0.0</c:formatCode>
                <c:ptCount val="7"/>
                <c:pt idx="0">
                  <c:v>79.836363636363643</c:v>
                </c:pt>
                <c:pt idx="1">
                  <c:v>20.154545454545456</c:v>
                </c:pt>
                <c:pt idx="2">
                  <c:v>13.2</c:v>
                </c:pt>
                <c:pt idx="3">
                  <c:v>46.481818181818184</c:v>
                </c:pt>
                <c:pt idx="4">
                  <c:v>59.681818181818187</c:v>
                </c:pt>
                <c:pt idx="5">
                  <c:v>18.263636363636362</c:v>
                </c:pt>
                <c:pt idx="6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156573696"/>
        <c:axId val="154977984"/>
      </c:barChart>
      <c:barChart>
        <c:barDir val="bar"/>
        <c:grouping val="clustered"/>
        <c:varyColors val="0"/>
        <c:ser>
          <c:idx val="1"/>
          <c:order val="1"/>
          <c:tx>
            <c:strRef>
              <c:f>'Uso de internet'!$P$5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'Uso de internet'!$E$6:$E$12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internet'!$P$6:$P$12</c:f>
              <c:numCache>
                <c:formatCode>0.0%</c:formatCode>
                <c:ptCount val="7"/>
                <c:pt idx="0">
                  <c:v>1.0935881201795894E-2</c:v>
                </c:pt>
                <c:pt idx="1">
                  <c:v>-5.9397539244802622E-2</c:v>
                </c:pt>
                <c:pt idx="2">
                  <c:v>0.10083396512509468</c:v>
                </c:pt>
                <c:pt idx="3">
                  <c:v>2.0355218519257701E-2</c:v>
                </c:pt>
                <c:pt idx="4">
                  <c:v>3.7124802527646272E-2</c:v>
                </c:pt>
                <c:pt idx="5">
                  <c:v>-6.5581395348837335E-2</c:v>
                </c:pt>
                <c:pt idx="6">
                  <c:v>0.28220858895705514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575744"/>
        <c:axId val="154978560"/>
      </c:barChart>
      <c:catAx>
        <c:axId val="156573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4977984"/>
        <c:crosses val="autoZero"/>
        <c:auto val="1"/>
        <c:lblAlgn val="ctr"/>
        <c:lblOffset val="100"/>
        <c:noMultiLvlLbl val="0"/>
      </c:catAx>
      <c:valAx>
        <c:axId val="154977984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6573696"/>
        <c:crosses val="autoZero"/>
        <c:crossBetween val="between"/>
      </c:valAx>
      <c:valAx>
        <c:axId val="154978560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56575744"/>
        <c:crosses val="autoZero"/>
        <c:crossBetween val="between"/>
      </c:valAx>
      <c:catAx>
        <c:axId val="156575744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4978560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1064558023555255"/>
          <c:y val="5.5247964175472369E-2"/>
          <c:w val="0.57315725025419595"/>
          <c:h val="8.5801738367251273E-2"/>
        </c:manualLayout>
      </c:layout>
      <c:overlay val="0"/>
      <c:txPr>
        <a:bodyPr/>
        <a:lstStyle/>
        <a:p>
          <a:pPr>
            <a:defRPr sz="11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EVOLUCIÓN USO DE INTERNET Y  DE RESERVA-COMPRA ONLINE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6524460448333321E-2"/>
          <c:y val="0.28724436299682488"/>
          <c:w val="0.89146679535012319"/>
          <c:h val="0.56621758597310856"/>
        </c:manualLayout>
      </c:layout>
      <c:lineChart>
        <c:grouping val="standard"/>
        <c:varyColors val="0"/>
        <c:ser>
          <c:idx val="0"/>
          <c:order val="0"/>
          <c:tx>
            <c:strRef>
              <c:f>'Uso de internet'!$E$6</c:f>
              <c:strCache>
                <c:ptCount val="1"/>
                <c:pt idx="0">
                  <c:v>Usó internet</c:v>
                </c:pt>
              </c:strCache>
            </c:strRef>
          </c:tx>
          <c:spPr>
            <a:ln w="50800"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'Uso de internet'!$F$5:$K$5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'Uso de internet'!$F$6:$K$6</c:f>
              <c:numCache>
                <c:formatCode>0.0</c:formatCode>
                <c:ptCount val="4"/>
                <c:pt idx="0">
                  <c:v>64.090909090909093</c:v>
                </c:pt>
                <c:pt idx="1">
                  <c:v>68.281818181818181</c:v>
                </c:pt>
                <c:pt idx="2">
                  <c:v>70.63636363636364</c:v>
                </c:pt>
                <c:pt idx="3">
                  <c:v>76.218181818181819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'Uso de internet'!$E$10</c:f>
              <c:strCache>
                <c:ptCount val="1"/>
                <c:pt idx="0">
                  <c:v>Reserva y compra</c:v>
                </c:pt>
              </c:strCache>
            </c:strRef>
          </c:tx>
          <c:spPr>
            <a:ln w="50800">
              <a:solidFill>
                <a:srgbClr val="1F497D">
                  <a:lumMod val="75000"/>
                </a:srgbClr>
              </a:solidFill>
            </a:ln>
          </c:spPr>
          <c:marker>
            <c:spPr>
              <a:solidFill>
                <a:schemeClr val="tx2">
                  <a:lumMod val="75000"/>
                </a:schemeClr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Pt>
            <c:idx val="3"/>
            <c:marker>
              <c:spPr>
                <a:solidFill>
                  <a:schemeClr val="tx2">
                    <a:lumMod val="75000"/>
                  </a:schemeClr>
                </a:solidFill>
                <a:ln>
                  <a:solidFill>
                    <a:srgbClr val="1F497D">
                      <a:lumMod val="75000"/>
                    </a:srgbClr>
                  </a:solidFill>
                  <a:prstDash val="sysDot"/>
                </a:ln>
              </c:spPr>
            </c:marker>
            <c:bubble3D val="0"/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'Uso de internet'!$F$5:$K$5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'Uso de internet'!$F$10:$K$10</c:f>
              <c:numCache>
                <c:formatCode>0.0</c:formatCode>
                <c:ptCount val="4"/>
                <c:pt idx="0">
                  <c:v>40.318181818181799</c:v>
                </c:pt>
                <c:pt idx="1">
                  <c:v>43.736363636363635</c:v>
                </c:pt>
                <c:pt idx="2">
                  <c:v>47.009090909090908</c:v>
                </c:pt>
                <c:pt idx="3">
                  <c:v>52.654545454545456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19616"/>
        <c:axId val="154980864"/>
      </c:lineChart>
      <c:catAx>
        <c:axId val="1551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4980864"/>
        <c:crosses val="autoZero"/>
        <c:auto val="1"/>
        <c:lblAlgn val="ctr"/>
        <c:lblOffset val="100"/>
        <c:noMultiLvlLbl val="0"/>
      </c:catAx>
      <c:valAx>
        <c:axId val="154980864"/>
        <c:scaling>
          <c:orientation val="minMax"/>
          <c:max val="80"/>
          <c:min val="20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511961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23709795985717819"/>
          <c:y val="0.15288353345701344"/>
          <c:w val="0.54565156696050465"/>
          <c:h val="6.5517802122560767E-2"/>
        </c:manualLayout>
      </c:layout>
      <c:overlay val="0"/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COMPRAN</a:t>
            </a:r>
            <a:r>
              <a:rPr lang="es-ES" sz="1600" baseline="0">
                <a:solidFill>
                  <a:schemeClr val="tx2">
                    <a:lumMod val="75000"/>
                  </a:schemeClr>
                </a:solidFill>
              </a:rPr>
              <a:t> Y RESERVAN ONLINE SU VIAJE A </a:t>
            </a: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70496908225725"/>
          <c:y val="0.14288573011241545"/>
          <c:w val="0.74564213751423514"/>
          <c:h val="0.828473176790305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'internet nacionalidad'!$I$29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Pt>
            <c:idx val="8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'internet nacionalidad'!$C$30:$C$48</c:f>
              <c:strCache>
                <c:ptCount val="19"/>
                <c:pt idx="0">
                  <c:v>Noruega</c:v>
                </c:pt>
                <c:pt idx="1">
                  <c:v>Dinamarca</c:v>
                </c:pt>
                <c:pt idx="2">
                  <c:v>Irlanda</c:v>
                </c:pt>
                <c:pt idx="3">
                  <c:v>Finlandia</c:v>
                </c:pt>
                <c:pt idx="4">
                  <c:v>Total nórdicos</c:v>
                </c:pt>
                <c:pt idx="5">
                  <c:v>Reino Unido</c:v>
                </c:pt>
                <c:pt idx="6">
                  <c:v>Suecia</c:v>
                </c:pt>
                <c:pt idx="7">
                  <c:v>Canarias</c:v>
                </c:pt>
                <c:pt idx="8">
                  <c:v>Todos los países</c:v>
                </c:pt>
                <c:pt idx="9">
                  <c:v>Bélgica</c:v>
                </c:pt>
                <c:pt idx="10">
                  <c:v>Francia</c:v>
                </c:pt>
                <c:pt idx="11">
                  <c:v>Holanda</c:v>
                </c:pt>
                <c:pt idx="12">
                  <c:v>España</c:v>
                </c:pt>
                <c:pt idx="13">
                  <c:v>Península</c:v>
                </c:pt>
                <c:pt idx="14">
                  <c:v>Suiza + Austria</c:v>
                </c:pt>
                <c:pt idx="15">
                  <c:v>Resto del Mundo</c:v>
                </c:pt>
                <c:pt idx="16">
                  <c:v>Italia</c:v>
                </c:pt>
                <c:pt idx="17">
                  <c:v>Rusia</c:v>
                </c:pt>
                <c:pt idx="18">
                  <c:v>Alemania</c:v>
                </c:pt>
              </c:strCache>
            </c:strRef>
          </c:cat>
          <c:val>
            <c:numRef>
              <c:f>'internet nacionalidad'!$I$30:$I$48</c:f>
              <c:numCache>
                <c:formatCode>0.0</c:formatCode>
                <c:ptCount val="19"/>
                <c:pt idx="0">
                  <c:v>80.497925311203318</c:v>
                </c:pt>
                <c:pt idx="1">
                  <c:v>79.646017699115049</c:v>
                </c:pt>
                <c:pt idx="2">
                  <c:v>79.640718562874255</c:v>
                </c:pt>
                <c:pt idx="3">
                  <c:v>74.81481481481481</c:v>
                </c:pt>
                <c:pt idx="4">
                  <c:v>74.542284219703575</c:v>
                </c:pt>
                <c:pt idx="5">
                  <c:v>73.044370351372152</c:v>
                </c:pt>
                <c:pt idx="6">
                  <c:v>68.048780487804876</c:v>
                </c:pt>
                <c:pt idx="7">
                  <c:v>67.647058823529406</c:v>
                </c:pt>
                <c:pt idx="8">
                  <c:v>59.681818181818187</c:v>
                </c:pt>
                <c:pt idx="9">
                  <c:v>51.906158357771261</c:v>
                </c:pt>
                <c:pt idx="10">
                  <c:v>51.232876712328768</c:v>
                </c:pt>
                <c:pt idx="11">
                  <c:v>50</c:v>
                </c:pt>
                <c:pt idx="12">
                  <c:v>49.8998998998999</c:v>
                </c:pt>
                <c:pt idx="13">
                  <c:v>49.274611398963728</c:v>
                </c:pt>
                <c:pt idx="14">
                  <c:v>48.148148148148152</c:v>
                </c:pt>
                <c:pt idx="15">
                  <c:v>45.730550284629977</c:v>
                </c:pt>
                <c:pt idx="16">
                  <c:v>44.813278008298752</c:v>
                </c:pt>
                <c:pt idx="17">
                  <c:v>44.444444444444443</c:v>
                </c:pt>
                <c:pt idx="18">
                  <c:v>41.784702549575073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"/>
        <c:axId val="155121664"/>
        <c:axId val="154983168"/>
      </c:barChart>
      <c:barChart>
        <c:barDir val="bar"/>
        <c:grouping val="clustered"/>
        <c:varyColors val="0"/>
        <c:ser>
          <c:idx val="1"/>
          <c:order val="1"/>
          <c:tx>
            <c:strRef>
              <c:f>'internet nacionalidad'!$N$29</c:f>
              <c:strCache>
                <c:ptCount val="1"/>
                <c:pt idx="0">
                  <c:v>var 12/11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6497175141242938E-3"/>
                  <c:y val="1.5781607798639928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6.3113517157082476E-3"/>
                  <c:y val="-2.00394855827126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'internet nacionalidad'!$C$30:$C$48</c:f>
              <c:strCache>
                <c:ptCount val="19"/>
                <c:pt idx="0">
                  <c:v>Noruega</c:v>
                </c:pt>
                <c:pt idx="1">
                  <c:v>Dinamarca</c:v>
                </c:pt>
                <c:pt idx="2">
                  <c:v>Irlanda</c:v>
                </c:pt>
                <c:pt idx="3">
                  <c:v>Finlandia</c:v>
                </c:pt>
                <c:pt idx="4">
                  <c:v>Total nórdicos</c:v>
                </c:pt>
                <c:pt idx="5">
                  <c:v>Reino Unido</c:v>
                </c:pt>
                <c:pt idx="6">
                  <c:v>Suecia</c:v>
                </c:pt>
                <c:pt idx="7">
                  <c:v>Canarias</c:v>
                </c:pt>
                <c:pt idx="8">
                  <c:v>Todos los países</c:v>
                </c:pt>
                <c:pt idx="9">
                  <c:v>Bélgica</c:v>
                </c:pt>
                <c:pt idx="10">
                  <c:v>Francia</c:v>
                </c:pt>
                <c:pt idx="11">
                  <c:v>Holanda</c:v>
                </c:pt>
                <c:pt idx="12">
                  <c:v>España</c:v>
                </c:pt>
                <c:pt idx="13">
                  <c:v>Península</c:v>
                </c:pt>
                <c:pt idx="14">
                  <c:v>Suiza + Austria</c:v>
                </c:pt>
                <c:pt idx="15">
                  <c:v>Resto del Mundo</c:v>
                </c:pt>
                <c:pt idx="16">
                  <c:v>Italia</c:v>
                </c:pt>
                <c:pt idx="17">
                  <c:v>Rusia</c:v>
                </c:pt>
                <c:pt idx="18">
                  <c:v>Alemania</c:v>
                </c:pt>
              </c:strCache>
            </c:strRef>
          </c:cat>
          <c:val>
            <c:numRef>
              <c:f>'internet nacionalidad'!$N$30:$N$48</c:f>
              <c:numCache>
                <c:formatCode>0.0%</c:formatCode>
                <c:ptCount val="19"/>
                <c:pt idx="0">
                  <c:v>7.0256506978498612E-2</c:v>
                </c:pt>
                <c:pt idx="1">
                  <c:v>6.0429835651074848E-2</c:v>
                </c:pt>
                <c:pt idx="2">
                  <c:v>0.10037939388398764</c:v>
                </c:pt>
                <c:pt idx="3">
                  <c:v>2.2161255906111732E-2</c:v>
                </c:pt>
                <c:pt idx="4">
                  <c:v>3.0542610375518198E-2</c:v>
                </c:pt>
                <c:pt idx="5">
                  <c:v>5.7627154104354261E-2</c:v>
                </c:pt>
                <c:pt idx="6">
                  <c:v>3.719512195121899E-3</c:v>
                </c:pt>
                <c:pt idx="7">
                  <c:v>5.3519768563162762E-2</c:v>
                </c:pt>
                <c:pt idx="8">
                  <c:v>3.7124802527646272E-2</c:v>
                </c:pt>
                <c:pt idx="9">
                  <c:v>1.2956544921354229E-2</c:v>
                </c:pt>
                <c:pt idx="10">
                  <c:v>-8.7258944008511752E-2</c:v>
                </c:pt>
                <c:pt idx="11">
                  <c:v>1.1049723756906049E-2</c:v>
                </c:pt>
                <c:pt idx="12">
                  <c:v>-4.2108463603790725E-2</c:v>
                </c:pt>
                <c:pt idx="13">
                  <c:v>-4.3320478388801487E-2</c:v>
                </c:pt>
                <c:pt idx="14">
                  <c:v>0.27697262479871188</c:v>
                </c:pt>
                <c:pt idx="15">
                  <c:v>4.0192309583034103E-2</c:v>
                </c:pt>
                <c:pt idx="16">
                  <c:v>8.6152331387579828E-2</c:v>
                </c:pt>
                <c:pt idx="17">
                  <c:v>0.17129629629629628</c:v>
                </c:pt>
                <c:pt idx="18">
                  <c:v>0.13885369712853368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02240"/>
        <c:axId val="154982592"/>
      </c:barChart>
      <c:catAx>
        <c:axId val="1551216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4983168"/>
        <c:crosses val="autoZero"/>
        <c:auto val="1"/>
        <c:lblAlgn val="ctr"/>
        <c:lblOffset val="100"/>
        <c:noMultiLvlLbl val="0"/>
      </c:catAx>
      <c:valAx>
        <c:axId val="15498316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5121664"/>
        <c:crosses val="autoZero"/>
        <c:crossBetween val="between"/>
      </c:valAx>
      <c:valAx>
        <c:axId val="154982592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157002240"/>
        <c:crosses val="max"/>
        <c:crossBetween val="between"/>
      </c:valAx>
      <c:catAx>
        <c:axId val="157002240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4982592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6395770005559877"/>
          <c:y val="8.643113143080762E-2"/>
          <c:w val="0.52431810145863456"/>
          <c:h val="5.8867922146172424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50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ACTIVIDADES DURANTE LA ESTANCIA EN TENERIFE
(% realiza actividades) </a:t>
            </a:r>
          </a:p>
        </c:rich>
      </c:tx>
      <c:layout>
        <c:manualLayout>
          <c:xMode val="edge"/>
          <c:yMode val="edge"/>
          <c:x val="0.1144562055002020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6041815868591881"/>
          <c:y val="0.16750802957702954"/>
          <c:w val="0.56504042218373962"/>
          <c:h val="0.788808627845868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'Actividades realizadas '!$I$4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numFmt formatCode="0.0" sourceLinked="0"/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cetáceos/delfines/ballenas (en barco)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Buceo deportivo/fotográfico</c:v>
                </c:pt>
                <c:pt idx="8">
                  <c:v>Golf (excluidos minigolf y campos de práctica)</c:v>
                </c:pt>
                <c:pt idx="9">
                  <c:v>Bike - Ciclismo</c:v>
                </c:pt>
                <c:pt idx="10">
                  <c:v>Navegación (vela/ pesca deportivas) </c:v>
                </c:pt>
                <c:pt idx="11">
                  <c:v>Deportes de aventura / riesgo (parapente, escalada,...) </c:v>
                </c:pt>
                <c:pt idx="12">
                  <c:v>Observación aves (Birdwatching)</c:v>
                </c:pt>
                <c:pt idx="13">
                  <c:v>Observación de estrellas (especializado)</c:v>
                </c:pt>
                <c:pt idx="14">
                  <c:v>Surf / windsurf/ kitesurf</c:v>
                </c:pt>
                <c:pt idx="15">
                  <c:v>Rutas a caballo</c:v>
                </c:pt>
                <c:pt idx="16">
                  <c:v>Otras actividades</c:v>
                </c:pt>
              </c:strCache>
            </c:strRef>
          </c:cat>
          <c:val>
            <c:numRef>
              <c:f>'Actividades realizadas '!$I$6:$I$22</c:f>
              <c:numCache>
                <c:formatCode>#,##0.0</c:formatCode>
                <c:ptCount val="17"/>
                <c:pt idx="0">
                  <c:v>31.354545454545455</c:v>
                </c:pt>
                <c:pt idx="1">
                  <c:v>14.609090909090909</c:v>
                </c:pt>
                <c:pt idx="2">
                  <c:v>11.881818181818181</c:v>
                </c:pt>
                <c:pt idx="3">
                  <c:v>6.4727272727272727</c:v>
                </c:pt>
                <c:pt idx="4">
                  <c:v>5.7727272727272725</c:v>
                </c:pt>
                <c:pt idx="5">
                  <c:v>4.7</c:v>
                </c:pt>
                <c:pt idx="6">
                  <c:v>3.790909090909091</c:v>
                </c:pt>
                <c:pt idx="7">
                  <c:v>2.1272727272727274</c:v>
                </c:pt>
                <c:pt idx="8">
                  <c:v>2.1090909090909089</c:v>
                </c:pt>
                <c:pt idx="9">
                  <c:v>2.0181818181818181</c:v>
                </c:pt>
                <c:pt idx="10">
                  <c:v>1.9454545454545455</c:v>
                </c:pt>
                <c:pt idx="11">
                  <c:v>1.6545454545454545</c:v>
                </c:pt>
                <c:pt idx="12">
                  <c:v>1.490909090909091</c:v>
                </c:pt>
                <c:pt idx="13">
                  <c:v>1.1909090909090909</c:v>
                </c:pt>
                <c:pt idx="14">
                  <c:v>0.98181818181818181</c:v>
                </c:pt>
                <c:pt idx="15">
                  <c:v>0.21818181818181817</c:v>
                </c:pt>
                <c:pt idx="16">
                  <c:v>0.83636363636363631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"/>
        <c:axId val="157065216"/>
        <c:axId val="154356544"/>
      </c:barChart>
      <c:barChart>
        <c:barDir val="bar"/>
        <c:grouping val="clustered"/>
        <c:varyColors val="0"/>
        <c:ser>
          <c:idx val="1"/>
          <c:order val="1"/>
          <c:tx>
            <c:strRef>
              <c:f>'Actividades realizadas '!$N$4</c:f>
              <c:strCache>
                <c:ptCount val="1"/>
                <c:pt idx="0">
                  <c:v>var 12/11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Lbls>
            <c:dLbl>
              <c:idx val="1"/>
              <c:layout>
                <c:manualLayout>
                  <c:x val="0.22238132590075083"/>
                  <c:y val="-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0951659923522555"/>
                  <c:y val="-3.1859812809801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7115773671166824E-2"/>
                  <c:y val="5.840898207242553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6762119084796082E-2"/>
                  <c:y val="-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7473495581887281E-2"/>
                  <c:y val="-3.18585584864643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cetáceos/delfines/ballenas (en barco)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Buceo deportivo/fotográfico</c:v>
                </c:pt>
                <c:pt idx="8">
                  <c:v>Golf (excluidos minigolf y campos de práctica)</c:v>
                </c:pt>
                <c:pt idx="9">
                  <c:v>Bike - Ciclismo</c:v>
                </c:pt>
                <c:pt idx="10">
                  <c:v>Navegación (vela/ pesca deportivas) </c:v>
                </c:pt>
                <c:pt idx="11">
                  <c:v>Deportes de aventura / riesgo (parapente, escalada,...) </c:v>
                </c:pt>
                <c:pt idx="12">
                  <c:v>Observación aves (Birdwatching)</c:v>
                </c:pt>
                <c:pt idx="13">
                  <c:v>Observación de estrellas (especializado)</c:v>
                </c:pt>
                <c:pt idx="14">
                  <c:v>Surf / windsurf/ kitesurf</c:v>
                </c:pt>
                <c:pt idx="15">
                  <c:v>Rutas a caballo</c:v>
                </c:pt>
                <c:pt idx="16">
                  <c:v>Otras actividades</c:v>
                </c:pt>
              </c:strCache>
            </c:strRef>
          </c:cat>
          <c:val>
            <c:numRef>
              <c:f>'Actividades realizadas '!$N$6:$N$22</c:f>
              <c:numCache>
                <c:formatCode>0.0%</c:formatCode>
                <c:ptCount val="17"/>
                <c:pt idx="0">
                  <c:v>-6.1496598639455669E-2</c:v>
                </c:pt>
                <c:pt idx="1">
                  <c:v>0.11752433936022255</c:v>
                </c:pt>
                <c:pt idx="2">
                  <c:v>-3.185185185185202E-2</c:v>
                </c:pt>
                <c:pt idx="3">
                  <c:v>-2.3319615912208436E-2</c:v>
                </c:pt>
                <c:pt idx="4">
                  <c:v>4.269293924466333E-2</c:v>
                </c:pt>
                <c:pt idx="5">
                  <c:v>-8.9788732394366244E-2</c:v>
                </c:pt>
                <c:pt idx="6">
                  <c:v>-7.9470198675496651E-2</c:v>
                </c:pt>
                <c:pt idx="7">
                  <c:v>4.4642857142857428E-2</c:v>
                </c:pt>
                <c:pt idx="8">
                  <c:v>-0.16245487364620947</c:v>
                </c:pt>
                <c:pt idx="9">
                  <c:v>0.34545454545454546</c:v>
                </c:pt>
                <c:pt idx="10">
                  <c:v>-4.8888888888888871E-2</c:v>
                </c:pt>
                <c:pt idx="11">
                  <c:v>2.8248587570621542E-2</c:v>
                </c:pt>
                <c:pt idx="12">
                  <c:v>-0.1413612565445026</c:v>
                </c:pt>
                <c:pt idx="13">
                  <c:v>-1.5037593984962294E-2</c:v>
                </c:pt>
                <c:pt idx="14">
                  <c:v>-0.14960629921259838</c:v>
                </c:pt>
                <c:pt idx="15">
                  <c:v>-0.4</c:v>
                </c:pt>
                <c:pt idx="16">
                  <c:v>-3.1578947368421151E-2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7067776"/>
        <c:axId val="154357120"/>
      </c:barChart>
      <c:catAx>
        <c:axId val="1570652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4356544"/>
        <c:crosses val="autoZero"/>
        <c:auto val="1"/>
        <c:lblAlgn val="ctr"/>
        <c:lblOffset val="100"/>
        <c:noMultiLvlLbl val="0"/>
      </c:catAx>
      <c:valAx>
        <c:axId val="154356544"/>
        <c:scaling>
          <c:orientation val="minMax"/>
        </c:scaling>
        <c:delete val="1"/>
        <c:axPos val="t"/>
        <c:numFmt formatCode="#,##0.0" sourceLinked="1"/>
        <c:majorTickMark val="out"/>
        <c:minorTickMark val="none"/>
        <c:tickLblPos val="none"/>
        <c:crossAx val="157065216"/>
        <c:crosses val="autoZero"/>
        <c:crossBetween val="between"/>
      </c:valAx>
      <c:valAx>
        <c:axId val="154357120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157067776"/>
        <c:crosses val="max"/>
        <c:crossBetween val="between"/>
      </c:valAx>
      <c:catAx>
        <c:axId val="157067776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4357120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7786479419227927"/>
          <c:y val="0.11286914098779419"/>
          <c:w val="0.47619386781196332"/>
          <c:h val="4.6623867266594676E-2"/>
        </c:manualLayout>
      </c:layout>
      <c:overlay val="0"/>
      <c:txPr>
        <a:bodyPr/>
        <a:lstStyle/>
        <a:p>
          <a:pPr>
            <a:defRPr sz="12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ALGUNA ACTIVIDAD EN SU VIAJE A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3902276118532"/>
          <c:y val="0.14489094573694841"/>
          <c:w val="0.73363012360866764"/>
          <c:h val="0.804423907542890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'actividades nacionalidad'!$I$4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Pt>
            <c:idx val="7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7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'actividades nacionalidad'!$C$5:$C$22</c:f>
              <c:strCache>
                <c:ptCount val="18"/>
                <c:pt idx="0">
                  <c:v>Alemania</c:v>
                </c:pt>
                <c:pt idx="1">
                  <c:v>Suiza + Austria</c:v>
                </c:pt>
                <c:pt idx="2">
                  <c:v>Francia</c:v>
                </c:pt>
                <c:pt idx="3">
                  <c:v>Italia</c:v>
                </c:pt>
                <c:pt idx="4">
                  <c:v>Península</c:v>
                </c:pt>
                <c:pt idx="5">
                  <c:v>España</c:v>
                </c:pt>
                <c:pt idx="6">
                  <c:v>Finlandia</c:v>
                </c:pt>
                <c:pt idx="7">
                  <c:v>Todos los países</c:v>
                </c:pt>
                <c:pt idx="8">
                  <c:v>Dinamarca</c:v>
                </c:pt>
                <c:pt idx="9">
                  <c:v>Holanda</c:v>
                </c:pt>
                <c:pt idx="10">
                  <c:v>Bélgica</c:v>
                </c:pt>
                <c:pt idx="11">
                  <c:v>Rusia</c:v>
                </c:pt>
                <c:pt idx="12">
                  <c:v>Irlanda</c:v>
                </c:pt>
                <c:pt idx="13">
                  <c:v>Canarias</c:v>
                </c:pt>
                <c:pt idx="14">
                  <c:v>Total nórdicos</c:v>
                </c:pt>
                <c:pt idx="15">
                  <c:v>Noruega</c:v>
                </c:pt>
                <c:pt idx="16">
                  <c:v>Suecia</c:v>
                </c:pt>
                <c:pt idx="17">
                  <c:v>Reino Unido</c:v>
                </c:pt>
              </c:strCache>
            </c:strRef>
          </c:cat>
          <c:val>
            <c:numRef>
              <c:f>'actividades nacionalidad'!$I$5:$I$22</c:f>
              <c:numCache>
                <c:formatCode>0.0</c:formatCode>
                <c:ptCount val="18"/>
                <c:pt idx="0">
                  <c:v>78.611898016997173</c:v>
                </c:pt>
                <c:pt idx="1">
                  <c:v>68.253968253968253</c:v>
                </c:pt>
                <c:pt idx="2">
                  <c:v>67.397260273972606</c:v>
                </c:pt>
                <c:pt idx="3">
                  <c:v>65.560165975103729</c:v>
                </c:pt>
                <c:pt idx="4">
                  <c:v>63.212435233160619</c:v>
                </c:pt>
                <c:pt idx="5">
                  <c:v>62.762762762762762</c:v>
                </c:pt>
                <c:pt idx="6">
                  <c:v>58.518518518518519</c:v>
                </c:pt>
                <c:pt idx="7">
                  <c:v>55.027272727272724</c:v>
                </c:pt>
                <c:pt idx="8">
                  <c:v>54.86725663716814</c:v>
                </c:pt>
                <c:pt idx="9">
                  <c:v>54.032258064516128</c:v>
                </c:pt>
                <c:pt idx="10">
                  <c:v>53.37243401759531</c:v>
                </c:pt>
                <c:pt idx="11">
                  <c:v>52.33918128654971</c:v>
                </c:pt>
                <c:pt idx="12">
                  <c:v>52.095808383233532</c:v>
                </c:pt>
                <c:pt idx="13">
                  <c:v>50</c:v>
                </c:pt>
                <c:pt idx="14">
                  <c:v>49.869224062772453</c:v>
                </c:pt>
                <c:pt idx="15">
                  <c:v>49.377593360995853</c:v>
                </c:pt>
                <c:pt idx="16">
                  <c:v>41.707317073170735</c:v>
                </c:pt>
                <c:pt idx="17">
                  <c:v>40.241087458322646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"/>
        <c:axId val="155122176"/>
        <c:axId val="154361152"/>
      </c:barChart>
      <c:barChart>
        <c:barDir val="bar"/>
        <c:grouping val="clustered"/>
        <c:varyColors val="0"/>
        <c:ser>
          <c:idx val="1"/>
          <c:order val="1"/>
          <c:tx>
            <c:strRef>
              <c:f>'actividades nacionalidad'!$N$4</c:f>
              <c:strCache>
                <c:ptCount val="1"/>
                <c:pt idx="0">
                  <c:v>var 12/11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'actividades nacionalidad'!$C$5:$C$22</c:f>
              <c:strCache>
                <c:ptCount val="18"/>
                <c:pt idx="0">
                  <c:v>Alemania</c:v>
                </c:pt>
                <c:pt idx="1">
                  <c:v>Suiza + Austria</c:v>
                </c:pt>
                <c:pt idx="2">
                  <c:v>Francia</c:v>
                </c:pt>
                <c:pt idx="3">
                  <c:v>Italia</c:v>
                </c:pt>
                <c:pt idx="4">
                  <c:v>Península</c:v>
                </c:pt>
                <c:pt idx="5">
                  <c:v>España</c:v>
                </c:pt>
                <c:pt idx="6">
                  <c:v>Finlandia</c:v>
                </c:pt>
                <c:pt idx="7">
                  <c:v>Todos los países</c:v>
                </c:pt>
                <c:pt idx="8">
                  <c:v>Dinamarca</c:v>
                </c:pt>
                <c:pt idx="9">
                  <c:v>Holanda</c:v>
                </c:pt>
                <c:pt idx="10">
                  <c:v>Bélgica</c:v>
                </c:pt>
                <c:pt idx="11">
                  <c:v>Rusia</c:v>
                </c:pt>
                <c:pt idx="12">
                  <c:v>Irlanda</c:v>
                </c:pt>
                <c:pt idx="13">
                  <c:v>Canarias</c:v>
                </c:pt>
                <c:pt idx="14">
                  <c:v>Total nórdicos</c:v>
                </c:pt>
                <c:pt idx="15">
                  <c:v>Noruega</c:v>
                </c:pt>
                <c:pt idx="16">
                  <c:v>Suecia</c:v>
                </c:pt>
                <c:pt idx="17">
                  <c:v>Reino Unido</c:v>
                </c:pt>
              </c:strCache>
            </c:strRef>
          </c:cat>
          <c:val>
            <c:numRef>
              <c:f>'actividades nacionalidad'!$N$5:$N$22</c:f>
              <c:numCache>
                <c:formatCode>0.0%</c:formatCode>
                <c:ptCount val="18"/>
                <c:pt idx="0">
                  <c:v>8.3911037410659972E-3</c:v>
                </c:pt>
                <c:pt idx="1">
                  <c:v>-6.7874911158493201E-2</c:v>
                </c:pt>
                <c:pt idx="2">
                  <c:v>5.4794520547947201E-3</c:v>
                </c:pt>
                <c:pt idx="3">
                  <c:v>-5.3019824804057203E-2</c:v>
                </c:pt>
                <c:pt idx="4">
                  <c:v>-2.4167370986905912E-2</c:v>
                </c:pt>
                <c:pt idx="5">
                  <c:v>-1.5918208284620539E-2</c:v>
                </c:pt>
                <c:pt idx="6">
                  <c:v>2.7944346462865033E-2</c:v>
                </c:pt>
                <c:pt idx="7">
                  <c:v>-1.7529621814640572E-2</c:v>
                </c:pt>
                <c:pt idx="8">
                  <c:v>2.272566371681406E-2</c:v>
                </c:pt>
                <c:pt idx="9">
                  <c:v>-5.8294930875576023E-2</c:v>
                </c:pt>
                <c:pt idx="10">
                  <c:v>-8.5855119485867548E-2</c:v>
                </c:pt>
                <c:pt idx="11">
                  <c:v>-8.677152651744291E-2</c:v>
                </c:pt>
                <c:pt idx="12">
                  <c:v>3.6191353556622952E-2</c:v>
                </c:pt>
                <c:pt idx="13">
                  <c:v>0.1585365853658538</c:v>
                </c:pt>
                <c:pt idx="14">
                  <c:v>-8.6342182004027768E-3</c:v>
                </c:pt>
                <c:pt idx="15">
                  <c:v>-2.9045643153526868E-2</c:v>
                </c:pt>
                <c:pt idx="16">
                  <c:v>4.3802887008463909E-3</c:v>
                </c:pt>
                <c:pt idx="17">
                  <c:v>-1.7207839469957964E-2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92384"/>
        <c:axId val="157130752"/>
      </c:barChart>
      <c:catAx>
        <c:axId val="1551221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4361152"/>
        <c:crosses val="autoZero"/>
        <c:auto val="1"/>
        <c:lblAlgn val="ctr"/>
        <c:lblOffset val="100"/>
        <c:noMultiLvlLbl val="0"/>
      </c:catAx>
      <c:valAx>
        <c:axId val="15436115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55122176"/>
        <c:crosses val="autoZero"/>
        <c:crossBetween val="between"/>
      </c:valAx>
      <c:valAx>
        <c:axId val="157130752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157392384"/>
        <c:crosses val="max"/>
        <c:crossBetween val="between"/>
      </c:valAx>
      <c:catAx>
        <c:axId val="157392384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7130752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30399774640746985"/>
          <c:y val="9.2440846539293048E-2"/>
          <c:w val="0.41020394772082081"/>
          <c:h val="6.0883281504236837E-2"/>
        </c:manualLayout>
      </c:layout>
      <c:overlay val="0"/>
      <c:txPr>
        <a:bodyPr/>
        <a:lstStyle/>
        <a:p>
          <a:pPr>
            <a:defRPr sz="12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15553894201231"/>
          <c:y val="0.12831490512467739"/>
          <c:w val="0.66298907123592765"/>
          <c:h val="0.83244300194115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'Excursiones realizadas'!$I$4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'Excursiones realizadas'!$C$6:$C$19</c:f>
              <c:strCache>
                <c:ptCount val="14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</c:v>
                </c:pt>
                <c:pt idx="12">
                  <c:v>Anaga/Taganana</c:v>
                </c:pt>
                <c:pt idx="13">
                  <c:v>Barranco del Infierno</c:v>
                </c:pt>
              </c:strCache>
            </c:strRef>
          </c:cat>
          <c:val>
            <c:numRef>
              <c:f>'Excursiones realizadas'!$I$6:$I$18</c:f>
              <c:numCache>
                <c:formatCode>#,##0.0</c:formatCode>
                <c:ptCount val="13"/>
                <c:pt idx="0">
                  <c:v>38.450345580210985</c:v>
                </c:pt>
                <c:pt idx="1">
                  <c:v>29.905426498944081</c:v>
                </c:pt>
                <c:pt idx="2">
                  <c:v>27.210004312203537</c:v>
                </c:pt>
                <c:pt idx="3">
                  <c:v>23.828802776171198</c:v>
                </c:pt>
                <c:pt idx="4">
                  <c:v>20.693430656934307</c:v>
                </c:pt>
                <c:pt idx="5">
                  <c:v>18.681818181818183</c:v>
                </c:pt>
                <c:pt idx="6">
                  <c:v>17.570400072906224</c:v>
                </c:pt>
                <c:pt idx="7">
                  <c:v>16.22088791848617</c:v>
                </c:pt>
                <c:pt idx="8">
                  <c:v>15.627272727272727</c:v>
                </c:pt>
                <c:pt idx="9">
                  <c:v>10.674668121476632</c:v>
                </c:pt>
                <c:pt idx="10">
                  <c:v>10.508474576271187</c:v>
                </c:pt>
                <c:pt idx="11">
                  <c:v>9.1909090909090914</c:v>
                </c:pt>
                <c:pt idx="12">
                  <c:v>8.7296535418750576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499392"/>
        <c:axId val="157133632"/>
      </c:barChart>
      <c:barChart>
        <c:barDir val="bar"/>
        <c:grouping val="clustered"/>
        <c:varyColors val="0"/>
        <c:ser>
          <c:idx val="1"/>
          <c:order val="1"/>
          <c:tx>
            <c:strRef>
              <c:f>'Excursiones realizadas'!$N$4</c:f>
              <c:strCache>
                <c:ptCount val="1"/>
                <c:pt idx="0">
                  <c:v>var 12/11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Lbls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'Excursiones realizadas'!$C$6:$C$18</c:f>
              <c:strCache>
                <c:ptCount val="13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</c:v>
                </c:pt>
                <c:pt idx="12">
                  <c:v>Anaga/Taganana</c:v>
                </c:pt>
              </c:strCache>
            </c:strRef>
          </c:cat>
          <c:val>
            <c:numRef>
              <c:f>'Excursiones realizadas'!$N$6:$N$18</c:f>
              <c:numCache>
                <c:formatCode>0.0%</c:formatCode>
                <c:ptCount val="13"/>
                <c:pt idx="0">
                  <c:v>4.4113483957569422E-2</c:v>
                </c:pt>
                <c:pt idx="1">
                  <c:v>2.7987228641845885E-2</c:v>
                </c:pt>
                <c:pt idx="2">
                  <c:v>2.6249799442511268E-2</c:v>
                </c:pt>
                <c:pt idx="3">
                  <c:v>-6.124743539623001E-3</c:v>
                </c:pt>
                <c:pt idx="4">
                  <c:v>-2.7875771298089269E-3</c:v>
                </c:pt>
                <c:pt idx="5">
                  <c:v>-9.6385542168673233E-3</c:v>
                </c:pt>
                <c:pt idx="6">
                  <c:v>3.8414431032911533E-2</c:v>
                </c:pt>
                <c:pt idx="7">
                  <c:v>-2.5949411994781957E-2</c:v>
                </c:pt>
                <c:pt idx="8">
                  <c:v>3.9927404718693271E-2</c:v>
                </c:pt>
                <c:pt idx="9">
                  <c:v>7.0441624034558448E-3</c:v>
                </c:pt>
                <c:pt idx="10">
                  <c:v>2.6568941823179593E-3</c:v>
                </c:pt>
                <c:pt idx="11">
                  <c:v>2.3279352226720729E-2</c:v>
                </c:pt>
                <c:pt idx="12">
                  <c:v>0.10992751044557103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00928"/>
        <c:axId val="157134208"/>
      </c:barChart>
      <c:catAx>
        <c:axId val="157499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7133632"/>
        <c:crosses val="autoZero"/>
        <c:auto val="1"/>
        <c:lblAlgn val="ctr"/>
        <c:lblOffset val="100"/>
        <c:noMultiLvlLbl val="0"/>
      </c:catAx>
      <c:valAx>
        <c:axId val="157133632"/>
        <c:scaling>
          <c:orientation val="minMax"/>
        </c:scaling>
        <c:delete val="1"/>
        <c:axPos val="t"/>
        <c:numFmt formatCode="#,##0.0" sourceLinked="1"/>
        <c:majorTickMark val="out"/>
        <c:minorTickMark val="none"/>
        <c:tickLblPos val="none"/>
        <c:crossAx val="157499392"/>
        <c:crosses val="autoZero"/>
        <c:crossBetween val="between"/>
      </c:valAx>
      <c:valAx>
        <c:axId val="157134208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157500928"/>
        <c:crosses val="max"/>
        <c:crossBetween val="between"/>
      </c:valAx>
      <c:catAx>
        <c:axId val="157500928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7134208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5163634025073023"/>
          <c:y val="5.7810058654011134E-2"/>
          <c:w val="0.56377293573372245"/>
          <c:h val="6.2443174383341904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EDAD MEDIA DE LOS TURISTAS POR MERCADOS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1189106697013491"/>
          <c:y val="0.1250780460953019"/>
          <c:w val="0.76199768325052075"/>
          <c:h val="0.831015484766531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'GRAFICA EDAD POR MERCADOS'!$D$9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8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75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 EDAD POR MERCADOS'!$C$10:$C$27</c:f>
              <c:strCache>
                <c:ptCount val="18"/>
                <c:pt idx="0">
                  <c:v>Suecia</c:v>
                </c:pt>
                <c:pt idx="1">
                  <c:v>Noruega</c:v>
                </c:pt>
                <c:pt idx="2">
                  <c:v>Total nórdicos</c:v>
                </c:pt>
                <c:pt idx="3">
                  <c:v>Dinamarca</c:v>
                </c:pt>
                <c:pt idx="4">
                  <c:v>Finlandia</c:v>
                </c:pt>
                <c:pt idx="5">
                  <c:v>Reino Unido</c:v>
                </c:pt>
                <c:pt idx="6">
                  <c:v>Bélgica</c:v>
                </c:pt>
                <c:pt idx="7">
                  <c:v>Alemania</c:v>
                </c:pt>
                <c:pt idx="8">
                  <c:v>Todos los países</c:v>
                </c:pt>
                <c:pt idx="9">
                  <c:v>Holanda</c:v>
                </c:pt>
                <c:pt idx="10">
                  <c:v>Francia</c:v>
                </c:pt>
                <c:pt idx="11">
                  <c:v>Suiza + Austria</c:v>
                </c:pt>
                <c:pt idx="12">
                  <c:v>Irlanda 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'GRAFICA EDAD POR MERCADOS'!$D$10:$D$27</c:f>
              <c:numCache>
                <c:formatCode>0.0</c:formatCode>
                <c:ptCount val="18"/>
                <c:pt idx="0">
                  <c:v>53.483709273182953</c:v>
                </c:pt>
                <c:pt idx="1">
                  <c:v>52.927966101694942</c:v>
                </c:pt>
                <c:pt idx="2">
                  <c:v>52.080500894454381</c:v>
                </c:pt>
                <c:pt idx="3">
                  <c:v>50.574660633484186</c:v>
                </c:pt>
                <c:pt idx="4">
                  <c:v>50.450381679389302</c:v>
                </c:pt>
                <c:pt idx="5">
                  <c:v>50.089090909090935</c:v>
                </c:pt>
                <c:pt idx="6">
                  <c:v>48.814371257485057</c:v>
                </c:pt>
                <c:pt idx="7">
                  <c:v>47.240057845263905</c:v>
                </c:pt>
                <c:pt idx="8">
                  <c:v>47.002402513398614</c:v>
                </c:pt>
                <c:pt idx="9">
                  <c:v>46.910326086956537</c:v>
                </c:pt>
                <c:pt idx="10">
                  <c:v>46.635854341736717</c:v>
                </c:pt>
                <c:pt idx="11">
                  <c:v>45.743169398907128</c:v>
                </c:pt>
                <c:pt idx="12">
                  <c:v>44.617283950617264</c:v>
                </c:pt>
                <c:pt idx="13">
                  <c:v>42.895397489539754</c:v>
                </c:pt>
                <c:pt idx="14">
                  <c:v>41.964792433000547</c:v>
                </c:pt>
                <c:pt idx="15">
                  <c:v>41.795535261288634</c:v>
                </c:pt>
                <c:pt idx="16">
                  <c:v>38.765578635014826</c:v>
                </c:pt>
                <c:pt idx="17">
                  <c:v>37.058823529411768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28708096"/>
        <c:axId val="50336832"/>
      </c:barChart>
      <c:barChart>
        <c:barDir val="bar"/>
        <c:grouping val="clustered"/>
        <c:varyColors val="0"/>
        <c:ser>
          <c:idx val="1"/>
          <c:order val="1"/>
          <c:tx>
            <c:strRef>
              <c:f>'GRAFICA EDAD POR MERCADOS'!$E$9</c:f>
              <c:strCache>
                <c:ptCount val="1"/>
                <c:pt idx="0">
                  <c:v>dif. 12/11</c:v>
                </c:pt>
              </c:strCache>
            </c:strRef>
          </c:tx>
          <c:spPr>
            <a:noFill/>
          </c:spPr>
          <c:invertIfNegative val="0"/>
          <c:dLbls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1"/>
              </a:gradFill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 EDAD POR MERCADOS'!$C$10:$C$27</c:f>
              <c:strCache>
                <c:ptCount val="18"/>
                <c:pt idx="0">
                  <c:v>Suecia</c:v>
                </c:pt>
                <c:pt idx="1">
                  <c:v>Noruega</c:v>
                </c:pt>
                <c:pt idx="2">
                  <c:v>Total nórdicos</c:v>
                </c:pt>
                <c:pt idx="3">
                  <c:v>Dinamarca</c:v>
                </c:pt>
                <c:pt idx="4">
                  <c:v>Finlandia</c:v>
                </c:pt>
                <c:pt idx="5">
                  <c:v>Reino Unido</c:v>
                </c:pt>
                <c:pt idx="6">
                  <c:v>Bélgica</c:v>
                </c:pt>
                <c:pt idx="7">
                  <c:v>Alemania</c:v>
                </c:pt>
                <c:pt idx="8">
                  <c:v>Todos los países</c:v>
                </c:pt>
                <c:pt idx="9">
                  <c:v>Holanda</c:v>
                </c:pt>
                <c:pt idx="10">
                  <c:v>Francia</c:v>
                </c:pt>
                <c:pt idx="11">
                  <c:v>Suiza + Austria</c:v>
                </c:pt>
                <c:pt idx="12">
                  <c:v>Irlanda 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'GRAFICA EDAD POR MERCADOS'!$E$10:$E$27</c:f>
              <c:numCache>
                <c:formatCode>0.0</c:formatCode>
                <c:ptCount val="18"/>
                <c:pt idx="0">
                  <c:v>3.3354534592294698</c:v>
                </c:pt>
                <c:pt idx="1">
                  <c:v>4.3757921886514524</c:v>
                </c:pt>
                <c:pt idx="2">
                  <c:v>3.3267365011860051</c:v>
                </c:pt>
                <c:pt idx="3">
                  <c:v>1.5746606334841999</c:v>
                </c:pt>
                <c:pt idx="4">
                  <c:v>3.1935009454443133</c:v>
                </c:pt>
                <c:pt idx="5">
                  <c:v>2.4029315628191625</c:v>
                </c:pt>
                <c:pt idx="6">
                  <c:v>3.3692301916543599</c:v>
                </c:pt>
                <c:pt idx="7">
                  <c:v>1.2926515052062655</c:v>
                </c:pt>
                <c:pt idx="8">
                  <c:v>2.1919939351032411</c:v>
                </c:pt>
                <c:pt idx="9">
                  <c:v>2.2722045399951867</c:v>
                </c:pt>
                <c:pt idx="10">
                  <c:v>0.12468115737918595</c:v>
                </c:pt>
                <c:pt idx="11">
                  <c:v>1.2712592865475614</c:v>
                </c:pt>
                <c:pt idx="12">
                  <c:v>0.13728395061726673</c:v>
                </c:pt>
                <c:pt idx="13">
                  <c:v>2.048422400571809</c:v>
                </c:pt>
                <c:pt idx="14">
                  <c:v>2.5998927932681752</c:v>
                </c:pt>
                <c:pt idx="15">
                  <c:v>2.6296863898461282</c:v>
                </c:pt>
                <c:pt idx="16">
                  <c:v>1.8255786350148355</c:v>
                </c:pt>
                <c:pt idx="17">
                  <c:v>1.9640866873064979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32150272"/>
        <c:axId val="50337408"/>
      </c:barChart>
      <c:catAx>
        <c:axId val="128708096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50336832"/>
        <c:crosses val="autoZero"/>
        <c:auto val="1"/>
        <c:lblAlgn val="ctr"/>
        <c:lblOffset val="100"/>
        <c:noMultiLvlLbl val="0"/>
      </c:catAx>
      <c:valAx>
        <c:axId val="5033683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28708096"/>
        <c:crosses val="autoZero"/>
        <c:crossBetween val="between"/>
      </c:valAx>
      <c:valAx>
        <c:axId val="5033740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32150272"/>
        <c:crosses val="autoZero"/>
        <c:crossBetween val="between"/>
      </c:valAx>
      <c:catAx>
        <c:axId val="132150272"/>
        <c:scaling>
          <c:orientation val="maxMin"/>
        </c:scaling>
        <c:delete val="1"/>
        <c:axPos val="r"/>
        <c:majorTickMark val="out"/>
        <c:minorTickMark val="none"/>
        <c:tickLblPos val="none"/>
        <c:crossAx val="50337408"/>
        <c:crosses val="max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32852716562657414"/>
          <c:y val="7.29483282674772E-2"/>
          <c:w val="0.35233515353680944"/>
          <c:h val="4.691956058684154E-2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MOTIVOS MÁS IMPORTANTES A LA HORA DE ELEGIR TENERIFE 
(Respuesta espontánea - % sobre turistas)</a:t>
            </a:r>
          </a:p>
        </c:rich>
      </c:tx>
      <c:layout>
        <c:manualLayout>
          <c:xMode val="edge"/>
          <c:yMode val="edge"/>
          <c:x val="0.17672026290831289"/>
          <c:y val="1.32214411079248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0960956351044586"/>
          <c:y val="0.16065269791586612"/>
          <c:w val="0.53436838042303536"/>
          <c:h val="0.794066331770632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'gráfica motivación casos'!$F$19</c:f>
              <c:strCache>
                <c:ptCount val="1"/>
                <c:pt idx="0">
                  <c:v>año 2012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'gráfica motivación casos'!$D$20:$D$45</c:f>
              <c:strCache>
                <c:ptCount val="26"/>
                <c:pt idx="0">
                  <c:v>clima</c:v>
                </c:pt>
                <c:pt idx="1">
                  <c:v>precio del viaje</c:v>
                </c:pt>
                <c:pt idx="2">
                  <c:v>playas /mar</c:v>
                </c:pt>
                <c:pt idx="3">
                  <c:v>accesibilidad /cercanía</c:v>
                </c:pt>
                <c:pt idx="4">
                  <c:v>conocer Tenerife</c:v>
                </c:pt>
                <c:pt idx="5">
                  <c:v>paisaje natural</c:v>
                </c:pt>
                <c:pt idx="6">
                  <c:v>características del alojamiento</c:v>
                </c:pt>
                <c:pt idx="7">
                  <c:v>buenas referencias /fidelidad</c:v>
                </c:pt>
                <c:pt idx="8">
                  <c:v>relax</c:v>
                </c:pt>
                <c:pt idx="9">
                  <c:v>oferta cultural y deportiva</c:v>
                </c:pt>
                <c:pt idx="10">
                  <c:v>el destino y sus infraestructuras</c:v>
                </c:pt>
                <c:pt idx="11">
                  <c:v>amabilidad/ hospitalidad/ambiente</c:v>
                </c:pt>
                <c:pt idx="12">
                  <c:v>visita familiares /amigos</c:v>
                </c:pt>
                <c:pt idx="13">
                  <c:v>gastronomía y restauración</c:v>
                </c:pt>
                <c:pt idx="14">
                  <c:v>Lugares</c:v>
                </c:pt>
                <c:pt idx="15">
                  <c:v>alojamiento (contratación)</c:v>
                </c:pt>
                <c:pt idx="16">
                  <c:v>parques de ocio</c:v>
                </c:pt>
                <c:pt idx="17">
                  <c:v>negocios/estudios/médicos</c:v>
                </c:pt>
                <c:pt idx="18">
                  <c:v>turismo familiar</c:v>
                </c:pt>
                <c:pt idx="19">
                  <c:v>celebración/aniversarios/evento</c:v>
                </c:pt>
                <c:pt idx="20">
                  <c:v>oferta y ocio nocturno</c:v>
                </c:pt>
                <c:pt idx="21">
                  <c:v>seguridad</c:v>
                </c:pt>
                <c:pt idx="22">
                  <c:v>está en España</c:v>
                </c:pt>
                <c:pt idx="23">
                  <c:v>comercio/compras</c:v>
                </c:pt>
                <c:pt idx="24">
                  <c:v>otros</c:v>
                </c:pt>
                <c:pt idx="25">
                  <c:v>No contestan</c:v>
                </c:pt>
              </c:strCache>
            </c:strRef>
          </c:cat>
          <c:val>
            <c:numRef>
              <c:f>'gráfica motivación casos'!$F$20:$F$45</c:f>
              <c:numCache>
                <c:formatCode>0.0</c:formatCode>
                <c:ptCount val="26"/>
                <c:pt idx="0">
                  <c:v>79.645454545454541</c:v>
                </c:pt>
                <c:pt idx="1">
                  <c:v>17.890909090909091</c:v>
                </c:pt>
                <c:pt idx="2">
                  <c:v>14.036363636363637</c:v>
                </c:pt>
                <c:pt idx="3">
                  <c:v>13.709090909090909</c:v>
                </c:pt>
                <c:pt idx="4">
                  <c:v>12.545454545454547</c:v>
                </c:pt>
                <c:pt idx="5">
                  <c:v>12.027272727272727</c:v>
                </c:pt>
                <c:pt idx="6">
                  <c:v>10.263636363636364</c:v>
                </c:pt>
                <c:pt idx="7">
                  <c:v>9.627272727272727</c:v>
                </c:pt>
                <c:pt idx="8">
                  <c:v>9.4818181818181824</c:v>
                </c:pt>
                <c:pt idx="9">
                  <c:v>8.872727272727273</c:v>
                </c:pt>
                <c:pt idx="10">
                  <c:v>8.0090909090909097</c:v>
                </c:pt>
                <c:pt idx="11">
                  <c:v>7.836363636363636</c:v>
                </c:pt>
                <c:pt idx="12">
                  <c:v>5.4909090909090912</c:v>
                </c:pt>
                <c:pt idx="13">
                  <c:v>4.3</c:v>
                </c:pt>
                <c:pt idx="14">
                  <c:v>3.9818181818181819</c:v>
                </c:pt>
                <c:pt idx="15">
                  <c:v>3.7727272727272729</c:v>
                </c:pt>
                <c:pt idx="16">
                  <c:v>2.418181818181818</c:v>
                </c:pt>
                <c:pt idx="17">
                  <c:v>1.509090909090909</c:v>
                </c:pt>
                <c:pt idx="18">
                  <c:v>1.3181818181818181</c:v>
                </c:pt>
                <c:pt idx="19">
                  <c:v>0.96363636363636362</c:v>
                </c:pt>
                <c:pt idx="20">
                  <c:v>0.88181818181818183</c:v>
                </c:pt>
                <c:pt idx="21">
                  <c:v>0.82727272727272727</c:v>
                </c:pt>
                <c:pt idx="22">
                  <c:v>0.75454545454545452</c:v>
                </c:pt>
                <c:pt idx="23">
                  <c:v>0.67272727272727273</c:v>
                </c:pt>
                <c:pt idx="24">
                  <c:v>2.3727272727272726</c:v>
                </c:pt>
                <c:pt idx="25">
                  <c:v>3.0636363636363635</c:v>
                </c:pt>
              </c:numCache>
            </c:numRef>
          </c:val>
        </c:ser>
        <c:ser>
          <c:idx val="1"/>
          <c:order val="1"/>
          <c:tx>
            <c:strRef>
              <c:f>'gráfica motivación casos'!$G$19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75000"/>
                  </a:sysClr>
                </a:gs>
                <a:gs pos="50000">
                  <a:sysClr val="window" lastClr="FFFFFF">
                    <a:lumMod val="85000"/>
                  </a:sysClr>
                </a:gs>
                <a:gs pos="100000">
                  <a:sysClr val="window" lastClr="FFFFFF">
                    <a:lumMod val="75000"/>
                  </a:sysClr>
                </a:gs>
              </a:gsLst>
              <a:lin ang="5400000" scaled="0"/>
            </a:gradFill>
          </c:spPr>
          <c:invertIfNegative val="0"/>
          <c:dPt>
            <c:idx val="17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Pt>
            <c:idx val="21"/>
            <c:invertIfNegative val="0"/>
            <c:bubble3D val="0"/>
            <c:spPr>
              <a:noFill/>
            </c:spPr>
          </c:dPt>
          <c:dPt>
            <c:idx val="22"/>
            <c:invertIfNegative val="0"/>
            <c:bubble3D val="0"/>
            <c:spPr>
              <a:noFill/>
            </c:spPr>
          </c:dPt>
          <c:dPt>
            <c:idx val="23"/>
            <c:invertIfNegative val="0"/>
            <c:bubble3D val="0"/>
            <c:spPr>
              <a:noFill/>
            </c:spPr>
          </c:dPt>
          <c:dLbls>
            <c:dLbl>
              <c:idx val="5"/>
              <c:layout>
                <c:manualLayout>
                  <c:x val="0.1298328095759330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10742699763426433"/>
                  <c:y val="5.95714753779002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10089686098654709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0088150135941527"/>
                  <c:y val="-4.874086108854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.10061685674940857"/>
                  <c:y val="-3.24939073923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9.8645351505949649E-2"/>
                  <c:y val="-1.6246953696181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7.30034250203029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7.545531584336710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7.3315560891211468E-2"/>
                  <c:y val="1.2792876926127532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7.5687122629850639E-2"/>
                  <c:y val="1.6246953696181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6.8267363440556478E-2"/>
                  <c:y val="1.6246953696181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6.032484728646587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6.0473323682073372E-2"/>
                  <c:y val="1.191429507558004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6.1877758553723385E-2"/>
                  <c:y val="1.191429507558004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6.0197026941139084E-2"/>
                  <c:y val="1.191429507558004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6.05250520814943E-2"/>
                  <c:y val="1.2792876926127532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75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7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'gráfica motivación casos'!$D$20:$D$45</c:f>
              <c:strCache>
                <c:ptCount val="26"/>
                <c:pt idx="0">
                  <c:v>clima</c:v>
                </c:pt>
                <c:pt idx="1">
                  <c:v>precio del viaje</c:v>
                </c:pt>
                <c:pt idx="2">
                  <c:v>playas /mar</c:v>
                </c:pt>
                <c:pt idx="3">
                  <c:v>accesibilidad /cercanía</c:v>
                </c:pt>
                <c:pt idx="4">
                  <c:v>conocer Tenerife</c:v>
                </c:pt>
                <c:pt idx="5">
                  <c:v>paisaje natural</c:v>
                </c:pt>
                <c:pt idx="6">
                  <c:v>características del alojamiento</c:v>
                </c:pt>
                <c:pt idx="7">
                  <c:v>buenas referencias /fidelidad</c:v>
                </c:pt>
                <c:pt idx="8">
                  <c:v>relax</c:v>
                </c:pt>
                <c:pt idx="9">
                  <c:v>oferta cultural y deportiva</c:v>
                </c:pt>
                <c:pt idx="10">
                  <c:v>el destino y sus infraestructuras</c:v>
                </c:pt>
                <c:pt idx="11">
                  <c:v>amabilidad/ hospitalidad/ambiente</c:v>
                </c:pt>
                <c:pt idx="12">
                  <c:v>visita familiares /amigos</c:v>
                </c:pt>
                <c:pt idx="13">
                  <c:v>gastronomía y restauración</c:v>
                </c:pt>
                <c:pt idx="14">
                  <c:v>Lugares</c:v>
                </c:pt>
                <c:pt idx="15">
                  <c:v>alojamiento (contratación)</c:v>
                </c:pt>
                <c:pt idx="16">
                  <c:v>parques de ocio</c:v>
                </c:pt>
                <c:pt idx="17">
                  <c:v>negocios/estudios/médicos</c:v>
                </c:pt>
                <c:pt idx="18">
                  <c:v>turismo familiar</c:v>
                </c:pt>
                <c:pt idx="19">
                  <c:v>celebración/aniversarios/evento</c:v>
                </c:pt>
                <c:pt idx="20">
                  <c:v>oferta y ocio nocturno</c:v>
                </c:pt>
                <c:pt idx="21">
                  <c:v>seguridad</c:v>
                </c:pt>
                <c:pt idx="22">
                  <c:v>está en España</c:v>
                </c:pt>
                <c:pt idx="23">
                  <c:v>comercio/compras</c:v>
                </c:pt>
                <c:pt idx="24">
                  <c:v>otros</c:v>
                </c:pt>
                <c:pt idx="25">
                  <c:v>No contestan</c:v>
                </c:pt>
              </c:strCache>
            </c:strRef>
          </c:cat>
          <c:val>
            <c:numRef>
              <c:f>'gráfica motivación casos'!$G$20:$G$45</c:f>
              <c:numCache>
                <c:formatCode>0.0%</c:formatCode>
                <c:ptCount val="26"/>
                <c:pt idx="0">
                  <c:v>-3.9949777422667587E-3</c:v>
                </c:pt>
                <c:pt idx="1">
                  <c:v>-2.6930894308943243E-2</c:v>
                </c:pt>
                <c:pt idx="2">
                  <c:v>-4.2098445595854961E-2</c:v>
                </c:pt>
                <c:pt idx="3">
                  <c:v>-3.9124668435013277E-2</c:v>
                </c:pt>
                <c:pt idx="4">
                  <c:v>-7.8985507246376874E-2</c:v>
                </c:pt>
                <c:pt idx="5">
                  <c:v>4.7619047619047672E-2</c:v>
                </c:pt>
                <c:pt idx="6">
                  <c:v>-2.7457927369353374E-2</c:v>
                </c:pt>
                <c:pt idx="7">
                  <c:v>-2.7384324834749729E-2</c:v>
                </c:pt>
                <c:pt idx="8">
                  <c:v>4.4103547459252157E-2</c:v>
                </c:pt>
                <c:pt idx="9">
                  <c:v>-1.0245901639344357E-2</c:v>
                </c:pt>
                <c:pt idx="10">
                  <c:v>0</c:v>
                </c:pt>
                <c:pt idx="11">
                  <c:v>3.4802784222738303E-3</c:v>
                </c:pt>
                <c:pt idx="12">
                  <c:v>6.2913907284767978E-2</c:v>
                </c:pt>
                <c:pt idx="13">
                  <c:v>2.1141649048628253E-3</c:v>
                </c:pt>
                <c:pt idx="14">
                  <c:v>-8.4474885844748826E-2</c:v>
                </c:pt>
                <c:pt idx="15">
                  <c:v>-1.6867469879518149E-2</c:v>
                </c:pt>
                <c:pt idx="16">
                  <c:v>0.22180451127819567</c:v>
                </c:pt>
                <c:pt idx="17">
                  <c:v>0.17469879518072284</c:v>
                </c:pt>
                <c:pt idx="18">
                  <c:v>0.15172413793103456</c:v>
                </c:pt>
                <c:pt idx="19">
                  <c:v>0.12264150943396235</c:v>
                </c:pt>
                <c:pt idx="20">
                  <c:v>0.27835051546391743</c:v>
                </c:pt>
                <c:pt idx="21">
                  <c:v>1.0549450549450547</c:v>
                </c:pt>
                <c:pt idx="22">
                  <c:v>0.51807228915662673</c:v>
                </c:pt>
                <c:pt idx="23">
                  <c:v>0.20270270270270263</c:v>
                </c:pt>
                <c:pt idx="24">
                  <c:v>7.6628352490421658E-2</c:v>
                </c:pt>
                <c:pt idx="25">
                  <c:v>2.9673590504450953E-3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"/>
        <c:overlap val="100"/>
        <c:axId val="157557248"/>
        <c:axId val="157137088"/>
      </c:barChart>
      <c:catAx>
        <c:axId val="157557248"/>
        <c:scaling>
          <c:orientation val="maxMin"/>
        </c:scaling>
        <c:delete val="0"/>
        <c:axPos val="l"/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713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70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8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s-ES" sz="800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 Cabildo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8.0790136527051762E-2"/>
              <c:y val="0.9638433380967456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one"/>
        <c:crossAx val="15755724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733209819361025"/>
          <c:y val="0.11588182632050134"/>
          <c:w val="0.58318974834028059"/>
          <c:h val="2.431833657820788E-2"/>
        </c:manualLayout>
      </c:layout>
      <c:overlay val="0"/>
      <c:txPr>
        <a:bodyPr/>
        <a:lstStyle/>
        <a:p>
          <a:pPr>
            <a:defRPr sz="1400" b="1">
              <a:solidFill>
                <a:srgbClr val="002060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'Motivación repuestas'!$C$5:$F$5</c:f>
          <c:strCache>
            <c:ptCount val="1"/>
            <c:pt idx="0">
              <c:v>MOTIVOS MÁS IMPORTANTES PARA ELEGIR TENERIFE 
(Respuesta espontánea - % sobre respuestas)</c:v>
            </c:pt>
          </c:strCache>
        </c:strRef>
      </c:tx>
      <c:layout>
        <c:manualLayout>
          <c:xMode val="edge"/>
          <c:yMode val="edge"/>
          <c:x val="0.18344295198394397"/>
          <c:y val="1.322144110792484E-2"/>
        </c:manualLayout>
      </c:layout>
      <c:overlay val="1"/>
      <c:txPr>
        <a:bodyPr/>
        <a:lstStyle/>
        <a:p>
          <a:pPr>
            <a:defRPr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077917394607588"/>
          <c:y val="0.14546869902838111"/>
          <c:w val="0.55901806391848075"/>
          <c:h val="0.81256017449484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'gráfica motivación repuestas'!$E$12</c:f>
              <c:strCache>
                <c:ptCount val="1"/>
                <c:pt idx="0">
                  <c:v>año 2012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'gráfica motivación repuestas'!$C$13:$C$37</c:f>
              <c:strCache>
                <c:ptCount val="25"/>
                <c:pt idx="0">
                  <c:v>clima</c:v>
                </c:pt>
                <c:pt idx="1">
                  <c:v>precio del viaje</c:v>
                </c:pt>
                <c:pt idx="2">
                  <c:v>playas /mar</c:v>
                </c:pt>
                <c:pt idx="3">
                  <c:v>accesibilidad /cercanía</c:v>
                </c:pt>
                <c:pt idx="4">
                  <c:v>conocer Tenerife</c:v>
                </c:pt>
                <c:pt idx="5">
                  <c:v>paisaje natural</c:v>
                </c:pt>
                <c:pt idx="6">
                  <c:v>características del alojamiento</c:v>
                </c:pt>
                <c:pt idx="7">
                  <c:v>buenas referencias /fidelidad</c:v>
                </c:pt>
                <c:pt idx="8">
                  <c:v>relax</c:v>
                </c:pt>
                <c:pt idx="9">
                  <c:v>oferta cultural y deportiva</c:v>
                </c:pt>
                <c:pt idx="10">
                  <c:v>el destino y sus infraestructuras</c:v>
                </c:pt>
                <c:pt idx="11">
                  <c:v>amabilidad/ hospitalidad/ambiente</c:v>
                </c:pt>
                <c:pt idx="12">
                  <c:v>visita familiares /amigos</c:v>
                </c:pt>
                <c:pt idx="13">
                  <c:v>gastronomía y restauración</c:v>
                </c:pt>
                <c:pt idx="14">
                  <c:v>Lugares</c:v>
                </c:pt>
                <c:pt idx="15">
                  <c:v>alojamiento (contratación)</c:v>
                </c:pt>
                <c:pt idx="16">
                  <c:v>parques de ocio</c:v>
                </c:pt>
                <c:pt idx="17">
                  <c:v>negocios/estudios/médicos</c:v>
                </c:pt>
                <c:pt idx="18">
                  <c:v>turismo familiar</c:v>
                </c:pt>
                <c:pt idx="19">
                  <c:v>celebración/aniversarios/evento</c:v>
                </c:pt>
                <c:pt idx="20">
                  <c:v>oferta y ocio nocturno</c:v>
                </c:pt>
                <c:pt idx="21">
                  <c:v>seguridad</c:v>
                </c:pt>
                <c:pt idx="22">
                  <c:v>está en España</c:v>
                </c:pt>
                <c:pt idx="23">
                  <c:v>comercio/compras</c:v>
                </c:pt>
                <c:pt idx="24">
                  <c:v>otros</c:v>
                </c:pt>
              </c:strCache>
            </c:strRef>
          </c:cat>
          <c:val>
            <c:numRef>
              <c:f>'gráfica motivación repuestas'!$E$13:$E$37</c:f>
              <c:numCache>
                <c:formatCode>0.0</c:formatCode>
                <c:ptCount val="25"/>
                <c:pt idx="0">
                  <c:v>34.151951038864851</c:v>
                </c:pt>
                <c:pt idx="1">
                  <c:v>7.671617354695357</c:v>
                </c:pt>
                <c:pt idx="2">
                  <c:v>6.018789225431723</c:v>
                </c:pt>
                <c:pt idx="3">
                  <c:v>5.8784547616263207</c:v>
                </c:pt>
                <c:pt idx="4">
                  <c:v>5.3794877792071096</c:v>
                </c:pt>
                <c:pt idx="5">
                  <c:v>5.1572915448485555</c:v>
                </c:pt>
                <c:pt idx="6">
                  <c:v>4.4010447121194405</c:v>
                </c:pt>
                <c:pt idx="7">
                  <c:v>4.1281721436089347</c:v>
                </c:pt>
                <c:pt idx="8">
                  <c:v>4.0658012708065332</c:v>
                </c:pt>
                <c:pt idx="9">
                  <c:v>3.8046232409464782</c:v>
                </c:pt>
                <c:pt idx="10">
                  <c:v>3.4342961836822203</c:v>
                </c:pt>
                <c:pt idx="11">
                  <c:v>3.3602307722293689</c:v>
                </c:pt>
                <c:pt idx="12">
                  <c:v>2.3545004482906484</c:v>
                </c:pt>
                <c:pt idx="13">
                  <c:v>1.8438389272209879</c:v>
                </c:pt>
                <c:pt idx="14">
                  <c:v>1.707402642965735</c:v>
                </c:pt>
                <c:pt idx="15">
                  <c:v>1.6177445133122832</c:v>
                </c:pt>
                <c:pt idx="16">
                  <c:v>1.0369157603399213</c:v>
                </c:pt>
                <c:pt idx="17">
                  <c:v>0.64709780532491323</c:v>
                </c:pt>
                <c:pt idx="18">
                  <c:v>0.56523603477176154</c:v>
                </c:pt>
                <c:pt idx="19">
                  <c:v>0.4132070323159085</c:v>
                </c:pt>
                <c:pt idx="20">
                  <c:v>0.37812341636455776</c:v>
                </c:pt>
                <c:pt idx="21">
                  <c:v>0.35473433906365726</c:v>
                </c:pt>
                <c:pt idx="22">
                  <c:v>0.32354890266245662</c:v>
                </c:pt>
                <c:pt idx="23">
                  <c:v>0.28846528671110594</c:v>
                </c:pt>
                <c:pt idx="24">
                  <c:v>1.0174248625891709</c:v>
                </c:pt>
              </c:numCache>
            </c:numRef>
          </c:val>
        </c:ser>
        <c:ser>
          <c:idx val="1"/>
          <c:order val="1"/>
          <c:tx>
            <c:strRef>
              <c:f>'gráfica motivación repuestas'!$F$12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75000"/>
                  </a:sysClr>
                </a:gs>
                <a:gs pos="50000">
                  <a:sysClr val="window" lastClr="FFFFFF">
                    <a:lumMod val="85000"/>
                  </a:sysClr>
                </a:gs>
                <a:gs pos="100000">
                  <a:sysClr val="window" lastClr="FFFFFF">
                    <a:lumMod val="75000"/>
                  </a:sysClr>
                </a:gs>
              </a:gsLst>
              <a:lin ang="5400000" scaled="0"/>
            </a:gradFill>
          </c:spPr>
          <c:invertIfNegative val="0"/>
          <c:dPt>
            <c:idx val="17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Pt>
            <c:idx val="21"/>
            <c:invertIfNegative val="0"/>
            <c:bubble3D val="0"/>
            <c:spPr>
              <a:noFill/>
            </c:spPr>
          </c:dPt>
          <c:dPt>
            <c:idx val="22"/>
            <c:invertIfNegative val="0"/>
            <c:bubble3D val="0"/>
            <c:spPr>
              <a:noFill/>
            </c:spPr>
          </c:dPt>
          <c:dPt>
            <c:idx val="23"/>
            <c:invertIfNegative val="0"/>
            <c:bubble3D val="0"/>
            <c:spPr>
              <a:noFill/>
            </c:spPr>
          </c:dPt>
          <c:dLbls>
            <c:dLbl>
              <c:idx val="5"/>
              <c:layout>
                <c:manualLayout>
                  <c:x val="0.11819616665563912"/>
                  <c:y val="4.874086108854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83078585765014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633472286552416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33566245395801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9.411076556606966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9.138587088378659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8.972919561525424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8.32914709190769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8.141123536028581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7.7239109817155219E-2"/>
                  <c:y val="1.62469536961820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6.984768080460580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7.650667196012292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8.04181830212399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7.974115000330842E-2"/>
                  <c:y val="1.191429507558026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75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7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'gráfica motivación repuestas'!$C$13:$C$37</c:f>
              <c:strCache>
                <c:ptCount val="25"/>
                <c:pt idx="0">
                  <c:v>clima</c:v>
                </c:pt>
                <c:pt idx="1">
                  <c:v>precio del viaje</c:v>
                </c:pt>
                <c:pt idx="2">
                  <c:v>playas /mar</c:v>
                </c:pt>
                <c:pt idx="3">
                  <c:v>accesibilidad /cercanía</c:v>
                </c:pt>
                <c:pt idx="4">
                  <c:v>conocer Tenerife</c:v>
                </c:pt>
                <c:pt idx="5">
                  <c:v>paisaje natural</c:v>
                </c:pt>
                <c:pt idx="6">
                  <c:v>características del alojamiento</c:v>
                </c:pt>
                <c:pt idx="7">
                  <c:v>buenas referencias /fidelidad</c:v>
                </c:pt>
                <c:pt idx="8">
                  <c:v>relax</c:v>
                </c:pt>
                <c:pt idx="9">
                  <c:v>oferta cultural y deportiva</c:v>
                </c:pt>
                <c:pt idx="10">
                  <c:v>el destino y sus infraestructuras</c:v>
                </c:pt>
                <c:pt idx="11">
                  <c:v>amabilidad/ hospitalidad/ambiente</c:v>
                </c:pt>
                <c:pt idx="12">
                  <c:v>visita familiares /amigos</c:v>
                </c:pt>
                <c:pt idx="13">
                  <c:v>gastronomía y restauración</c:v>
                </c:pt>
                <c:pt idx="14">
                  <c:v>Lugares</c:v>
                </c:pt>
                <c:pt idx="15">
                  <c:v>alojamiento (contratación)</c:v>
                </c:pt>
                <c:pt idx="16">
                  <c:v>parques de ocio</c:v>
                </c:pt>
                <c:pt idx="17">
                  <c:v>negocios/estudios/médicos</c:v>
                </c:pt>
                <c:pt idx="18">
                  <c:v>turismo familiar</c:v>
                </c:pt>
                <c:pt idx="19">
                  <c:v>celebración/aniversarios/evento</c:v>
                </c:pt>
                <c:pt idx="20">
                  <c:v>oferta y ocio nocturno</c:v>
                </c:pt>
                <c:pt idx="21">
                  <c:v>seguridad</c:v>
                </c:pt>
                <c:pt idx="22">
                  <c:v>está en España</c:v>
                </c:pt>
                <c:pt idx="23">
                  <c:v>comercio/compras</c:v>
                </c:pt>
                <c:pt idx="24">
                  <c:v>otros</c:v>
                </c:pt>
              </c:strCache>
            </c:strRef>
          </c:cat>
          <c:val>
            <c:numRef>
              <c:f>'gráfica motivación repuestas'!$F$13:$F$37</c:f>
              <c:numCache>
                <c:formatCode>0.0%</c:formatCode>
                <c:ptCount val="25"/>
                <c:pt idx="0">
                  <c:v>-5.5456024606846954E-3</c:v>
                </c:pt>
                <c:pt idx="1">
                  <c:v>-2.8445811376924257E-2</c:v>
                </c:pt>
                <c:pt idx="2">
                  <c:v>-4.3589749148424284E-2</c:v>
                </c:pt>
                <c:pt idx="3">
                  <c:v>-4.0620601695535608E-2</c:v>
                </c:pt>
                <c:pt idx="4">
                  <c:v>-8.0419383388132926E-2</c:v>
                </c:pt>
                <c:pt idx="5">
                  <c:v>4.5988067900651242E-2</c:v>
                </c:pt>
                <c:pt idx="6">
                  <c:v>-2.8972023928930946E-2</c:v>
                </c:pt>
                <c:pt idx="7">
                  <c:v>-2.8898535982011975E-2</c:v>
                </c:pt>
                <c:pt idx="8">
                  <c:v>4.2478040827159003E-2</c:v>
                </c:pt>
                <c:pt idx="9">
                  <c:v>-1.1786794642669074E-2</c:v>
                </c:pt>
                <c:pt idx="10">
                  <c:v>-1.5568442766512591E-3</c:v>
                </c:pt>
                <c:pt idx="11">
                  <c:v>1.9180158940796943E-3</c:v>
                </c:pt>
                <c:pt idx="12">
                  <c:v>6.1259115851638901E-2</c:v>
                </c:pt>
                <c:pt idx="13">
                  <c:v>5.540292026793292E-4</c:v>
                </c:pt>
                <c:pt idx="14">
                  <c:v>-8.5900215878851993E-2</c:v>
                </c:pt>
                <c:pt idx="15">
                  <c:v>-1.8398054132225727E-2</c:v>
                </c:pt>
                <c:pt idx="16">
                  <c:v>0.2199023519176253</c:v>
                </c:pt>
                <c:pt idx="17">
                  <c:v>0.17286997208465671</c:v>
                </c:pt>
                <c:pt idx="18">
                  <c:v>0.14993108279861556</c:v>
                </c:pt>
                <c:pt idx="19">
                  <c:v>0.12089373142526894</c:v>
                </c:pt>
                <c:pt idx="20">
                  <c:v>0.27636032278036327</c:v>
                </c:pt>
                <c:pt idx="21">
                  <c:v>1.0517458254974308</c:v>
                </c:pt>
                <c:pt idx="22">
                  <c:v>0.51570888700171014</c:v>
                </c:pt>
                <c:pt idx="23">
                  <c:v>0.20083028188348684</c:v>
                </c:pt>
                <c:pt idx="24">
                  <c:v>7.4952209801766312E-2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"/>
        <c:overlap val="100"/>
        <c:axId val="158210048"/>
        <c:axId val="155987328"/>
      </c:barChart>
      <c:catAx>
        <c:axId val="158210048"/>
        <c:scaling>
          <c:orientation val="maxMin"/>
        </c:scaling>
        <c:delete val="0"/>
        <c:axPos val="l"/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59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9873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800"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es-ES" sz="800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 Cabildo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6.0622008731789787E-2"/>
              <c:y val="0.9670913651321535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one"/>
        <c:crossAx val="15821004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162823870235539"/>
          <c:y val="9.1511414444437333E-2"/>
          <c:w val="0.58318974834028059"/>
          <c:h val="2.431833657820788E-2"/>
        </c:manualLayout>
      </c:layout>
      <c:overlay val="0"/>
      <c:txPr>
        <a:bodyPr/>
        <a:lstStyle/>
        <a:p>
          <a:pPr>
            <a:defRPr sz="1400" b="1">
              <a:solidFill>
                <a:srgbClr val="002060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08642103048864"/>
          <c:y val="0.12348928273600179"/>
          <c:w val="0.71241238734777057"/>
          <c:h val="0.797043135078469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'Índice satisfacción agrupad '!$I$4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60000"/>
                      <a:lumOff val="4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5.2562417871224471E-3"/>
                  <c:y val="6.8298223385742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929824561403512E-3"/>
                  <c:y val="-2.3722924314176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anchor="b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Media de satisfacción factores</c:v>
                </c:pt>
                <c:pt idx="4">
                  <c:v>Factores genéricos</c:v>
                </c:pt>
                <c:pt idx="5">
                  <c:v>Oferta de restauración</c:v>
                </c:pt>
                <c:pt idx="6">
                  <c:v>Factores ambientales</c:v>
                </c:pt>
                <c:pt idx="7">
                  <c:v>Oferta de actividades y ocio</c:v>
                </c:pt>
                <c:pt idx="8">
                  <c:v>Oferta comercial</c:v>
                </c:pt>
              </c:strCache>
            </c:strRef>
          </c:cat>
          <c:val>
            <c:numRef>
              <c:f>'Índice satisfacción agrupad '!$I$5:$I$13</c:f>
              <c:numCache>
                <c:formatCode>0.00</c:formatCode>
                <c:ptCount val="9"/>
                <c:pt idx="0">
                  <c:v>8.152397860775034</c:v>
                </c:pt>
                <c:pt idx="1">
                  <c:v>8.0278685373822967</c:v>
                </c:pt>
                <c:pt idx="2">
                  <c:v>7.9702492128715452</c:v>
                </c:pt>
                <c:pt idx="3">
                  <c:v>7.8779262056022441</c:v>
                </c:pt>
                <c:pt idx="4">
                  <c:v>7.8828439597315265</c:v>
                </c:pt>
                <c:pt idx="5">
                  <c:v>7.7717221162876324</c:v>
                </c:pt>
                <c:pt idx="6">
                  <c:v>7.7524034831630466</c:v>
                </c:pt>
                <c:pt idx="7">
                  <c:v>7.535161252765147</c:v>
                </c:pt>
                <c:pt idx="8">
                  <c:v>7.542665879110106</c:v>
                </c:pt>
              </c:numCache>
            </c:numRef>
          </c:val>
        </c:ser>
        <c:ser>
          <c:idx val="0"/>
          <c:order val="1"/>
          <c:tx>
            <c:strRef>
              <c:f>'Índice satisfacción agrupad '!$H$4</c:f>
              <c:strCache>
                <c:ptCount val="1"/>
                <c:pt idx="0">
                  <c:v>2011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4F81BD">
                    <a:lumMod val="75000"/>
                  </a:srgbClr>
                </a:gs>
                <a:gs pos="100000">
                  <a:srgbClr val="1F497D">
                    <a:lumMod val="50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3"/>
            <c:invertIfNegative val="0"/>
            <c:bubble3D val="0"/>
            <c:spPr>
              <a:gradFill rotWithShape="0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4F81BD">
                      <a:lumMod val="5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7.0083223828298138E-3"/>
                  <c:y val="-1.7969065386317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5789936573302874E-3"/>
                  <c:y val="2.660404024324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3859649122807015E-3"/>
                  <c:y val="1.868093890399071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anchor="t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Media de satisfacción factores</c:v>
                </c:pt>
                <c:pt idx="4">
                  <c:v>Factores genéricos</c:v>
                </c:pt>
                <c:pt idx="5">
                  <c:v>Oferta de restauración</c:v>
                </c:pt>
                <c:pt idx="6">
                  <c:v>Factores ambientales</c:v>
                </c:pt>
                <c:pt idx="7">
                  <c:v>Oferta de actividades y ocio</c:v>
                </c:pt>
                <c:pt idx="8">
                  <c:v>Oferta comercial</c:v>
                </c:pt>
              </c:strCache>
            </c:strRef>
          </c:cat>
          <c:val>
            <c:numRef>
              <c:f>'Índice satisfacción agrupad '!$H$5:$H$13</c:f>
              <c:numCache>
                <c:formatCode>0.00</c:formatCode>
                <c:ptCount val="9"/>
                <c:pt idx="0">
                  <c:v>8.1164374675661737</c:v>
                </c:pt>
                <c:pt idx="1">
                  <c:v>7.924519159872772</c:v>
                </c:pt>
                <c:pt idx="2">
                  <c:v>7.9175771910430219</c:v>
                </c:pt>
                <c:pt idx="3">
                  <c:v>7.7938775215826768</c:v>
                </c:pt>
                <c:pt idx="4">
                  <c:v>7.7395444284834829</c:v>
                </c:pt>
                <c:pt idx="5">
                  <c:v>7.6540540540540478</c:v>
                </c:pt>
                <c:pt idx="6">
                  <c:v>7.7145352028341971</c:v>
                </c:pt>
                <c:pt idx="7">
                  <c:v>7.4476620760982062</c:v>
                </c:pt>
                <c:pt idx="8">
                  <c:v>7.4071736453202215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-10"/>
        <c:axId val="158094848"/>
        <c:axId val="155990784"/>
      </c:barChart>
      <c:barChart>
        <c:barDir val="bar"/>
        <c:grouping val="clustered"/>
        <c:varyColors val="0"/>
        <c:ser>
          <c:idx val="1"/>
          <c:order val="2"/>
          <c:tx>
            <c:strRef>
              <c:f>'Índice satisfacción agrupad '!$N$4</c:f>
              <c:strCache>
                <c:ptCount val="1"/>
                <c:pt idx="0">
                  <c:v>dif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  <a:ln>
                <a:noFill/>
              </a:ln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Media de satisfacción factores</c:v>
                </c:pt>
                <c:pt idx="4">
                  <c:v>Factores genéricos</c:v>
                </c:pt>
                <c:pt idx="5">
                  <c:v>Oferta de restauración</c:v>
                </c:pt>
                <c:pt idx="6">
                  <c:v>Factores ambientales</c:v>
                </c:pt>
                <c:pt idx="7">
                  <c:v>Oferta de actividades y ocio</c:v>
                </c:pt>
                <c:pt idx="8">
                  <c:v>Oferta comercial</c:v>
                </c:pt>
              </c:strCache>
            </c:strRef>
          </c:cat>
          <c:val>
            <c:numRef>
              <c:f>'Índice satisfacción agrupad '!$N$5:$N$13</c:f>
              <c:numCache>
                <c:formatCode>0.00</c:formatCode>
                <c:ptCount val="9"/>
                <c:pt idx="0">
                  <c:v>3.5960393208860353E-2</c:v>
                </c:pt>
                <c:pt idx="1">
                  <c:v>0.10334937750952466</c:v>
                </c:pt>
                <c:pt idx="2">
                  <c:v>5.2672021828523263E-2</c:v>
                </c:pt>
                <c:pt idx="3">
                  <c:v>8.4048684019567332E-2</c:v>
                </c:pt>
                <c:pt idx="4">
                  <c:v>0.14329953124804362</c:v>
                </c:pt>
                <c:pt idx="5">
                  <c:v>0.11766806223358461</c:v>
                </c:pt>
                <c:pt idx="6">
                  <c:v>3.786828032884948E-2</c:v>
                </c:pt>
                <c:pt idx="7">
                  <c:v>8.7499176666940848E-2</c:v>
                </c:pt>
                <c:pt idx="8">
                  <c:v>0.13549223378988451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axId val="158095872"/>
        <c:axId val="155991360"/>
      </c:barChart>
      <c:catAx>
        <c:axId val="1580948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5599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990784"/>
        <c:scaling>
          <c:orientation val="minMax"/>
        </c:scaling>
        <c:delete val="0"/>
        <c:axPos val="t"/>
        <c:numFmt formatCode="0.00" sourceLinked="1"/>
        <c:majorTickMark val="out"/>
        <c:minorTickMark val="none"/>
        <c:tickLblPos val="none"/>
        <c:spPr>
          <a:ln w="9525">
            <a:noFill/>
          </a:ln>
        </c:spPr>
        <c:crossAx val="158094848"/>
        <c:crosses val="autoZero"/>
        <c:crossBetween val="between"/>
      </c:valAx>
      <c:valAx>
        <c:axId val="155991360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158095872"/>
        <c:crosses val="autoZero"/>
        <c:crossBetween val="between"/>
      </c:valAx>
      <c:catAx>
        <c:axId val="158095872"/>
        <c:scaling>
          <c:orientation val="maxMin"/>
        </c:scaling>
        <c:delete val="1"/>
        <c:axPos val="l"/>
        <c:majorTickMark val="out"/>
        <c:minorTickMark val="none"/>
        <c:tickLblPos val="none"/>
        <c:crossAx val="1559913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644296598273931"/>
          <c:y val="5.4063511252896927E-2"/>
          <c:w val="0.66472723761042174"/>
          <c:h val="6.7895604462580833E-2"/>
        </c:manualLayout>
      </c:layout>
      <c:overlay val="0"/>
      <c:spPr>
        <a:noFill/>
        <a:ln w="3175">
          <a:noFill/>
        </a:ln>
      </c:spPr>
      <c:txPr>
        <a:bodyPr/>
        <a:lstStyle/>
        <a:p>
          <a:pPr rtl="0">
            <a:defRPr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SATISFACCIÓN GLOBAL DE LOS TURISTAS CON SU VIAJE A TENERIFE POR NACIONALIDADES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70496908225745"/>
          <c:y val="0.15891984363583275"/>
          <c:w val="0.75765415141979453"/>
          <c:h val="0.784379364600906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'satisfacción nacionalidad '!$G$4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Pt>
            <c:idx val="6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'satisfacción nacionalidad '!$C$5:$C$21</c:f>
              <c:strCache>
                <c:ptCount val="17"/>
                <c:pt idx="0">
                  <c:v>Rusia</c:v>
                </c:pt>
                <c:pt idx="1">
                  <c:v>Reino Unido</c:v>
                </c:pt>
                <c:pt idx="2">
                  <c:v>Irlanda (Eire)</c:v>
                </c:pt>
                <c:pt idx="3">
                  <c:v>Finlandia</c:v>
                </c:pt>
                <c:pt idx="4">
                  <c:v>Resto del Mundo</c:v>
                </c:pt>
                <c:pt idx="5">
                  <c:v>Dinamarca</c:v>
                </c:pt>
                <c:pt idx="6">
                  <c:v>Todos los países</c:v>
                </c:pt>
                <c:pt idx="7">
                  <c:v>Italia</c:v>
                </c:pt>
                <c:pt idx="8">
                  <c:v>Total nórdicos</c:v>
                </c:pt>
                <c:pt idx="9">
                  <c:v>Suiza + Austria</c:v>
                </c:pt>
                <c:pt idx="10">
                  <c:v>Suecia</c:v>
                </c:pt>
                <c:pt idx="11">
                  <c:v>España</c:v>
                </c:pt>
                <c:pt idx="12">
                  <c:v>Bélgica</c:v>
                </c:pt>
                <c:pt idx="13">
                  <c:v>Alemania</c:v>
                </c:pt>
                <c:pt idx="14">
                  <c:v>Holanda</c:v>
                </c:pt>
                <c:pt idx="15">
                  <c:v>Noruega</c:v>
                </c:pt>
                <c:pt idx="16">
                  <c:v>Francia</c:v>
                </c:pt>
              </c:strCache>
            </c:strRef>
          </c:cat>
          <c:val>
            <c:numRef>
              <c:f>'satisfacción nacionalidad '!$G$5:$G$21</c:f>
              <c:numCache>
                <c:formatCode>0.00</c:formatCode>
                <c:ptCount val="17"/>
                <c:pt idx="0">
                  <c:v>8.9597315436241658</c:v>
                </c:pt>
                <c:pt idx="1">
                  <c:v>8.7240044247787569</c:v>
                </c:pt>
                <c:pt idx="2">
                  <c:v>8.6428571428571406</c:v>
                </c:pt>
                <c:pt idx="3">
                  <c:v>8.6266666666666687</c:v>
                </c:pt>
                <c:pt idx="4">
                  <c:v>8.5836909871244647</c:v>
                </c:pt>
                <c:pt idx="5">
                  <c:v>8.5765765765765742</c:v>
                </c:pt>
                <c:pt idx="6">
                  <c:v>8.4757586972612753</c:v>
                </c:pt>
                <c:pt idx="7">
                  <c:v>8.4311926605504564</c:v>
                </c:pt>
                <c:pt idx="8">
                  <c:v>8.3861386138613927</c:v>
                </c:pt>
                <c:pt idx="9">
                  <c:v>8.3333333333333375</c:v>
                </c:pt>
                <c:pt idx="10">
                  <c:v>8.318435754189947</c:v>
                </c:pt>
                <c:pt idx="11">
                  <c:v>8.3024999999999842</c:v>
                </c:pt>
                <c:pt idx="12">
                  <c:v>8.3006134969325149</c:v>
                </c:pt>
                <c:pt idx="13">
                  <c:v>8.2898936170212778</c:v>
                </c:pt>
                <c:pt idx="14">
                  <c:v>8.222222222222225</c:v>
                </c:pt>
                <c:pt idx="15">
                  <c:v>8.1928571428571377</c:v>
                </c:pt>
                <c:pt idx="16">
                  <c:v>8.0546448087431752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"/>
        <c:axId val="158797824"/>
        <c:axId val="158292736"/>
      </c:barChart>
      <c:barChart>
        <c:barDir val="bar"/>
        <c:grouping val="clustered"/>
        <c:varyColors val="0"/>
        <c:ser>
          <c:idx val="1"/>
          <c:order val="1"/>
          <c:tx>
            <c:strRef>
              <c:f>'satisfacción nacionalidad '!$J$4</c:f>
              <c:strCache>
                <c:ptCount val="1"/>
                <c:pt idx="0">
                  <c:v>dif. 12/11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'satisfacción nacionalidad '!$C$5:$C$21</c:f>
              <c:strCache>
                <c:ptCount val="17"/>
                <c:pt idx="0">
                  <c:v>Rusia</c:v>
                </c:pt>
                <c:pt idx="1">
                  <c:v>Reino Unido</c:v>
                </c:pt>
                <c:pt idx="2">
                  <c:v>Irlanda (Eire)</c:v>
                </c:pt>
                <c:pt idx="3">
                  <c:v>Finlandia</c:v>
                </c:pt>
                <c:pt idx="4">
                  <c:v>Resto del Mundo</c:v>
                </c:pt>
                <c:pt idx="5">
                  <c:v>Dinamarca</c:v>
                </c:pt>
                <c:pt idx="6">
                  <c:v>Todos los países</c:v>
                </c:pt>
                <c:pt idx="7">
                  <c:v>Italia</c:v>
                </c:pt>
                <c:pt idx="8">
                  <c:v>Total nórdicos</c:v>
                </c:pt>
                <c:pt idx="9">
                  <c:v>Suiza + Austria</c:v>
                </c:pt>
                <c:pt idx="10">
                  <c:v>Suecia</c:v>
                </c:pt>
                <c:pt idx="11">
                  <c:v>España</c:v>
                </c:pt>
                <c:pt idx="12">
                  <c:v>Bélgica</c:v>
                </c:pt>
                <c:pt idx="13">
                  <c:v>Alemania</c:v>
                </c:pt>
                <c:pt idx="14">
                  <c:v>Holanda</c:v>
                </c:pt>
                <c:pt idx="15">
                  <c:v>Noruega</c:v>
                </c:pt>
                <c:pt idx="16">
                  <c:v>Francia</c:v>
                </c:pt>
              </c:strCache>
            </c:strRef>
          </c:cat>
          <c:val>
            <c:numRef>
              <c:f>'satisfacción nacionalidad '!$J$5:$J$21</c:f>
              <c:numCache>
                <c:formatCode>0.00</c:formatCode>
                <c:ptCount val="17"/>
                <c:pt idx="0">
                  <c:v>0.10373154362416592</c:v>
                </c:pt>
                <c:pt idx="1">
                  <c:v>4.4912986223122786E-2</c:v>
                </c:pt>
                <c:pt idx="2">
                  <c:v>0.2064935064935014</c:v>
                </c:pt>
                <c:pt idx="3">
                  <c:v>0.15551282051283088</c:v>
                </c:pt>
                <c:pt idx="4">
                  <c:v>0.22940527283875234</c:v>
                </c:pt>
                <c:pt idx="5">
                  <c:v>9.9512356393082868E-2</c:v>
                </c:pt>
                <c:pt idx="6">
                  <c:v>5.5073049382123429E-2</c:v>
                </c:pt>
                <c:pt idx="7">
                  <c:v>-8.6664482306685997E-2</c:v>
                </c:pt>
                <c:pt idx="8">
                  <c:v>3.6581091737497573E-2</c:v>
                </c:pt>
                <c:pt idx="9">
                  <c:v>-2.5641025641020221E-2</c:v>
                </c:pt>
                <c:pt idx="10">
                  <c:v>6.8435754189946962E-2</c:v>
                </c:pt>
                <c:pt idx="11">
                  <c:v>8.1216216216198234E-2</c:v>
                </c:pt>
                <c:pt idx="12">
                  <c:v>-4.870157156064181E-2</c:v>
                </c:pt>
                <c:pt idx="13">
                  <c:v>-2.7814716312045462E-2</c:v>
                </c:pt>
                <c:pt idx="14">
                  <c:v>0.18541240627130406</c:v>
                </c:pt>
                <c:pt idx="15">
                  <c:v>-3.0443828016647245E-2</c:v>
                </c:pt>
                <c:pt idx="16">
                  <c:v>2.2729915126156186E-2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99872"/>
        <c:axId val="156156480"/>
      </c:barChart>
      <c:catAx>
        <c:axId val="158797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8292736"/>
        <c:crosses val="autoZero"/>
        <c:auto val="1"/>
        <c:lblAlgn val="ctr"/>
        <c:lblOffset val="100"/>
        <c:noMultiLvlLbl val="0"/>
      </c:catAx>
      <c:valAx>
        <c:axId val="158292736"/>
        <c:scaling>
          <c:orientation val="minMax"/>
        </c:scaling>
        <c:delete val="1"/>
        <c:axPos val="t"/>
        <c:numFmt formatCode="0.00" sourceLinked="1"/>
        <c:majorTickMark val="out"/>
        <c:minorTickMark val="none"/>
        <c:tickLblPos val="none"/>
        <c:crossAx val="158797824"/>
        <c:crosses val="autoZero"/>
        <c:crossBetween val="between"/>
      </c:valAx>
      <c:valAx>
        <c:axId val="15615648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58799872"/>
        <c:crosses val="max"/>
        <c:crossBetween val="between"/>
      </c:valAx>
      <c:catAx>
        <c:axId val="158799872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156156480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6195575129380338"/>
          <c:y val="9.8456716573371073E-2"/>
          <c:w val="0.44023400411971075"/>
          <c:h val="6.2876450527027034E-2"/>
        </c:manualLayout>
      </c:layout>
      <c:overlay val="0"/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DISTRIBUCIÓN DE LOS TURISTAS SEGÚN RENTA MEDIA FAMILIAR (%)</a:t>
            </a:r>
            <a:endParaRPr lang="en-US"/>
          </a:p>
        </c:rich>
      </c:tx>
      <c:layout>
        <c:manualLayout>
          <c:xMode val="edge"/>
          <c:yMode val="edge"/>
          <c:x val="0.119987783345263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82663581100421"/>
          <c:y val="0.22142950649687321"/>
          <c:w val="0.75094590070881184"/>
          <c:h val="0.705178059639112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'renta media'!$E$4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200"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'renta media'!$C$5:$C$12</c:f>
              <c:strCache>
                <c:ptCount val="8"/>
                <c:pt idx="0">
                  <c:v>12.000 € y menos</c:v>
                </c:pt>
                <c:pt idx="1">
                  <c:v>12.001 - 18.000 €</c:v>
                </c:pt>
                <c:pt idx="2">
                  <c:v>18.001 - 24.000 €</c:v>
                </c:pt>
                <c:pt idx="3">
                  <c:v>24.001 - 36.000 €</c:v>
                </c:pt>
                <c:pt idx="4">
                  <c:v>36.001 - 45.000 €</c:v>
                </c:pt>
                <c:pt idx="5">
                  <c:v>45.001 - 66.000 €</c:v>
                </c:pt>
                <c:pt idx="6">
                  <c:v>66.001 - 84.000 €</c:v>
                </c:pt>
                <c:pt idx="7">
                  <c:v>Más de 84.000 €</c:v>
                </c:pt>
              </c:strCache>
            </c:strRef>
          </c:cat>
          <c:val>
            <c:numRef>
              <c:f>'renta media'!$E$5:$E$12</c:f>
              <c:numCache>
                <c:formatCode>0.0</c:formatCode>
                <c:ptCount val="8"/>
                <c:pt idx="0">
                  <c:v>4.4636363636363638</c:v>
                </c:pt>
                <c:pt idx="1">
                  <c:v>5.4727272727272727</c:v>
                </c:pt>
                <c:pt idx="2">
                  <c:v>7.3272727272727272</c:v>
                </c:pt>
                <c:pt idx="3">
                  <c:v>13.072727272727272</c:v>
                </c:pt>
                <c:pt idx="4">
                  <c:v>12.145454545454545</c:v>
                </c:pt>
                <c:pt idx="5">
                  <c:v>17.254545454545454</c:v>
                </c:pt>
                <c:pt idx="6">
                  <c:v>9.709090909090909</c:v>
                </c:pt>
                <c:pt idx="7">
                  <c:v>13.636363636363637</c:v>
                </c:pt>
              </c:numCache>
            </c:numRef>
          </c:val>
        </c:ser>
        <c:ser>
          <c:idx val="1"/>
          <c:order val="1"/>
          <c:tx>
            <c:strRef>
              <c:f>'ACOMPAÑANTES '!$H$27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'renta media'!$C$5:$C$12</c:f>
              <c:strCache>
                <c:ptCount val="8"/>
                <c:pt idx="0">
                  <c:v>12.000 € y menos</c:v>
                </c:pt>
                <c:pt idx="1">
                  <c:v>12.001 - 18.000 €</c:v>
                </c:pt>
                <c:pt idx="2">
                  <c:v>18.001 - 24.000 €</c:v>
                </c:pt>
                <c:pt idx="3">
                  <c:v>24.001 - 36.000 €</c:v>
                </c:pt>
                <c:pt idx="4">
                  <c:v>36.001 - 45.000 €</c:v>
                </c:pt>
                <c:pt idx="5">
                  <c:v>45.001 - 66.000 €</c:v>
                </c:pt>
                <c:pt idx="6">
                  <c:v>66.001 - 84.000 €</c:v>
                </c:pt>
                <c:pt idx="7">
                  <c:v>Más de 84.000 €</c:v>
                </c:pt>
              </c:strCache>
            </c:strRef>
          </c:cat>
          <c:val>
            <c:numRef>
              <c:f>'renta media'!$D$5:$D$12</c:f>
              <c:numCache>
                <c:formatCode>0.0</c:formatCode>
                <c:ptCount val="8"/>
                <c:pt idx="0">
                  <c:v>4.5636363636363635</c:v>
                </c:pt>
                <c:pt idx="1">
                  <c:v>5.6181818181818182</c:v>
                </c:pt>
                <c:pt idx="2">
                  <c:v>7.2545454545454549</c:v>
                </c:pt>
                <c:pt idx="3">
                  <c:v>13.681818181818182</c:v>
                </c:pt>
                <c:pt idx="4">
                  <c:v>11.836363636363636</c:v>
                </c:pt>
                <c:pt idx="5">
                  <c:v>16.754545454545454</c:v>
                </c:pt>
                <c:pt idx="6">
                  <c:v>9.4</c:v>
                </c:pt>
                <c:pt idx="7">
                  <c:v>13.818181818181818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-3"/>
        <c:axId val="132089344"/>
        <c:axId val="128508480"/>
      </c:barChart>
      <c:barChart>
        <c:barDir val="bar"/>
        <c:grouping val="clustered"/>
        <c:varyColors val="0"/>
        <c:ser>
          <c:idx val="3"/>
          <c:order val="2"/>
          <c:tx>
            <c:strRef>
              <c:f>'renta media'!$F$4</c:f>
              <c:strCache>
                <c:ptCount val="1"/>
                <c:pt idx="0">
                  <c:v>var.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Lbls>
            <c:spPr>
              <a:solidFill>
                <a:schemeClr val="bg1">
                  <a:lumMod val="8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'renta media'!$C$5:$C$12</c:f>
              <c:strCache>
                <c:ptCount val="8"/>
                <c:pt idx="0">
                  <c:v>12.000 € y menos</c:v>
                </c:pt>
                <c:pt idx="1">
                  <c:v>12.001 - 18.000 €</c:v>
                </c:pt>
                <c:pt idx="2">
                  <c:v>18.001 - 24.000 €</c:v>
                </c:pt>
                <c:pt idx="3">
                  <c:v>24.001 - 36.000 €</c:v>
                </c:pt>
                <c:pt idx="4">
                  <c:v>36.001 - 45.000 €</c:v>
                </c:pt>
                <c:pt idx="5">
                  <c:v>45.001 - 66.000 €</c:v>
                </c:pt>
                <c:pt idx="6">
                  <c:v>66.001 - 84.000 €</c:v>
                </c:pt>
                <c:pt idx="7">
                  <c:v>Más de 84.000 €</c:v>
                </c:pt>
              </c:strCache>
            </c:strRef>
          </c:cat>
          <c:val>
            <c:numRef>
              <c:f>'renta media'!$F$5:$F$12</c:f>
              <c:numCache>
                <c:formatCode>0.0%</c:formatCode>
                <c:ptCount val="8"/>
                <c:pt idx="0">
                  <c:v>-2.1912350597609431E-2</c:v>
                </c:pt>
                <c:pt idx="1">
                  <c:v>-2.5889967637540479E-2</c:v>
                </c:pt>
                <c:pt idx="2">
                  <c:v>1.0025062656641603E-2</c:v>
                </c:pt>
                <c:pt idx="3">
                  <c:v>-4.4518272425249195E-2</c:v>
                </c:pt>
                <c:pt idx="4">
                  <c:v>2.611367127496167E-2</c:v>
                </c:pt>
                <c:pt idx="5">
                  <c:v>2.9842647856755278E-2</c:v>
                </c:pt>
                <c:pt idx="6">
                  <c:v>3.2882011605415817E-2</c:v>
                </c:pt>
                <c:pt idx="7">
                  <c:v>-1.3157894736842146E-2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4"/>
        <c:axId val="132089856"/>
        <c:axId val="128509056"/>
      </c:barChart>
      <c:catAx>
        <c:axId val="132089344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 b="0"/>
            </a:pPr>
            <a:endParaRPr lang="es-ES"/>
          </a:p>
        </c:txPr>
        <c:crossAx val="128508480"/>
        <c:crosses val="autoZero"/>
        <c:auto val="1"/>
        <c:lblAlgn val="ctr"/>
        <c:lblOffset val="100"/>
        <c:noMultiLvlLbl val="0"/>
      </c:catAx>
      <c:valAx>
        <c:axId val="128508480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32089344"/>
        <c:crosses val="autoZero"/>
        <c:crossBetween val="between"/>
      </c:valAx>
      <c:valAx>
        <c:axId val="128509056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32089856"/>
        <c:crosses val="autoZero"/>
        <c:crossBetween val="between"/>
      </c:valAx>
      <c:catAx>
        <c:axId val="132089856"/>
        <c:scaling>
          <c:orientation val="maxMin"/>
        </c:scaling>
        <c:delete val="1"/>
        <c:axPos val="r"/>
        <c:majorTickMark val="out"/>
        <c:minorTickMark val="none"/>
        <c:tickLblPos val="none"/>
        <c:crossAx val="128509056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2422863808690591"/>
          <c:y val="0.12889508095782323"/>
          <c:w val="0.60698624802971624"/>
          <c:h val="3.8971428220467022E-2"/>
        </c:manualLayout>
      </c:layout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64480214338294"/>
          <c:y val="0.15634248999284486"/>
          <c:w val="0.78449305669094493"/>
          <c:h val="0.7962467110272775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'GRAFICO RENTA X NACIONAL'!$E$8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1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2558871771611815E-2"/>
                  <c:y val="-2.28877876943533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558871771611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558871771611815E-2"/>
                  <c:y val="2.4968784104754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27943588580619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465726476343173E-2"/>
                  <c:y val="-4.57755753887030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4657264763431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558871771611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7451623621490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558871771611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558871771611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0465726476343173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652017066880442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2558871771611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25588717716118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2558871771611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 RENTA X NACIONAL'!$D$9:$D$26</c:f>
              <c:strCache>
                <c:ptCount val="18"/>
                <c:pt idx="0">
                  <c:v>Noruega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Suiza + Austria</c:v>
                </c:pt>
                <c:pt idx="4">
                  <c:v>Irlanda </c:v>
                </c:pt>
                <c:pt idx="5">
                  <c:v>Finlandia</c:v>
                </c:pt>
                <c:pt idx="6">
                  <c:v>Suecia</c:v>
                </c:pt>
                <c:pt idx="7">
                  <c:v>Holanda</c:v>
                </c:pt>
                <c:pt idx="8">
                  <c:v>Reino Unido</c:v>
                </c:pt>
                <c:pt idx="9">
                  <c:v>Alemania</c:v>
                </c:pt>
                <c:pt idx="10">
                  <c:v>Bélgica</c:v>
                </c:pt>
                <c:pt idx="11">
                  <c:v>Todos los países</c:v>
                </c:pt>
                <c:pt idx="12">
                  <c:v>Francia</c:v>
                </c:pt>
                <c:pt idx="13">
                  <c:v>Canarias</c:v>
                </c:pt>
                <c:pt idx="14">
                  <c:v>Italia</c:v>
                </c:pt>
                <c:pt idx="15">
                  <c:v>España</c:v>
                </c:pt>
                <c:pt idx="16">
                  <c:v>Península</c:v>
                </c:pt>
                <c:pt idx="17">
                  <c:v>Rusia</c:v>
                </c:pt>
              </c:strCache>
            </c:strRef>
          </c:cat>
          <c:val>
            <c:numRef>
              <c:f>'GRAFICO RENTA X NACIONAL'!$E$9:$E$26</c:f>
              <c:numCache>
                <c:formatCode>General</c:formatCode>
                <c:ptCount val="18"/>
                <c:pt idx="0">
                  <c:v>78653.061224489808</c:v>
                </c:pt>
                <c:pt idx="1">
                  <c:v>72010.92896174865</c:v>
                </c:pt>
                <c:pt idx="2">
                  <c:v>66341.145833333314</c:v>
                </c:pt>
                <c:pt idx="3">
                  <c:v>63437.086092715217</c:v>
                </c:pt>
                <c:pt idx="4">
                  <c:v>61424.460431654661</c:v>
                </c:pt>
                <c:pt idx="5">
                  <c:v>61391.666666666693</c:v>
                </c:pt>
                <c:pt idx="6">
                  <c:v>59705.27859237534</c:v>
                </c:pt>
                <c:pt idx="7">
                  <c:v>59260.377358490579</c:v>
                </c:pt>
                <c:pt idx="8">
                  <c:v>56035.883194278838</c:v>
                </c:pt>
                <c:pt idx="9">
                  <c:v>54469.863013698625</c:v>
                </c:pt>
                <c:pt idx="10">
                  <c:v>53934.262948207128</c:v>
                </c:pt>
                <c:pt idx="11">
                  <c:v>51676.159754896507</c:v>
                </c:pt>
                <c:pt idx="12">
                  <c:v>51415.064102564094</c:v>
                </c:pt>
                <c:pt idx="13">
                  <c:v>40445.312500000007</c:v>
                </c:pt>
                <c:pt idx="14">
                  <c:v>38684.89583333335</c:v>
                </c:pt>
                <c:pt idx="15">
                  <c:v>37630.283729009891</c:v>
                </c:pt>
                <c:pt idx="16">
                  <c:v>37521.948286229766</c:v>
                </c:pt>
                <c:pt idx="17">
                  <c:v>30593.309859154931</c:v>
                </c:pt>
              </c:numCache>
            </c:numRef>
          </c:val>
        </c:ser>
        <c:ser>
          <c:idx val="0"/>
          <c:order val="1"/>
          <c:tx>
            <c:strRef>
              <c:f>'GRAFICO RENTA X NACIONAL'!$F$8</c:f>
              <c:strCache>
                <c:ptCount val="1"/>
                <c:pt idx="0">
                  <c:v>var.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8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1"/>
            </a:gradFill>
          </c:spPr>
          <c:invertIfNegative val="0"/>
          <c:dLbls>
            <c:dLbl>
              <c:idx val="6"/>
              <c:layout>
                <c:manualLayout>
                  <c:x val="-7.5511286724217419E-2"/>
                  <c:y val="2.23338877530457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7.551128672421732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1"/>
              </a:gradFill>
            </c:spPr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 RENTA X NACIONAL'!$D$9:$D$26</c:f>
              <c:strCache>
                <c:ptCount val="18"/>
                <c:pt idx="0">
                  <c:v>Noruega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Suiza + Austria</c:v>
                </c:pt>
                <c:pt idx="4">
                  <c:v>Irlanda </c:v>
                </c:pt>
                <c:pt idx="5">
                  <c:v>Finlandia</c:v>
                </c:pt>
                <c:pt idx="6">
                  <c:v>Suecia</c:v>
                </c:pt>
                <c:pt idx="7">
                  <c:v>Holanda</c:v>
                </c:pt>
                <c:pt idx="8">
                  <c:v>Reino Unido</c:v>
                </c:pt>
                <c:pt idx="9">
                  <c:v>Alemania</c:v>
                </c:pt>
                <c:pt idx="10">
                  <c:v>Bélgica</c:v>
                </c:pt>
                <c:pt idx="11">
                  <c:v>Todos los países</c:v>
                </c:pt>
                <c:pt idx="12">
                  <c:v>Francia</c:v>
                </c:pt>
                <c:pt idx="13">
                  <c:v>Canarias</c:v>
                </c:pt>
                <c:pt idx="14">
                  <c:v>Italia</c:v>
                </c:pt>
                <c:pt idx="15">
                  <c:v>España</c:v>
                </c:pt>
                <c:pt idx="16">
                  <c:v>Península</c:v>
                </c:pt>
                <c:pt idx="17">
                  <c:v>Rusia</c:v>
                </c:pt>
              </c:strCache>
            </c:strRef>
          </c:cat>
          <c:val>
            <c:numRef>
              <c:f>'GRAFICO RENTA X NACIONAL'!$F$9:$F$26</c:f>
              <c:numCache>
                <c:formatCode>General</c:formatCode>
                <c:ptCount val="18"/>
                <c:pt idx="0">
                  <c:v>2.1915299493522777E-2</c:v>
                </c:pt>
                <c:pt idx="1">
                  <c:v>1.5398007463681251E-2</c:v>
                </c:pt>
                <c:pt idx="2">
                  <c:v>1.0892599146385518E-2</c:v>
                </c:pt>
                <c:pt idx="3">
                  <c:v>4.9654302537446515E-2</c:v>
                </c:pt>
                <c:pt idx="4">
                  <c:v>0.12336362605930051</c:v>
                </c:pt>
                <c:pt idx="5">
                  <c:v>1.4567172568859199E-2</c:v>
                </c:pt>
                <c:pt idx="6">
                  <c:v>-1.7415639753677326E-3</c:v>
                </c:pt>
                <c:pt idx="7">
                  <c:v>-2.9172453507672502E-2</c:v>
                </c:pt>
                <c:pt idx="8">
                  <c:v>8.3512793645018624E-2</c:v>
                </c:pt>
                <c:pt idx="9">
                  <c:v>4.2837485016939958E-3</c:v>
                </c:pt>
                <c:pt idx="10">
                  <c:v>6.4283465683825591E-2</c:v>
                </c:pt>
                <c:pt idx="11">
                  <c:v>3.2390526200560377E-2</c:v>
                </c:pt>
                <c:pt idx="12">
                  <c:v>7.6302287611310859E-2</c:v>
                </c:pt>
                <c:pt idx="13">
                  <c:v>0.39099800222536962</c:v>
                </c:pt>
                <c:pt idx="14">
                  <c:v>-1.1036137701096016E-2</c:v>
                </c:pt>
                <c:pt idx="15">
                  <c:v>-2.7109562598582326E-2</c:v>
                </c:pt>
                <c:pt idx="16">
                  <c:v>-4.1756321350755687E-2</c:v>
                </c:pt>
                <c:pt idx="17">
                  <c:v>-4.4094848883101112E-2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8552960"/>
        <c:axId val="128512512"/>
      </c:barChart>
      <c:catAx>
        <c:axId val="128552960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b="0"/>
            </a:pPr>
            <a:endParaRPr lang="es-ES"/>
          </a:p>
        </c:txPr>
        <c:crossAx val="128512512"/>
        <c:crosses val="autoZero"/>
        <c:auto val="1"/>
        <c:lblAlgn val="ctr"/>
        <c:lblOffset val="100"/>
        <c:noMultiLvlLbl val="0"/>
      </c:catAx>
      <c:valAx>
        <c:axId val="1285125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1285529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004400549557765"/>
          <c:y val="0.10050249488870514"/>
          <c:w val="0.62407604940745853"/>
          <c:h val="5.1186984583990014E-2"/>
        </c:manualLayout>
      </c:layout>
      <c:overlay val="0"/>
      <c:txPr>
        <a:bodyPr/>
        <a:lstStyle/>
        <a:p>
          <a:pPr>
            <a:defRPr sz="1400" b="1">
              <a:solidFill>
                <a:srgbClr val="002060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RELACIÓN CON LOS ACOMPAÑANTES DE LOS TURISTAS EN TENERIFE (%)</a:t>
            </a:r>
          </a:p>
        </c:rich>
      </c:tx>
      <c:layout>
        <c:manualLayout>
          <c:xMode val="edge"/>
          <c:yMode val="edge"/>
          <c:x val="0.119987783345263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4816340780453042"/>
          <c:y val="0.15017681018412884"/>
          <c:w val="0.64357229454206211"/>
          <c:h val="0.783909627480278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'ACOMPAÑANTES '!$I$5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Sólo</c:v>
                </c:pt>
                <c:pt idx="4">
                  <c:v>Otros familiares</c:v>
                </c:pt>
                <c:pt idx="5">
                  <c:v>Con hijos/nietos (sin pareja)</c:v>
                </c:pt>
                <c:pt idx="6">
                  <c:v>Con madre y/o padre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'!$I$6:$I$15</c:f>
              <c:numCache>
                <c:formatCode>0.0</c:formatCode>
                <c:ptCount val="10"/>
                <c:pt idx="0">
                  <c:v>57.481818181818184</c:v>
                </c:pt>
                <c:pt idx="1">
                  <c:v>14.963636363636363</c:v>
                </c:pt>
                <c:pt idx="2">
                  <c:v>9.1454545454545446</c:v>
                </c:pt>
                <c:pt idx="3">
                  <c:v>5.5363636363636362</c:v>
                </c:pt>
                <c:pt idx="4">
                  <c:v>5.918181818181818</c:v>
                </c:pt>
                <c:pt idx="5">
                  <c:v>3.1363636363636362</c:v>
                </c:pt>
                <c:pt idx="6">
                  <c:v>2.0636363636363635</c:v>
                </c:pt>
                <c:pt idx="7">
                  <c:v>0.96363636363636362</c:v>
                </c:pt>
                <c:pt idx="8">
                  <c:v>18.099999999999998</c:v>
                </c:pt>
                <c:pt idx="9">
                  <c:v>0.79090909090909089</c:v>
                </c:pt>
              </c:numCache>
            </c:numRef>
          </c:val>
        </c:ser>
        <c:ser>
          <c:idx val="1"/>
          <c:order val="1"/>
          <c:tx>
            <c:strRef>
              <c:f>'ACOMPAÑANTES '!$H$5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Sólo</c:v>
                </c:pt>
                <c:pt idx="4">
                  <c:v>Otros familiares</c:v>
                </c:pt>
                <c:pt idx="5">
                  <c:v>Con hijos/nietos (sin pareja)</c:v>
                </c:pt>
                <c:pt idx="6">
                  <c:v>Con madre y/o padre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'!$H$6:$H$15</c:f>
              <c:numCache>
                <c:formatCode>0.0</c:formatCode>
                <c:ptCount val="10"/>
                <c:pt idx="0">
                  <c:v>53.690909090909088</c:v>
                </c:pt>
                <c:pt idx="1">
                  <c:v>17.381818181818183</c:v>
                </c:pt>
                <c:pt idx="2">
                  <c:v>9.5</c:v>
                </c:pt>
                <c:pt idx="3">
                  <c:v>5.4909090909090912</c:v>
                </c:pt>
                <c:pt idx="4">
                  <c:v>5.918181818181818</c:v>
                </c:pt>
                <c:pt idx="5">
                  <c:v>3.3909090909090911</c:v>
                </c:pt>
                <c:pt idx="6">
                  <c:v>2.8090909090909091</c:v>
                </c:pt>
                <c:pt idx="7">
                  <c:v>1.1272727272727272</c:v>
                </c:pt>
                <c:pt idx="8">
                  <c:v>20.772727272727273</c:v>
                </c:pt>
                <c:pt idx="9">
                  <c:v>0.69090909090909092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-6"/>
        <c:axId val="132416512"/>
        <c:axId val="128483328"/>
      </c:barChart>
      <c:barChart>
        <c:barDir val="bar"/>
        <c:grouping val="clustered"/>
        <c:varyColors val="0"/>
        <c:ser>
          <c:idx val="3"/>
          <c:order val="2"/>
          <c:tx>
            <c:strRef>
              <c:f>'ACOMPAÑANTES '!$N$5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Lbls>
            <c:dLbl>
              <c:idx val="3"/>
              <c:layout>
                <c:manualLayout>
                  <c:x val="8.888701764837903E-2"/>
                  <c:y val="1.7210963383675493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5444652861921914E-2"/>
                  <c:y val="1.7210963383675493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2031679836139074E-2"/>
                  <c:y val="-2.18579234972679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8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Sólo</c:v>
                </c:pt>
                <c:pt idx="4">
                  <c:v>Otros familiares</c:v>
                </c:pt>
                <c:pt idx="5">
                  <c:v>Con hijos/nietos (sin pareja)</c:v>
                </c:pt>
                <c:pt idx="6">
                  <c:v>Con madre y/o padre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'!$N$6:$N$15</c:f>
              <c:numCache>
                <c:formatCode>0.0%</c:formatCode>
                <c:ptCount val="10"/>
                <c:pt idx="0">
                  <c:v>7.0606163223840168E-2</c:v>
                </c:pt>
                <c:pt idx="1">
                  <c:v>-0.13912133891213396</c:v>
                </c:pt>
                <c:pt idx="2">
                  <c:v>-3.7320574162679532E-2</c:v>
                </c:pt>
                <c:pt idx="3">
                  <c:v>8.2781456953642252E-3</c:v>
                </c:pt>
                <c:pt idx="4">
                  <c:v>0</c:v>
                </c:pt>
                <c:pt idx="5">
                  <c:v>-7.5067024128686377E-2</c:v>
                </c:pt>
                <c:pt idx="6">
                  <c:v>-0.26537216828478971</c:v>
                </c:pt>
                <c:pt idx="7">
                  <c:v>-0.14516129032258063</c:v>
                </c:pt>
                <c:pt idx="8">
                  <c:v>-0.12866520787746183</c:v>
                </c:pt>
                <c:pt idx="9">
                  <c:v>0.14473684210526305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4"/>
        <c:axId val="132419072"/>
        <c:axId val="128483904"/>
      </c:barChart>
      <c:catAx>
        <c:axId val="132416512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128483328"/>
        <c:crosses val="autoZero"/>
        <c:auto val="1"/>
        <c:lblAlgn val="ctr"/>
        <c:lblOffset val="100"/>
        <c:noMultiLvlLbl val="0"/>
      </c:catAx>
      <c:valAx>
        <c:axId val="12848332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32416512"/>
        <c:crosses val="autoZero"/>
        <c:crossBetween val="between"/>
      </c:valAx>
      <c:valAx>
        <c:axId val="12848390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32419072"/>
        <c:crosses val="autoZero"/>
        <c:crossBetween val="between"/>
      </c:valAx>
      <c:catAx>
        <c:axId val="132419072"/>
        <c:scaling>
          <c:orientation val="maxMin"/>
        </c:scaling>
        <c:delete val="1"/>
        <c:axPos val="r"/>
        <c:majorTickMark val="out"/>
        <c:minorTickMark val="none"/>
        <c:tickLblPos val="none"/>
        <c:crossAx val="128483904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2422874288023106"/>
          <c:y val="0.10730290109201686"/>
          <c:w val="0.60698624802971624"/>
          <c:h val="3.8971428220467022E-2"/>
        </c:manualLayout>
      </c:layout>
      <c:overlay val="0"/>
      <c:txPr>
        <a:bodyPr/>
        <a:lstStyle/>
        <a:p>
          <a:pPr>
            <a:defRPr sz="1200"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DISTRIBUCIÓN POR RANGO DE EDAD DE LOS NIÑOS QUE VIAJAN EN GRUPOS A TENERIFE (%)</a:t>
            </a:r>
          </a:p>
        </c:rich>
      </c:tx>
      <c:layout>
        <c:manualLayout>
          <c:xMode val="edge"/>
          <c:yMode val="edge"/>
          <c:x val="0.119987783345263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382663581100421"/>
          <c:y val="0.22142950649687321"/>
          <c:w val="0.75094590070881184"/>
          <c:h val="0.705178059639112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'ACOMPAÑANTES '!$I$27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'ACOMPAÑANTES '!$C$29:$C$31</c:f>
              <c:strCache>
                <c:ptCount val="3"/>
                <c:pt idx="0">
                  <c:v>2 años y menos</c:v>
                </c:pt>
                <c:pt idx="1">
                  <c:v>3 a 7 años</c:v>
                </c:pt>
                <c:pt idx="2">
                  <c:v>más de 7 años</c:v>
                </c:pt>
              </c:strCache>
            </c:strRef>
          </c:cat>
          <c:val>
            <c:numRef>
              <c:f>'ACOMPAÑANTES '!$I$29:$I$31</c:f>
              <c:numCache>
                <c:formatCode>0.0</c:formatCode>
                <c:ptCount val="3"/>
                <c:pt idx="0">
                  <c:v>14.076399790685505</c:v>
                </c:pt>
                <c:pt idx="1">
                  <c:v>35.897435897435898</c:v>
                </c:pt>
                <c:pt idx="2">
                  <c:v>50.026164311878595</c:v>
                </c:pt>
              </c:numCache>
            </c:numRef>
          </c:val>
        </c:ser>
        <c:ser>
          <c:idx val="1"/>
          <c:order val="1"/>
          <c:tx>
            <c:strRef>
              <c:f>'ACOMPAÑANTES '!$H$27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'ACOMPAÑANTES '!$C$29:$C$31</c:f>
              <c:strCache>
                <c:ptCount val="3"/>
                <c:pt idx="0">
                  <c:v>2 años y menos</c:v>
                </c:pt>
                <c:pt idx="1">
                  <c:v>3 a 7 años</c:v>
                </c:pt>
                <c:pt idx="2">
                  <c:v>más de 7 años</c:v>
                </c:pt>
              </c:strCache>
            </c:strRef>
          </c:cat>
          <c:val>
            <c:numRef>
              <c:f>'ACOMPAÑANTES '!$H$29:$H$31</c:f>
              <c:numCache>
                <c:formatCode>0.0</c:formatCode>
                <c:ptCount val="3"/>
                <c:pt idx="0">
                  <c:v>13.723776223776223</c:v>
                </c:pt>
                <c:pt idx="1">
                  <c:v>34.87762237762238</c:v>
                </c:pt>
                <c:pt idx="2">
                  <c:v>51.3986013986014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-3"/>
        <c:axId val="134014464"/>
        <c:axId val="128486208"/>
      </c:barChart>
      <c:barChart>
        <c:barDir val="bar"/>
        <c:grouping val="clustered"/>
        <c:varyColors val="0"/>
        <c:ser>
          <c:idx val="3"/>
          <c:order val="2"/>
          <c:tx>
            <c:strRef>
              <c:f>'ACOMPAÑANTES '!$N$27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Lbls>
            <c:spPr>
              <a:solidFill>
                <a:schemeClr val="bg1">
                  <a:lumMod val="8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'ACOMPAÑANTES '!$C$29:$C$31</c:f>
              <c:strCache>
                <c:ptCount val="3"/>
                <c:pt idx="0">
                  <c:v>2 años y menos</c:v>
                </c:pt>
                <c:pt idx="1">
                  <c:v>3 a 7 años</c:v>
                </c:pt>
                <c:pt idx="2">
                  <c:v>más de 7 años</c:v>
                </c:pt>
              </c:strCache>
            </c:strRef>
          </c:cat>
          <c:val>
            <c:numRef>
              <c:f>'ACOMPAÑANTES '!$N$29:$N$31</c:f>
              <c:numCache>
                <c:formatCode>0.0%</c:formatCode>
                <c:ptCount val="3"/>
                <c:pt idx="0">
                  <c:v>2.5694354174790934E-2</c:v>
                </c:pt>
                <c:pt idx="1">
                  <c:v>2.9239766081871288E-2</c:v>
                </c:pt>
                <c:pt idx="2">
                  <c:v>-2.6701837197464107E-2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4"/>
        <c:axId val="134014976"/>
        <c:axId val="128486784"/>
      </c:barChart>
      <c:catAx>
        <c:axId val="134014464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es-ES"/>
          </a:p>
        </c:txPr>
        <c:crossAx val="128486208"/>
        <c:crosses val="autoZero"/>
        <c:auto val="1"/>
        <c:lblAlgn val="ctr"/>
        <c:lblOffset val="100"/>
        <c:noMultiLvlLbl val="0"/>
      </c:catAx>
      <c:valAx>
        <c:axId val="12848620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one"/>
        <c:crossAx val="134014464"/>
        <c:crosses val="autoZero"/>
        <c:crossBetween val="between"/>
      </c:valAx>
      <c:valAx>
        <c:axId val="12848678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34014976"/>
        <c:crosses val="autoZero"/>
        <c:crossBetween val="between"/>
      </c:valAx>
      <c:catAx>
        <c:axId val="134014976"/>
        <c:scaling>
          <c:orientation val="maxMin"/>
        </c:scaling>
        <c:delete val="1"/>
        <c:axPos val="r"/>
        <c:majorTickMark val="out"/>
        <c:minorTickMark val="none"/>
        <c:tickLblPos val="none"/>
        <c:crossAx val="128486784"/>
        <c:crosses val="max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2242286812115214"/>
          <c:y val="0.15010116328051587"/>
          <c:w val="0.60698624802971624"/>
          <c:h val="3.8971428220467022E-2"/>
        </c:manualLayout>
      </c:layout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5911224140460911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2090771262287881E-3"/>
          <c:y val="0.28910592704110333"/>
          <c:w val="0.95134659694255752"/>
          <c:h val="0.649920164800082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GASTO!$H$5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2.3640661938534278E-3"/>
                  <c:y val="2.8673841599377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825059101654845E-2"/>
                  <c:y val="5.7347683198754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\ [$€-81D]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GASTO!$C$6:$C$8</c:f>
              <c:strCache>
                <c:ptCount val="3"/>
                <c:pt idx="0">
                  <c:v>Gasto en origen</c:v>
                </c:pt>
                <c:pt idx="1">
                  <c:v>Gasto en destino</c:v>
                </c:pt>
                <c:pt idx="2">
                  <c:v>Gasto total</c:v>
                </c:pt>
              </c:strCache>
            </c:strRef>
          </c:cat>
          <c:val>
            <c:numRef>
              <c:f>GASTO!$H$6:$H$8</c:f>
              <c:numCache>
                <c:formatCode>#,##0.0</c:formatCode>
                <c:ptCount val="3"/>
                <c:pt idx="0">
                  <c:v>673.03015379474505</c:v>
                </c:pt>
                <c:pt idx="1">
                  <c:v>353.1865417631916</c:v>
                </c:pt>
                <c:pt idx="2">
                  <c:v>1021.9247090413413</c:v>
                </c:pt>
              </c:numCache>
            </c:numRef>
          </c:val>
        </c:ser>
        <c:ser>
          <c:idx val="0"/>
          <c:order val="1"/>
          <c:tx>
            <c:strRef>
              <c:f>GASTO!$I$5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4184397163120564E-2"/>
                  <c:y val="5.7347683198754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1843971631205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3687943262411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\ [$€-81D]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GASTO!$C$6:$C$8</c:f>
              <c:strCache>
                <c:ptCount val="3"/>
                <c:pt idx="0">
                  <c:v>Gasto en origen</c:v>
                </c:pt>
                <c:pt idx="1">
                  <c:v>Gasto en destino</c:v>
                </c:pt>
                <c:pt idx="2">
                  <c:v>Gasto total</c:v>
                </c:pt>
              </c:strCache>
            </c:strRef>
          </c:cat>
          <c:val>
            <c:numRef>
              <c:f>GASTO!$I$6:$I$8</c:f>
              <c:numCache>
                <c:formatCode>#,##0.0</c:formatCode>
                <c:ptCount val="3"/>
                <c:pt idx="0">
                  <c:v>696.13350341504815</c:v>
                </c:pt>
                <c:pt idx="1">
                  <c:v>353.00930777490129</c:v>
                </c:pt>
                <c:pt idx="2">
                  <c:v>1041.0728478350898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34201856"/>
        <c:axId val="131884160"/>
      </c:barChart>
      <c:barChart>
        <c:barDir val="col"/>
        <c:grouping val="clustered"/>
        <c:varyColors val="0"/>
        <c:ser>
          <c:idx val="2"/>
          <c:order val="2"/>
          <c:tx>
            <c:strRef>
              <c:f>GASTO!$N$5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0"/>
                  <c:y val="2.8834144178397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844720496894411E-3"/>
                  <c:y val="9.46239030562250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800" b="1">
                    <a:solidFill>
                      <a:srgbClr val="00206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GASTO!$N$6:$N$8</c:f>
              <c:numCache>
                <c:formatCode>0.0%</c:formatCode>
                <c:ptCount val="3"/>
                <c:pt idx="0">
                  <c:v>3.4327361842615201E-2</c:v>
                </c:pt>
                <c:pt idx="1">
                  <c:v>-5.0181410482263988E-4</c:v>
                </c:pt>
                <c:pt idx="2">
                  <c:v>1.8737328322074864E-2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3"/>
        <c:axId val="134202368"/>
        <c:axId val="131884736"/>
      </c:barChart>
      <c:catAx>
        <c:axId val="134201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31884160"/>
        <c:crosses val="autoZero"/>
        <c:auto val="1"/>
        <c:lblAlgn val="ctr"/>
        <c:lblOffset val="100"/>
        <c:noMultiLvlLbl val="0"/>
      </c:catAx>
      <c:valAx>
        <c:axId val="131884160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134201856"/>
        <c:crosses val="autoZero"/>
        <c:crossBetween val="between"/>
      </c:valAx>
      <c:valAx>
        <c:axId val="131884736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one"/>
        <c:crossAx val="134202368"/>
        <c:crosses val="max"/>
        <c:crossBetween val="between"/>
      </c:valAx>
      <c:catAx>
        <c:axId val="134202368"/>
        <c:scaling>
          <c:orientation val="minMax"/>
        </c:scaling>
        <c:delete val="1"/>
        <c:axPos val="b"/>
        <c:majorTickMark val="out"/>
        <c:minorTickMark val="none"/>
        <c:tickLblPos val="none"/>
        <c:crossAx val="1318847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3416149068322991"/>
          <c:y val="0.18059651634454785"/>
          <c:w val="0.81118012422360253"/>
          <c:h val="4.4697330381271112E-2"/>
        </c:manualLayout>
      </c:layout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/>
              <a:t>EVOLUCIÓN GASTO MEDIO DE LOS TURISTAS EN TENERIFE</a:t>
            </a:r>
          </a:p>
        </c:rich>
      </c:tx>
      <c:layout>
        <c:manualLayout>
          <c:xMode val="edge"/>
          <c:yMode val="edge"/>
          <c:x val="0.164081168958357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1.5631397343137621E-2"/>
          <c:y val="0.29881821884333432"/>
          <c:w val="0.95134659694255752"/>
          <c:h val="0.629825097293877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GASTO!$H$10</c:f>
              <c:strCache>
                <c:ptCount val="1"/>
                <c:pt idx="0">
                  <c:v>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\ [$€-81D]" sourceLinked="0"/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GASTO!$C$11:$C$13</c:f>
              <c:strCache>
                <c:ptCount val="3"/>
                <c:pt idx="0">
                  <c:v>Gasto en origen</c:v>
                </c:pt>
                <c:pt idx="1">
                  <c:v>Gasto en destino</c:v>
                </c:pt>
                <c:pt idx="2">
                  <c:v>Gasto total</c:v>
                </c:pt>
              </c:strCache>
            </c:strRef>
          </c:cat>
          <c:val>
            <c:numRef>
              <c:f>GASTO!$H$11:$H$13</c:f>
              <c:numCache>
                <c:formatCode>#,##0.0</c:formatCode>
                <c:ptCount val="3"/>
                <c:pt idx="0">
                  <c:v>71.295741495141186</c:v>
                </c:pt>
                <c:pt idx="1">
                  <c:v>37.557843731647338</c:v>
                </c:pt>
                <c:pt idx="2">
                  <c:v>108.46194764671914</c:v>
                </c:pt>
              </c:numCache>
            </c:numRef>
          </c:val>
        </c:ser>
        <c:ser>
          <c:idx val="0"/>
          <c:order val="1"/>
          <c:tx>
            <c:strRef>
              <c:f>GASTO!$I$10</c:f>
              <c:strCache>
                <c:ptCount val="1"/>
                <c:pt idx="0">
                  <c:v>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1926056197830583E-2"/>
                  <c:y val="5.2681383757324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9260561978305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3112674373966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\ [$€-81D]" sourceLinked="0"/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GASTO!$C$11:$C$13</c:f>
              <c:strCache>
                <c:ptCount val="3"/>
                <c:pt idx="0">
                  <c:v>Gasto en origen</c:v>
                </c:pt>
                <c:pt idx="1">
                  <c:v>Gasto en destino</c:v>
                </c:pt>
                <c:pt idx="2">
                  <c:v>Gasto total</c:v>
                </c:pt>
              </c:strCache>
            </c:strRef>
          </c:cat>
          <c:val>
            <c:numRef>
              <c:f>GASTO!$I$11:$I$13</c:f>
              <c:numCache>
                <c:formatCode>#,##0.0</c:formatCode>
                <c:ptCount val="3"/>
                <c:pt idx="0">
                  <c:v>73.835711246010717</c:v>
                </c:pt>
                <c:pt idx="1">
                  <c:v>37.539493044820354</c:v>
                </c:pt>
                <c:pt idx="2">
                  <c:v>110.49459790895513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7"/>
        <c:axId val="134204416"/>
        <c:axId val="131887040"/>
      </c:barChart>
      <c:barChart>
        <c:barDir val="col"/>
        <c:grouping val="clustered"/>
        <c:varyColors val="0"/>
        <c:ser>
          <c:idx val="2"/>
          <c:order val="2"/>
          <c:tx>
            <c:strRef>
              <c:f>GASTO!$N$10</c:f>
              <c:strCache>
                <c:ptCount val="1"/>
                <c:pt idx="0">
                  <c:v>var 12/11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Lbls>
            <c:dLbl>
              <c:idx val="1"/>
              <c:layout>
                <c:manualLayout>
                  <c:x val="8.6324292160324993E-17"/>
                  <c:y val="8.9083627477599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GASTO!$N$11:$N$13</c:f>
              <c:numCache>
                <c:formatCode>0.0%</c:formatCode>
                <c:ptCount val="3"/>
                <c:pt idx="0">
                  <c:v>3.562582697933836E-2</c:v>
                </c:pt>
                <c:pt idx="1">
                  <c:v>-4.8859798656442077E-4</c:v>
                </c:pt>
                <c:pt idx="2">
                  <c:v>1.8740676397004385E-2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3"/>
        <c:axId val="134204928"/>
        <c:axId val="131887616"/>
      </c:barChart>
      <c:catAx>
        <c:axId val="134204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1887040"/>
        <c:crosses val="autoZero"/>
        <c:auto val="1"/>
        <c:lblAlgn val="ctr"/>
        <c:lblOffset val="100"/>
        <c:noMultiLvlLbl val="0"/>
      </c:catAx>
      <c:valAx>
        <c:axId val="131887040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134204416"/>
        <c:crosses val="autoZero"/>
        <c:crossBetween val="between"/>
      </c:valAx>
      <c:valAx>
        <c:axId val="131887616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one"/>
        <c:crossAx val="134204928"/>
        <c:crosses val="max"/>
        <c:crossBetween val="between"/>
      </c:valAx>
      <c:catAx>
        <c:axId val="134204928"/>
        <c:scaling>
          <c:orientation val="minMax"/>
        </c:scaling>
        <c:delete val="1"/>
        <c:axPos val="b"/>
        <c:majorTickMark val="out"/>
        <c:minorTickMark val="none"/>
        <c:tickLblPos val="none"/>
        <c:crossAx val="1318876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3651309478016432"/>
          <c:y val="0.1921630916825052"/>
          <c:w val="0.81118012422360253"/>
          <c:h val="4.4697330381271112E-2"/>
        </c:manualLayout>
      </c:layout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8.xml"/><Relationship Id="rId4" Type="http://schemas.openxmlformats.org/officeDocument/2006/relationships/chart" Target="../charts/chart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5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2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5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444737</xdr:colOff>
      <xdr:row>4</xdr:row>
      <xdr:rowOff>44312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8100"/>
          <a:ext cx="1159112" cy="8825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57150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31</xdr:row>
      <xdr:rowOff>0</xdr:rowOff>
    </xdr:from>
    <xdr:to>
      <xdr:col>9</xdr:col>
      <xdr:colOff>558799</xdr:colOff>
      <xdr:row>33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6683375" y="76962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10</xdr:col>
      <xdr:colOff>323850</xdr:colOff>
      <xdr:row>1</xdr:row>
      <xdr:rowOff>466725</xdr:rowOff>
    </xdr:from>
    <xdr:to>
      <xdr:col>18</xdr:col>
      <xdr:colOff>600075</xdr:colOff>
      <xdr:row>19</xdr:row>
      <xdr:rowOff>495300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180975</xdr:colOff>
      <xdr:row>5</xdr:row>
      <xdr:rowOff>133350</xdr:rowOff>
    </xdr:from>
    <xdr:to>
      <xdr:col>17</xdr:col>
      <xdr:colOff>390524</xdr:colOff>
      <xdr:row>7</xdr:row>
      <xdr:rowOff>180975</xdr:rowOff>
    </xdr:to>
    <xdr:sp macro="" textlink="">
      <xdr:nvSpPr>
        <xdr:cNvPr id="5" name="4 CuadroTexto"/>
        <xdr:cNvSpPr txBox="1"/>
      </xdr:nvSpPr>
      <xdr:spPr>
        <a:xfrm>
          <a:off x="11553825" y="1771650"/>
          <a:ext cx="1733549" cy="4286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lang="es-ES" sz="1200">
              <a:ln>
                <a:noFill/>
              </a:ln>
              <a:solidFill>
                <a:schemeClr val="tx2"/>
              </a:solidFill>
            </a:rPr>
            <a:t>Renta media: 50.054,9€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0.04309</cdr:x>
      <cdr:y>0.91408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575" y="5302327"/>
          <a:ext cx="5374559" cy="498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47</xdr:row>
      <xdr:rowOff>0</xdr:rowOff>
    </xdr:from>
    <xdr:to>
      <xdr:col>9</xdr:col>
      <xdr:colOff>730249</xdr:colOff>
      <xdr:row>72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848600" y="10467975"/>
          <a:ext cx="4444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43</xdr:row>
      <xdr:rowOff>123825</xdr:rowOff>
    </xdr:from>
    <xdr:to>
      <xdr:col>10</xdr:col>
      <xdr:colOff>685799</xdr:colOff>
      <xdr:row>45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915275" y="69627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352425</xdr:colOff>
      <xdr:row>5</xdr:row>
      <xdr:rowOff>3175</xdr:rowOff>
    </xdr:from>
    <xdr:to>
      <xdr:col>10</xdr:col>
      <xdr:colOff>139699</xdr:colOff>
      <xdr:row>40</xdr:row>
      <xdr:rowOff>22226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0.00785</cdr:x>
      <cdr:y>0</cdr:y>
    </cdr:from>
    <cdr:to>
      <cdr:x>1</cdr:x>
      <cdr:y>0.10553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7629" y="0"/>
          <a:ext cx="601979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600" b="1">
              <a:solidFill>
                <a:schemeClr val="tx2">
                  <a:lumMod val="75000"/>
                </a:schemeClr>
              </a:solidFill>
            </a:rPr>
            <a:t>RENTA MEDIA FAMILIAR DE LOS TURISTAS DE TENERIFE SEGÚN MERCADOS </a:t>
          </a:r>
        </a:p>
      </cdr:txBody>
    </cdr:sp>
  </cdr:relSizeAnchor>
  <cdr:relSizeAnchor xmlns:cdr="http://schemas.openxmlformats.org/drawingml/2006/chartDrawing">
    <cdr:from>
      <cdr:x>0</cdr:x>
      <cdr:y>0.9738</cdr:y>
    </cdr:from>
    <cdr:to>
      <cdr:x>0.94682</cdr:x>
      <cdr:y>0.99703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29250"/>
          <a:ext cx="5741752" cy="1294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17</xdr:row>
      <xdr:rowOff>66675</xdr:rowOff>
    </xdr:from>
    <xdr:to>
      <xdr:col>8</xdr:col>
      <xdr:colOff>533399</xdr:colOff>
      <xdr:row>19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6229350" y="4114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28</xdr:row>
      <xdr:rowOff>63500</xdr:rowOff>
    </xdr:from>
    <xdr:to>
      <xdr:col>0</xdr:col>
      <xdr:colOff>717549</xdr:colOff>
      <xdr:row>30</xdr:row>
      <xdr:rowOff>92075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269875" y="4559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22225</xdr:colOff>
      <xdr:row>5</xdr:row>
      <xdr:rowOff>123825</xdr:rowOff>
    </xdr:from>
    <xdr:to>
      <xdr:col>6</xdr:col>
      <xdr:colOff>400052</xdr:colOff>
      <xdr:row>42</xdr:row>
      <xdr:rowOff>85725</xdr:rowOff>
    </xdr:to>
    <xdr:grpSp>
      <xdr:nvGrpSpPr>
        <xdr:cNvPr id="4" name="3 Grupo"/>
        <xdr:cNvGrpSpPr/>
      </xdr:nvGrpSpPr>
      <xdr:grpSpPr>
        <a:xfrm>
          <a:off x="784225" y="1038225"/>
          <a:ext cx="5854702" cy="5810250"/>
          <a:chOff x="-900343" y="376544"/>
          <a:chExt cx="5616577" cy="5800725"/>
        </a:xfrm>
      </xdr:grpSpPr>
      <xdr:graphicFrame macro="">
        <xdr:nvGraphicFramePr>
          <xdr:cNvPr id="5" name="4 Gráfico"/>
          <xdr:cNvGraphicFramePr/>
        </xdr:nvGraphicFramePr>
        <xdr:xfrm>
          <a:off x="-900343" y="376544"/>
          <a:ext cx="5616577" cy="5800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5 Rectángulo"/>
          <xdr:cNvSpPr/>
        </xdr:nvSpPr>
        <xdr:spPr>
          <a:xfrm>
            <a:off x="-779029" y="4888642"/>
            <a:ext cx="5239409" cy="438657"/>
          </a:xfrm>
          <a:prstGeom prst="rect">
            <a:avLst/>
          </a:prstGeom>
          <a:solidFill>
            <a:schemeClr val="accent1">
              <a:alpha val="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ES" sz="1100"/>
          </a:p>
        </xdr:txBody>
      </xdr:sp>
    </xdr:grpSp>
    <xdr:clientData/>
  </xdr:twoCellAnchor>
  <xdr:twoCellAnchor>
    <xdr:from>
      <xdr:col>6</xdr:col>
      <xdr:colOff>600075</xdr:colOff>
      <xdr:row>9</xdr:row>
      <xdr:rowOff>95250</xdr:rowOff>
    </xdr:from>
    <xdr:to>
      <xdr:col>13</xdr:col>
      <xdr:colOff>419100</xdr:colOff>
      <xdr:row>34</xdr:row>
      <xdr:rowOff>47625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0.0065</cdr:x>
      <cdr:y>0.94533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03" y="5489575"/>
          <a:ext cx="5822949" cy="317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* Turismo familiar= Pareja e hijos + Con hijos/nietos (sin pareja)</a:t>
          </a:r>
        </a:p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0.04309</cdr:x>
      <cdr:y>0.91408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575" y="5302327"/>
          <a:ext cx="5374559" cy="498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1</xdr:row>
      <xdr:rowOff>381000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9525</xdr:rowOff>
    </xdr:from>
    <xdr:to>
      <xdr:col>4</xdr:col>
      <xdr:colOff>200024</xdr:colOff>
      <xdr:row>17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2743200" y="40576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73262</xdr:colOff>
      <xdr:row>1</xdr:row>
      <xdr:rowOff>723900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14</xdr:row>
      <xdr:rowOff>19050</xdr:rowOff>
    </xdr:from>
    <xdr:to>
      <xdr:col>7</xdr:col>
      <xdr:colOff>385417</xdr:colOff>
      <xdr:row>27</xdr:row>
      <xdr:rowOff>47624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4800600" y="3771900"/>
          <a:ext cx="452092" cy="352424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</xdr:row>
      <xdr:rowOff>57149</xdr:rowOff>
    </xdr:from>
    <xdr:to>
      <xdr:col>9</xdr:col>
      <xdr:colOff>314325</xdr:colOff>
      <xdr:row>30</xdr:row>
      <xdr:rowOff>152398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33</xdr:row>
      <xdr:rowOff>0</xdr:rowOff>
    </xdr:from>
    <xdr:to>
      <xdr:col>10</xdr:col>
      <xdr:colOff>581024</xdr:colOff>
      <xdr:row>35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2" tooltip="INICIO"/>
        </xdr:cNvPr>
        <xdr:cNvSpPr>
          <a:spLocks noChangeAspect="1"/>
        </xdr:cNvSpPr>
      </xdr:nvSpPr>
      <xdr:spPr>
        <a:xfrm>
          <a:off x="7562850" y="5457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200025</xdr:colOff>
      <xdr:row>4</xdr:row>
      <xdr:rowOff>57150</xdr:rowOff>
    </xdr:from>
    <xdr:to>
      <xdr:col>16</xdr:col>
      <xdr:colOff>400051</xdr:colOff>
      <xdr:row>30</xdr:row>
      <xdr:rowOff>174624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7.45931E-17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3914380"/>
          <a:ext cx="5111750" cy="19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5332" y="468778"/>
          <a:ext cx="1590113" cy="3869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01861"/>
          <a:ext cx="4991100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0.76119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168950" y="467770"/>
          <a:ext cx="1937156" cy="386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(euros/persona/día)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178037</xdr:colOff>
      <xdr:row>2</xdr:row>
      <xdr:rowOff>276225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27</xdr:row>
      <xdr:rowOff>19050</xdr:rowOff>
    </xdr:from>
    <xdr:to>
      <xdr:col>2</xdr:col>
      <xdr:colOff>571499</xdr:colOff>
      <xdr:row>106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2085975" y="58102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1</xdr:colOff>
      <xdr:row>28</xdr:row>
      <xdr:rowOff>114300</xdr:rowOff>
    </xdr:from>
    <xdr:to>
      <xdr:col>41</xdr:col>
      <xdr:colOff>323850</xdr:colOff>
      <xdr:row>156</xdr:row>
      <xdr:rowOff>142875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0.97582</cdr:y>
    </cdr:from>
    <cdr:to>
      <cdr:x>0.69274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781925"/>
          <a:ext cx="5146676" cy="190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38100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17</xdr:col>
      <xdr:colOff>457200</xdr:colOff>
      <xdr:row>21</xdr:row>
      <xdr:rowOff>104775</xdr:rowOff>
    </xdr:from>
    <xdr:to>
      <xdr:col>18</xdr:col>
      <xdr:colOff>228599</xdr:colOff>
      <xdr:row>23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11763375" y="45339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85725</xdr:rowOff>
    </xdr:from>
    <xdr:to>
      <xdr:col>9</xdr:col>
      <xdr:colOff>800100</xdr:colOff>
      <xdr:row>49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45</xdr:row>
      <xdr:rowOff>38100</xdr:rowOff>
    </xdr:from>
    <xdr:to>
      <xdr:col>11</xdr:col>
      <xdr:colOff>657224</xdr:colOff>
      <xdr:row>47</xdr:row>
      <xdr:rowOff>66675</xdr:rowOff>
    </xdr:to>
    <xdr:sp macro="" textlink="">
      <xdr:nvSpPr>
        <xdr:cNvPr id="4" name="3 Flecha izquierda">
          <a:hlinkClick xmlns:r="http://schemas.openxmlformats.org/officeDocument/2006/relationships" r:id="rId2" tooltip="INICIO"/>
        </xdr:cNvPr>
        <xdr:cNvSpPr>
          <a:spLocks noChangeAspect="1"/>
        </xdr:cNvSpPr>
      </xdr:nvSpPr>
      <xdr:spPr>
        <a:xfrm>
          <a:off x="8734425" y="7324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14</xdr:row>
      <xdr:rowOff>0</xdr:rowOff>
    </xdr:from>
    <xdr:to>
      <xdr:col>14</xdr:col>
      <xdr:colOff>733424</xdr:colOff>
      <xdr:row>14</xdr:row>
      <xdr:rowOff>346075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6991350" y="3162300"/>
          <a:ext cx="447674" cy="3460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34</xdr:row>
      <xdr:rowOff>136525</xdr:rowOff>
    </xdr:from>
    <xdr:to>
      <xdr:col>17</xdr:col>
      <xdr:colOff>628649</xdr:colOff>
      <xdr:row>35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12887325" y="5641975"/>
          <a:ext cx="447674" cy="349250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285750</xdr:colOff>
      <xdr:row>4</xdr:row>
      <xdr:rowOff>66675</xdr:rowOff>
    </xdr:from>
    <xdr:to>
      <xdr:col>16</xdr:col>
      <xdr:colOff>606425</xdr:colOff>
      <xdr:row>35</xdr:row>
      <xdr:rowOff>47626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666750</xdr:colOff>
      <xdr:row>3</xdr:row>
      <xdr:rowOff>142875</xdr:rowOff>
    </xdr:from>
    <xdr:to>
      <xdr:col>8</xdr:col>
      <xdr:colOff>593725</xdr:colOff>
      <xdr:row>34</xdr:row>
      <xdr:rowOff>336551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0.0107</cdr:x>
      <cdr:y>0.9543</cdr:y>
    </cdr:from>
    <cdr:to>
      <cdr:x>0.80464</cdr:x>
      <cdr:y>0.99086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50" y="4972050"/>
          <a:ext cx="4239917" cy="190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</cdr:x>
      <cdr:y>0.47898</cdr:y>
    </cdr:from>
    <cdr:to>
      <cdr:x>1</cdr:x>
      <cdr:y>0.94698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0" y="2495550"/>
          <a:ext cx="5340350" cy="2438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" lastClr="FFFFFF">
              <a:lumMod val="65000"/>
            </a:sys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35</xdr:row>
      <xdr:rowOff>0</xdr:rowOff>
    </xdr:from>
    <xdr:to>
      <xdr:col>7</xdr:col>
      <xdr:colOff>352424</xdr:colOff>
      <xdr:row>37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5143500" y="57054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457200</xdr:colOff>
      <xdr:row>6</xdr:row>
      <xdr:rowOff>76200</xdr:rowOff>
    </xdr:from>
    <xdr:to>
      <xdr:col>9</xdr:col>
      <xdr:colOff>222250</xdr:colOff>
      <xdr:row>31</xdr:row>
      <xdr:rowOff>114301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</cdr:x>
      <cdr:y>0.47686</cdr:y>
    </cdr:from>
    <cdr:to>
      <cdr:x>1</cdr:x>
      <cdr:y>0.94823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0" y="2486025"/>
          <a:ext cx="5327650" cy="2457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" lastClr="FFFFFF">
              <a:lumMod val="65000"/>
            </a:sys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29</xdr:row>
      <xdr:rowOff>47625</xdr:rowOff>
    </xdr:from>
    <xdr:to>
      <xdr:col>13</xdr:col>
      <xdr:colOff>190499</xdr:colOff>
      <xdr:row>31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791450" y="60674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45</xdr:row>
      <xdr:rowOff>247650</xdr:rowOff>
    </xdr:from>
    <xdr:to>
      <xdr:col>9</xdr:col>
      <xdr:colOff>723899</xdr:colOff>
      <xdr:row>48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200900" y="7658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10</xdr:col>
      <xdr:colOff>247650</xdr:colOff>
      <xdr:row>44</xdr:row>
      <xdr:rowOff>142876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149225</xdr:colOff>
      <xdr:row>3</xdr:row>
      <xdr:rowOff>142875</xdr:rowOff>
    </xdr:from>
    <xdr:to>
      <xdr:col>18</xdr:col>
      <xdr:colOff>873125</xdr:colOff>
      <xdr:row>44</xdr:row>
      <xdr:rowOff>139701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15</xdr:row>
      <xdr:rowOff>76200</xdr:rowOff>
    </xdr:from>
    <xdr:to>
      <xdr:col>13</xdr:col>
      <xdr:colOff>447674</xdr:colOff>
      <xdr:row>17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077075" y="34194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33</xdr:row>
      <xdr:rowOff>104775</xdr:rowOff>
    </xdr:from>
    <xdr:to>
      <xdr:col>10</xdr:col>
      <xdr:colOff>723899</xdr:colOff>
      <xdr:row>35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048625" y="5524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31750</xdr:colOff>
      <xdr:row>4</xdr:row>
      <xdr:rowOff>117475</xdr:rowOff>
    </xdr:from>
    <xdr:to>
      <xdr:col>9</xdr:col>
      <xdr:colOff>657226</xdr:colOff>
      <xdr:row>35</xdr:row>
      <xdr:rowOff>146052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163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57150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33</xdr:row>
      <xdr:rowOff>38100</xdr:rowOff>
    </xdr:from>
    <xdr:to>
      <xdr:col>13</xdr:col>
      <xdr:colOff>752474</xdr:colOff>
      <xdr:row>34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963025" y="73723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13</xdr:col>
      <xdr:colOff>171450</xdr:colOff>
      <xdr:row>8</xdr:row>
      <xdr:rowOff>180975</xdr:rowOff>
    </xdr:from>
    <xdr:to>
      <xdr:col>13</xdr:col>
      <xdr:colOff>619124</xdr:colOff>
      <xdr:row>10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829675" y="2514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29</xdr:row>
      <xdr:rowOff>76200</xdr:rowOff>
    </xdr:from>
    <xdr:to>
      <xdr:col>10</xdr:col>
      <xdr:colOff>714374</xdr:colOff>
      <xdr:row>31</xdr:row>
      <xdr:rowOff>66675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543800" y="4772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714375</xdr:colOff>
      <xdr:row>3</xdr:row>
      <xdr:rowOff>95250</xdr:rowOff>
    </xdr:from>
    <xdr:to>
      <xdr:col>10</xdr:col>
      <xdr:colOff>6350</xdr:colOff>
      <xdr:row>31</xdr:row>
      <xdr:rowOff>123825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0.41972</cdr:x>
      <cdr:y>0.08159</cdr:y>
    </cdr:from>
    <cdr:to>
      <cdr:x>0.56995</cdr:x>
      <cdr:y>0.14452</cdr:y>
    </cdr:to>
    <cdr:sp macro="" textlink="Edad!$H$4">
      <cdr:nvSpPr>
        <cdr:cNvPr id="3" name="1 CuadroTexto"/>
        <cdr:cNvSpPr txBox="1"/>
      </cdr:nvSpPr>
      <cdr:spPr>
        <a:xfrm xmlns:a="http://schemas.openxmlformats.org/drawingml/2006/main">
          <a:off x="2324100" y="333375"/>
          <a:ext cx="8318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818DC0A5-0A79-4FE1-8F23-EB90CAAB2FC2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2012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000080"/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25</xdr:row>
      <xdr:rowOff>95250</xdr:rowOff>
    </xdr:from>
    <xdr:to>
      <xdr:col>14</xdr:col>
      <xdr:colOff>76199</xdr:colOff>
      <xdr:row>27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6276975" y="5657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34</xdr:row>
      <xdr:rowOff>247650</xdr:rowOff>
    </xdr:from>
    <xdr:to>
      <xdr:col>11</xdr:col>
      <xdr:colOff>676274</xdr:colOff>
      <xdr:row>36</xdr:row>
      <xdr:rowOff>66675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362950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114300</xdr:colOff>
      <xdr:row>4</xdr:row>
      <xdr:rowOff>28575</xdr:rowOff>
    </xdr:from>
    <xdr:to>
      <xdr:col>10</xdr:col>
      <xdr:colOff>358775</xdr:colOff>
      <xdr:row>34</xdr:row>
      <xdr:rowOff>228600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0.10997</cdr:x>
      <cdr:y>0.95905</cdr:y>
    </cdr:from>
    <cdr:to>
      <cdr:x>0.90391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75" y="4850659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333375</xdr:colOff>
      <xdr:row>16</xdr:row>
      <xdr:rowOff>114300</xdr:rowOff>
    </xdr:from>
    <xdr:to>
      <xdr:col>13</xdr:col>
      <xdr:colOff>447674</xdr:colOff>
      <xdr:row>18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219950" y="3848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806687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676274</xdr:colOff>
      <xdr:row>11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581025" y="2905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171450</xdr:colOff>
      <xdr:row>22</xdr:row>
      <xdr:rowOff>0</xdr:rowOff>
    </xdr:from>
    <xdr:to>
      <xdr:col>1</xdr:col>
      <xdr:colOff>609600</xdr:colOff>
      <xdr:row>23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523875" y="15849601"/>
          <a:ext cx="438150" cy="285750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14</xdr:col>
      <xdr:colOff>479425</xdr:colOff>
      <xdr:row>3</xdr:row>
      <xdr:rowOff>517526</xdr:rowOff>
    </xdr:from>
    <xdr:to>
      <xdr:col>21</xdr:col>
      <xdr:colOff>419100</xdr:colOff>
      <xdr:row>16</xdr:row>
      <xdr:rowOff>257176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 fPrintsWithSheet="0"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0.01598</cdr:x>
      <cdr:y>0.91046</cdr:y>
    </cdr:from>
    <cdr:to>
      <cdr:x>0.75468</cdr:x>
      <cdr:y>0.94808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439" y="3006328"/>
          <a:ext cx="4550023" cy="124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21</xdr:row>
      <xdr:rowOff>57150</xdr:rowOff>
    </xdr:from>
    <xdr:to>
      <xdr:col>14</xdr:col>
      <xdr:colOff>695325</xdr:colOff>
      <xdr:row>23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9677400" y="507682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15</xdr:col>
      <xdr:colOff>222250</xdr:colOff>
      <xdr:row>93</xdr:row>
      <xdr:rowOff>177800</xdr:rowOff>
    </xdr:from>
    <xdr:to>
      <xdr:col>15</xdr:col>
      <xdr:colOff>660400</xdr:colOff>
      <xdr:row>96</xdr:row>
      <xdr:rowOff>15875</xdr:rowOff>
    </xdr:to>
    <xdr:sp macro="" textlink="">
      <xdr:nvSpPr>
        <xdr:cNvPr id="4" name="3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286750" y="17878425"/>
          <a:ext cx="438150" cy="3460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190500</xdr:colOff>
      <xdr:row>29</xdr:row>
      <xdr:rowOff>142875</xdr:rowOff>
    </xdr:from>
    <xdr:to>
      <xdr:col>15</xdr:col>
      <xdr:colOff>434975</xdr:colOff>
      <xdr:row>71</xdr:row>
      <xdr:rowOff>15876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123825</xdr:colOff>
      <xdr:row>97</xdr:row>
      <xdr:rowOff>85725</xdr:rowOff>
    </xdr:from>
    <xdr:to>
      <xdr:col>15</xdr:col>
      <xdr:colOff>469900</xdr:colOff>
      <xdr:row>138</xdr:row>
      <xdr:rowOff>117476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0.10149</cdr:x>
      <cdr:y>0.97239</cdr:y>
    </cdr:from>
    <cdr:to>
      <cdr:x>0.89543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684" y="6486524"/>
          <a:ext cx="5066726" cy="184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0.10997</cdr:x>
      <cdr:y>0.95905</cdr:y>
    </cdr:from>
    <cdr:to>
      <cdr:x>0.90391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75" y="6397512"/>
          <a:ext cx="5157474" cy="27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6</xdr:row>
      <xdr:rowOff>47625</xdr:rowOff>
    </xdr:from>
    <xdr:to>
      <xdr:col>10</xdr:col>
      <xdr:colOff>507999</xdr:colOff>
      <xdr:row>39</xdr:row>
      <xdr:rowOff>63502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13</xdr:row>
      <xdr:rowOff>95250</xdr:rowOff>
    </xdr:from>
    <xdr:to>
      <xdr:col>7</xdr:col>
      <xdr:colOff>485774</xdr:colOff>
      <xdr:row>15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5410200" y="38671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171450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18</xdr:row>
      <xdr:rowOff>104775</xdr:rowOff>
    </xdr:from>
    <xdr:to>
      <xdr:col>14</xdr:col>
      <xdr:colOff>714374</xdr:colOff>
      <xdr:row>20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9601200" y="3848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0</xdr:col>
      <xdr:colOff>314325</xdr:colOff>
      <xdr:row>23</xdr:row>
      <xdr:rowOff>142875</xdr:rowOff>
    </xdr:from>
    <xdr:to>
      <xdr:col>13</xdr:col>
      <xdr:colOff>457200</xdr:colOff>
      <xdr:row>53</xdr:row>
      <xdr:rowOff>153521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0.09635</cdr:x>
      <cdr:y>0.96238</cdr:y>
    </cdr:from>
    <cdr:to>
      <cdr:x>0.83505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9941" y="5480776"/>
          <a:ext cx="4983227" cy="212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0.00566</cdr:x>
      <cdr:y>0.40472</cdr:y>
    </cdr:from>
    <cdr:to>
      <cdr:x>0.98868</cdr:x>
      <cdr:y>0.94612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38100" y="2298009"/>
          <a:ext cx="6619875" cy="30740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27</xdr:row>
      <xdr:rowOff>19050</xdr:rowOff>
    </xdr:from>
    <xdr:to>
      <xdr:col>6</xdr:col>
      <xdr:colOff>104774</xdr:colOff>
      <xdr:row>29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381875" y="58102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34</xdr:row>
      <xdr:rowOff>238125</xdr:rowOff>
    </xdr:from>
    <xdr:to>
      <xdr:col>11</xdr:col>
      <xdr:colOff>666749</xdr:colOff>
      <xdr:row>36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353425" y="5743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79375</xdr:colOff>
      <xdr:row>4</xdr:row>
      <xdr:rowOff>101600</xdr:rowOff>
    </xdr:from>
    <xdr:to>
      <xdr:col>10</xdr:col>
      <xdr:colOff>314325</xdr:colOff>
      <xdr:row>37</xdr:row>
      <xdr:rowOff>92075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0.02353</cdr:x>
      <cdr:y>0.96564</cdr:y>
    </cdr:from>
    <cdr:to>
      <cdr:x>0.81747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381" y="5448304"/>
          <a:ext cx="5142349" cy="1904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</xdr:row>
      <xdr:rowOff>9525</xdr:rowOff>
    </xdr:from>
    <xdr:to>
      <xdr:col>14</xdr:col>
      <xdr:colOff>704849</xdr:colOff>
      <xdr:row>2</xdr:row>
      <xdr:rowOff>200025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610600" y="1714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16</xdr:col>
      <xdr:colOff>92075</xdr:colOff>
      <xdr:row>44</xdr:row>
      <xdr:rowOff>136525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88899</xdr:colOff>
      <xdr:row>44</xdr:row>
      <xdr:rowOff>69850</xdr:rowOff>
    </xdr:from>
    <xdr:to>
      <xdr:col>16</xdr:col>
      <xdr:colOff>317500</xdr:colOff>
      <xdr:row>71</xdr:row>
      <xdr:rowOff>41276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0.01414</cdr:x>
      <cdr:y>0.59848</cdr:y>
    </cdr:from>
    <cdr:to>
      <cdr:x>0.94156</cdr:x>
      <cdr:y>0.71292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95250" y="3000375"/>
          <a:ext cx="6248400" cy="573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0.94623</cdr:y>
    </cdr:from>
    <cdr:to>
      <cdr:x>0.80224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90900"/>
          <a:ext cx="4974510" cy="188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0.84332</cdr:x>
      <cdr:y>0.34783</cdr:y>
    </cdr:from>
    <cdr:to>
      <cdr:x>0.96621</cdr:x>
      <cdr:y>0.44293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5229226" y="1219200"/>
          <a:ext cx="7620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0.82949</cdr:x>
      <cdr:y>0.3288</cdr:y>
    </cdr:from>
    <cdr:to>
      <cdr:x>0.96928</cdr:x>
      <cdr:y>0.43478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5143501" y="1152525"/>
          <a:ext cx="8667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24</xdr:row>
      <xdr:rowOff>152400</xdr:rowOff>
    </xdr:from>
    <xdr:to>
      <xdr:col>14</xdr:col>
      <xdr:colOff>609599</xdr:colOff>
      <xdr:row>25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477250" y="5524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9525</xdr:colOff>
      <xdr:row>50</xdr:row>
      <xdr:rowOff>28575</xdr:rowOff>
    </xdr:from>
    <xdr:to>
      <xdr:col>15</xdr:col>
      <xdr:colOff>647699</xdr:colOff>
      <xdr:row>89</xdr:row>
      <xdr:rowOff>49990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0.0954</cdr:x>
      <cdr:y>0.96954</cdr:y>
    </cdr:from>
    <cdr:to>
      <cdr:x>0.85943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8175" y="5162293"/>
          <a:ext cx="5111151" cy="162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80"/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rgbClr val="000080"/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rgbClr val="000080"/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0.57312</cdr:x>
      <cdr:y>0.87545</cdr:y>
    </cdr:from>
    <cdr:to>
      <cdr:x>0.98728</cdr:x>
      <cdr:y>0.94687</cdr:y>
    </cdr:to>
    <cdr:sp macro="" textlink="">
      <cdr:nvSpPr>
        <cdr:cNvPr id="12" name="7 CuadroTexto"/>
        <cdr:cNvSpPr txBox="1"/>
      </cdr:nvSpPr>
      <cdr:spPr>
        <a:xfrm xmlns:a="http://schemas.openxmlformats.org/drawingml/2006/main">
          <a:off x="4006850" y="4691888"/>
          <a:ext cx="2895599" cy="3827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s-ES" sz="1400">
              <a:solidFill>
                <a:schemeClr val="tx2">
                  <a:lumMod val="75000"/>
                </a:schemeClr>
              </a:solidFill>
            </a:rPr>
            <a:t>Edad media:</a:t>
          </a:r>
          <a:r>
            <a:rPr lang="es-ES" sz="1400" baseline="0">
              <a:solidFill>
                <a:schemeClr val="tx2">
                  <a:lumMod val="75000"/>
                </a:schemeClr>
              </a:solidFill>
            </a:rPr>
            <a:t>             añ</a:t>
          </a:r>
          <a:r>
            <a:rPr lang="es-ES" sz="1400">
              <a:solidFill>
                <a:schemeClr val="tx2">
                  <a:lumMod val="75000"/>
                </a:schemeClr>
              </a:solidFill>
            </a:rPr>
            <a:t>os (</a:t>
          </a:r>
          <a:r>
            <a:rPr lang="es-ES" sz="1600">
              <a:solidFill>
                <a:schemeClr val="tx2">
                  <a:lumMod val="75000"/>
                </a:schemeClr>
              </a:solidFill>
            </a:rPr>
            <a:t>      </a:t>
          </a:r>
          <a:r>
            <a:rPr lang="es-ES" sz="1400">
              <a:solidFill>
                <a:schemeClr val="tx2">
                  <a:lumMod val="75000"/>
                </a:schemeClr>
              </a:solidFill>
            </a:rPr>
            <a:t>ptos)</a:t>
          </a:r>
        </a:p>
      </cdr:txBody>
    </cdr:sp>
  </cdr:relSizeAnchor>
  <cdr:relSizeAnchor xmlns:cdr="http://schemas.openxmlformats.org/drawingml/2006/chartDrawing">
    <cdr:from>
      <cdr:x>0.88024</cdr:x>
      <cdr:y>0.61181</cdr:y>
    </cdr:from>
    <cdr:to>
      <cdr:x>0.99102</cdr:x>
      <cdr:y>0.68694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600700" y="3257550"/>
          <a:ext cx="7048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0.70506</cdr:x>
      <cdr:y>0.88659</cdr:y>
    </cdr:from>
    <cdr:to>
      <cdr:x>0.78785</cdr:x>
      <cdr:y>0.93668</cdr:y>
    </cdr:to>
    <cdr:sp macro="" textlink="Edad!$H$12">
      <cdr:nvSpPr>
        <cdr:cNvPr id="6" name="5 CuadroTexto"/>
        <cdr:cNvSpPr txBox="1"/>
      </cdr:nvSpPr>
      <cdr:spPr>
        <a:xfrm xmlns:a="http://schemas.openxmlformats.org/drawingml/2006/main">
          <a:off x="4716664" y="4723454"/>
          <a:ext cx="553836" cy="266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21BD756-83F9-4BBD-AB7D-3D348FC2C7B6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47,0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0.8366</cdr:x>
      <cdr:y>0.88432</cdr:y>
    </cdr:from>
    <cdr:to>
      <cdr:x>0.91457</cdr:x>
      <cdr:y>0.93799</cdr:y>
    </cdr:to>
    <cdr:sp macro="" textlink="Edad!$M$12">
      <cdr:nvSpPr>
        <cdr:cNvPr id="7" name="6 CuadroTexto"/>
        <cdr:cNvSpPr txBox="1"/>
      </cdr:nvSpPr>
      <cdr:spPr>
        <a:xfrm xmlns:a="http://schemas.openxmlformats.org/drawingml/2006/main">
          <a:off x="5596614" y="4711349"/>
          <a:ext cx="521611" cy="285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93E5F2A-D42E-415C-8304-12C6D1E8742A}" type="TxLink">
            <a:rPr lang="es-ES" sz="1400" b="1">
              <a:solidFill>
                <a:schemeClr val="tx2">
                  <a:lumMod val="75000"/>
                </a:schemeClr>
              </a:solidFill>
            </a:rPr>
            <a:pPr/>
            <a:t>2,2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0.97257</cdr:y>
    </cdr:from>
    <cdr:to>
      <cdr:x>0.64715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62674"/>
          <a:ext cx="4105274" cy="1738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714374</xdr:colOff>
      <xdr:row>26</xdr:row>
      <xdr:rowOff>28575</xdr:rowOff>
    </xdr:from>
    <xdr:to>
      <xdr:col>1</xdr:col>
      <xdr:colOff>457199</xdr:colOff>
      <xdr:row>27</xdr:row>
      <xdr:rowOff>184929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14374" y="5524500"/>
          <a:ext cx="504825" cy="346854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114301</xdr:colOff>
      <xdr:row>26</xdr:row>
      <xdr:rowOff>142874</xdr:rowOff>
    </xdr:from>
    <xdr:to>
      <xdr:col>13</xdr:col>
      <xdr:colOff>447675</xdr:colOff>
      <xdr:row>74</xdr:row>
      <xdr:rowOff>9525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0.03379</cdr:x>
      <cdr:y>0.96491</cdr:y>
    </cdr:from>
    <cdr:to>
      <cdr:x>0.59522</cdr:x>
      <cdr:y>0.99415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623" y="6285510"/>
          <a:ext cx="4430016" cy="1904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0.67552</cdr:x>
      <cdr:y>0.78973</cdr:y>
    </cdr:from>
    <cdr:to>
      <cdr:x>0.93566</cdr:x>
      <cdr:y>0.89402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600573" y="6296026"/>
          <a:ext cx="1771651" cy="8314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l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Un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55%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actividad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(Var. -1,8%)</a:t>
          </a:r>
          <a:endParaRPr lang="es-ES" sz="12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23</xdr:row>
      <xdr:rowOff>123825</xdr:rowOff>
    </xdr:from>
    <xdr:to>
      <xdr:col>15</xdr:col>
      <xdr:colOff>523874</xdr:colOff>
      <xdr:row>24</xdr:row>
      <xdr:rowOff>285750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867650" y="53435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12700</xdr:colOff>
      <xdr:row>23</xdr:row>
      <xdr:rowOff>180975</xdr:rowOff>
    </xdr:from>
    <xdr:to>
      <xdr:col>15</xdr:col>
      <xdr:colOff>85724</xdr:colOff>
      <xdr:row>61</xdr:row>
      <xdr:rowOff>97615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0.03003</cdr:x>
      <cdr:y>0.96054</cdr:y>
    </cdr:from>
    <cdr:to>
      <cdr:x>0.64264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500" y="6086452"/>
          <a:ext cx="3886200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304800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16</xdr:col>
      <xdr:colOff>504825</xdr:colOff>
      <xdr:row>21</xdr:row>
      <xdr:rowOff>234950</xdr:rowOff>
    </xdr:from>
    <xdr:to>
      <xdr:col>16</xdr:col>
      <xdr:colOff>952499</xdr:colOff>
      <xdr:row>21</xdr:row>
      <xdr:rowOff>581025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791575" y="4568825"/>
          <a:ext cx="447674" cy="3460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31750</xdr:colOff>
      <xdr:row>22</xdr:row>
      <xdr:rowOff>31750</xdr:rowOff>
    </xdr:from>
    <xdr:to>
      <xdr:col>14</xdr:col>
      <xdr:colOff>965200</xdr:colOff>
      <xdr:row>58</xdr:row>
      <xdr:rowOff>79376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0.69831</cdr:x>
      <cdr:y>0.71176</cdr:y>
    </cdr:from>
    <cdr:to>
      <cdr:x>0.99336</cdr:x>
      <cdr:y>0.84864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343393" y="4210068"/>
          <a:ext cx="1835158" cy="8096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l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Un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56,8%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visita a lugares de interés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turístico </a:t>
          </a:r>
          <a:r>
            <a:rPr lang="es-ES" sz="1200" b="1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(+ 2,4%) </a:t>
          </a:r>
          <a:endParaRPr lang="es-ES" sz="1200" b="1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0.96054</cdr:y>
    </cdr:from>
    <cdr:to>
      <cdr:x>0.69419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700694"/>
          <a:ext cx="4258231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0.0698</cdr:x>
      <cdr:y>0</cdr:y>
    </cdr:from>
    <cdr:to>
      <cdr:x>0.97671</cdr:x>
      <cdr:y>0.10467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428148" y="0"/>
          <a:ext cx="5563077" cy="619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PORCENTAJE DE TURISTAS QUE VISITAN LUGARES DE INTERÉS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19050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48</xdr:row>
      <xdr:rowOff>38100</xdr:rowOff>
    </xdr:from>
    <xdr:to>
      <xdr:col>6</xdr:col>
      <xdr:colOff>447674</xdr:colOff>
      <xdr:row>50</xdr:row>
      <xdr:rowOff>66675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5457825" y="91059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6</xdr:col>
      <xdr:colOff>0</xdr:colOff>
      <xdr:row>0</xdr:row>
      <xdr:rowOff>238125</xdr:rowOff>
    </xdr:from>
    <xdr:to>
      <xdr:col>6</xdr:col>
      <xdr:colOff>447674</xdr:colOff>
      <xdr:row>1</xdr:row>
      <xdr:rowOff>209550</xdr:rowOff>
    </xdr:to>
    <xdr:sp macro="" textlink="">
      <xdr:nvSpPr>
        <xdr:cNvPr id="4" name="3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5457825" y="238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450850</xdr:colOff>
      <xdr:row>1</xdr:row>
      <xdr:rowOff>130175</xdr:rowOff>
    </xdr:from>
    <xdr:to>
      <xdr:col>9</xdr:col>
      <xdr:colOff>136524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546975" y="292100"/>
          <a:ext cx="447674" cy="355600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73025</xdr:colOff>
      <xdr:row>5</xdr:row>
      <xdr:rowOff>34925</xdr:rowOff>
    </xdr:from>
    <xdr:to>
      <xdr:col>7</xdr:col>
      <xdr:colOff>298450</xdr:colOff>
      <xdr:row>53</xdr:row>
      <xdr:rowOff>79375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63</xdr:row>
      <xdr:rowOff>9525</xdr:rowOff>
    </xdr:from>
    <xdr:to>
      <xdr:col>8</xdr:col>
      <xdr:colOff>447674</xdr:colOff>
      <xdr:row>65</xdr:row>
      <xdr:rowOff>38100</xdr:rowOff>
    </xdr:to>
    <xdr:sp macro="" textlink="">
      <xdr:nvSpPr>
        <xdr:cNvPr id="5" name="4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096125" y="10210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19050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48</xdr:row>
      <xdr:rowOff>38100</xdr:rowOff>
    </xdr:from>
    <xdr:to>
      <xdr:col>2</xdr:col>
      <xdr:colOff>552449</xdr:colOff>
      <xdr:row>50</xdr:row>
      <xdr:rowOff>66675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1628775" y="8572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19050</xdr:colOff>
      <xdr:row>0</xdr:row>
      <xdr:rowOff>238125</xdr:rowOff>
    </xdr:from>
    <xdr:to>
      <xdr:col>2</xdr:col>
      <xdr:colOff>466724</xdr:colOff>
      <xdr:row>1</xdr:row>
      <xdr:rowOff>209550</xdr:rowOff>
    </xdr:to>
    <xdr:sp macro="" textlink="">
      <xdr:nvSpPr>
        <xdr:cNvPr id="4" name="3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1543050" y="238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400050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314326</xdr:colOff>
      <xdr:row>26</xdr:row>
      <xdr:rowOff>47625</xdr:rowOff>
    </xdr:from>
    <xdr:to>
      <xdr:col>6</xdr:col>
      <xdr:colOff>257175</xdr:colOff>
      <xdr:row>28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4295776" y="6000750"/>
          <a:ext cx="4571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450850</xdr:colOff>
      <xdr:row>1</xdr:row>
      <xdr:rowOff>130175</xdr:rowOff>
    </xdr:from>
    <xdr:to>
      <xdr:col>9</xdr:col>
      <xdr:colOff>136524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6661150" y="292100"/>
          <a:ext cx="447674" cy="355600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25400</xdr:colOff>
      <xdr:row>5</xdr:row>
      <xdr:rowOff>19050</xdr:rowOff>
    </xdr:from>
    <xdr:to>
      <xdr:col>8</xdr:col>
      <xdr:colOff>657225</xdr:colOff>
      <xdr:row>53</xdr:row>
      <xdr:rowOff>63500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127000</xdr:colOff>
      <xdr:row>55</xdr:row>
      <xdr:rowOff>0</xdr:rowOff>
    </xdr:from>
    <xdr:to>
      <xdr:col>8</xdr:col>
      <xdr:colOff>574674</xdr:colOff>
      <xdr:row>57</xdr:row>
      <xdr:rowOff>28575</xdr:rowOff>
    </xdr:to>
    <xdr:sp macro="" textlink="">
      <xdr:nvSpPr>
        <xdr:cNvPr id="5" name="4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6337300" y="89058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17</xdr:row>
      <xdr:rowOff>66675</xdr:rowOff>
    </xdr:from>
    <xdr:to>
      <xdr:col>8</xdr:col>
      <xdr:colOff>314325</xdr:colOff>
      <xdr:row>19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334250" y="441007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603250</xdr:colOff>
      <xdr:row>34</xdr:row>
      <xdr:rowOff>69850</xdr:rowOff>
    </xdr:from>
    <xdr:to>
      <xdr:col>13</xdr:col>
      <xdr:colOff>288924</xdr:colOff>
      <xdr:row>36</xdr:row>
      <xdr:rowOff>98425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9747250" y="5575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200025</xdr:colOff>
      <xdr:row>5</xdr:row>
      <xdr:rowOff>31750</xdr:rowOff>
    </xdr:from>
    <xdr:to>
      <xdr:col>11</xdr:col>
      <xdr:colOff>590550</xdr:colOff>
      <xdr:row>39</xdr:row>
      <xdr:rowOff>104776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0.03454</cdr:x>
      <cdr:y>0</cdr:y>
    </cdr:from>
    <cdr:to>
      <cdr:x>0.97204</cdr:x>
      <cdr:y>0.09903</cdr:y>
    </cdr:to>
    <cdr:sp macro="" textlink="'Índice satisfacción agrupad '!$C$3:$K$3">
      <cdr:nvSpPr>
        <cdr:cNvPr id="2" name="1 CuadroTexto"/>
        <cdr:cNvSpPr txBox="1"/>
      </cdr:nvSpPr>
      <cdr:spPr>
        <a:xfrm xmlns:a="http://schemas.openxmlformats.org/drawingml/2006/main">
          <a:off x="250364" y="0"/>
          <a:ext cx="6795492" cy="552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2D63FE1-F295-409E-8A76-B139B2D6ADC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ÍNDICE DE SATISFACCIÓN DE LOS TURISTAS
(escala 1-10)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0.92833</cdr:y>
    </cdr:from>
    <cdr:to>
      <cdr:x>0.97204</cdr:x>
      <cdr:y>1</cdr:y>
    </cdr:to>
    <cdr:sp macro="" textlink="'Índice satisfacción agrupad '!$C$15:$K$15">
      <cdr:nvSpPr>
        <cdr:cNvPr id="6" name="5 CuadroTexto"/>
        <cdr:cNvSpPr txBox="1"/>
      </cdr:nvSpPr>
      <cdr:spPr>
        <a:xfrm xmlns:a="http://schemas.openxmlformats.org/drawingml/2006/main">
          <a:off x="0" y="5302492"/>
          <a:ext cx="7045856" cy="39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E32C9E6F-57A1-4865-879D-BFBDAF420593}" type="TxLink">
            <a:rPr lang="es-ES" sz="800">
              <a:solidFill>
                <a:schemeClr val="tx2">
                  <a:lumMod val="75000"/>
                </a:schemeClr>
              </a:solidFill>
            </a:rPr>
            <a:pPr/>
            <a:t>*El Índice de satisfacción corresponde a la media de todos los factores.  La satisfacción global percibida es un índice dado por el turista, (se comienza a medir en 2009)
Fuente: Encuesta al Turismo Receptivo Cabildo Tenerife. Elaboración: Turismo de Tene</a:t>
          </a:fld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0.70434</cdr:x>
      <cdr:y>0.74616</cdr:y>
    </cdr:from>
    <cdr:to>
      <cdr:x>1</cdr:x>
      <cdr:y>0.87194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5105426" y="4162436"/>
          <a:ext cx="2143099" cy="70166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s-ES" sz="1200" b="1">
              <a:solidFill>
                <a:schemeClr val="tx2">
                  <a:lumMod val="75000"/>
                </a:schemeClr>
              </a:solidFill>
            </a:rPr>
            <a:t>Satisfacción</a:t>
          </a:r>
          <a:r>
            <a:rPr lang="es-ES" sz="1200" b="1" baseline="0">
              <a:solidFill>
                <a:schemeClr val="tx2">
                  <a:lumMod val="75000"/>
                </a:schemeClr>
              </a:solidFill>
            </a:rPr>
            <a:t> global percibida:</a:t>
          </a:r>
        </a:p>
        <a:p xmlns:a="http://schemas.openxmlformats.org/drawingml/2006/main">
          <a:pPr algn="l"/>
          <a:r>
            <a:rPr lang="es-ES" sz="1200" b="1" baseline="0">
              <a:solidFill>
                <a:schemeClr val="tx2">
                  <a:lumMod val="75000"/>
                </a:schemeClr>
              </a:solidFill>
            </a:rPr>
            <a:t>8,48 puntos</a:t>
          </a:r>
        </a:p>
        <a:p xmlns:a="http://schemas.openxmlformats.org/drawingml/2006/main">
          <a:pPr algn="l"/>
          <a:r>
            <a:rPr lang="es-ES" sz="1200" b="1" baseline="0">
              <a:solidFill>
                <a:schemeClr val="tx2">
                  <a:lumMod val="75000"/>
                </a:schemeClr>
              </a:solidFill>
            </a:rPr>
            <a:t>Diferencia 12/11: 0,06</a:t>
          </a:r>
          <a:r>
            <a:rPr lang="es-ES" sz="1200" b="1">
              <a:solidFill>
                <a:schemeClr val="tx2">
                  <a:lumMod val="75000"/>
                </a:schemeClr>
              </a:solidFill>
            </a:rPr>
            <a:t> puntos</a:t>
          </a:r>
        </a:p>
      </cdr:txBody>
    </cdr:sp>
  </cdr:relSizeAnchor>
  <cdr:relSizeAnchor xmlns:cdr="http://schemas.openxmlformats.org/drawingml/2006/chartDrawing">
    <cdr:from>
      <cdr:x>0.01314</cdr:x>
      <cdr:y>0.38588</cdr:y>
    </cdr:from>
    <cdr:to>
      <cdr:x>0.94744</cdr:x>
      <cdr:y>0.47809</cdr:y>
    </cdr:to>
    <cdr:sp macro="" textlink="">
      <cdr:nvSpPr>
        <cdr:cNvPr id="9" name="8 Rectángulo"/>
        <cdr:cNvSpPr/>
      </cdr:nvSpPr>
      <cdr:spPr>
        <a:xfrm xmlns:a="http://schemas.openxmlformats.org/drawingml/2006/main">
          <a:off x="95249" y="2152650"/>
          <a:ext cx="6772275" cy="514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10</xdr:col>
      <xdr:colOff>600075</xdr:colOff>
      <xdr:row>1</xdr:row>
      <xdr:rowOff>38100</xdr:rowOff>
    </xdr:from>
    <xdr:to>
      <xdr:col>10</xdr:col>
      <xdr:colOff>1038225</xdr:colOff>
      <xdr:row>1</xdr:row>
      <xdr:rowOff>333375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6810375" y="200025"/>
          <a:ext cx="438150" cy="2952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438150</xdr:colOff>
      <xdr:row>22</xdr:row>
      <xdr:rowOff>57150</xdr:rowOff>
    </xdr:from>
    <xdr:to>
      <xdr:col>10</xdr:col>
      <xdr:colOff>876300</xdr:colOff>
      <xdr:row>24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6648450" y="528637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11</xdr:col>
      <xdr:colOff>1133474</xdr:colOff>
      <xdr:row>64</xdr:row>
      <xdr:rowOff>21415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0.02102</cdr:x>
      <cdr:y>0.96054</cdr:y>
    </cdr:from>
    <cdr:to>
      <cdr:x>0.65916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50" y="6086452"/>
          <a:ext cx="4048125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52</xdr:row>
      <xdr:rowOff>47625</xdr:rowOff>
    </xdr:from>
    <xdr:to>
      <xdr:col>8</xdr:col>
      <xdr:colOff>342899</xdr:colOff>
      <xdr:row>54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8086725" y="107727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6</xdr:col>
      <xdr:colOff>438150</xdr:colOff>
      <xdr:row>1</xdr:row>
      <xdr:rowOff>38100</xdr:rowOff>
    </xdr:from>
    <xdr:to>
      <xdr:col>7</xdr:col>
      <xdr:colOff>371474</xdr:colOff>
      <xdr:row>1</xdr:row>
      <xdr:rowOff>390525</xdr:rowOff>
    </xdr:to>
    <xdr:sp macro="" textlink="">
      <xdr:nvSpPr>
        <xdr:cNvPr id="4" name="3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7600950" y="200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14</xdr:row>
      <xdr:rowOff>95250</xdr:rowOff>
    </xdr:from>
    <xdr:to>
      <xdr:col>6</xdr:col>
      <xdr:colOff>714375</xdr:colOff>
      <xdr:row>16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6248400" y="399097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416162</xdr:colOff>
      <xdr:row>5</xdr:row>
      <xdr:rowOff>38100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38</xdr:row>
      <xdr:rowOff>142875</xdr:rowOff>
    </xdr:from>
    <xdr:to>
      <xdr:col>7</xdr:col>
      <xdr:colOff>504824</xdr:colOff>
      <xdr:row>41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 tooltip="INICIO"/>
        </xdr:cNvPr>
        <xdr:cNvSpPr>
          <a:spLocks noChangeAspect="1"/>
        </xdr:cNvSpPr>
      </xdr:nvSpPr>
      <xdr:spPr>
        <a:xfrm>
          <a:off x="5391150" y="6334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31750</xdr:colOff>
      <xdr:row>3</xdr:row>
      <xdr:rowOff>53975</xdr:rowOff>
    </xdr:from>
    <xdr:to>
      <xdr:col>8</xdr:col>
      <xdr:colOff>860426</xdr:colOff>
      <xdr:row>35</xdr:row>
      <xdr:rowOff>95250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0.96609</cdr:y>
    </cdr:from>
    <cdr:to>
      <cdr:x>0.83801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3590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2"/>
  <sheetViews>
    <sheetView showGridLines="0" tabSelected="1" zoomScaleNormal="100" workbookViewId="0">
      <selection activeCell="K29" sqref="K29"/>
    </sheetView>
  </sheetViews>
  <sheetFormatPr baseColWidth="10" defaultRowHeight="12.75" x14ac:dyDescent="0.2"/>
  <cols>
    <col min="1" max="1" width="11.42578125" style="1"/>
    <col min="2" max="2" width="6.85546875" style="1" customWidth="1"/>
    <col min="3" max="6" width="16.28515625" style="1" customWidth="1"/>
    <col min="7" max="7" width="36.5703125" style="1" customWidth="1"/>
    <col min="8" max="16384" width="11.42578125" style="1"/>
  </cols>
  <sheetData>
    <row r="3" spans="2:10" ht="25.5" customHeight="1" x14ac:dyDescent="0.2"/>
    <row r="4" spans="2:10" ht="18" customHeight="1" x14ac:dyDescent="0.2">
      <c r="C4" s="283" t="s">
        <v>0</v>
      </c>
      <c r="D4" s="283"/>
      <c r="E4" s="283"/>
      <c r="F4" s="283"/>
      <c r="G4" s="283"/>
      <c r="H4" s="2"/>
    </row>
    <row r="5" spans="2:10" ht="18" customHeight="1" x14ac:dyDescent="0.2">
      <c r="C5" s="283">
        <v>2012</v>
      </c>
      <c r="D5" s="283"/>
      <c r="E5" s="283"/>
      <c r="F5" s="283"/>
      <c r="G5" s="283"/>
      <c r="H5" s="2"/>
    </row>
    <row r="6" spans="2:10" ht="20.100000000000001" customHeight="1" x14ac:dyDescent="0.2">
      <c r="C6" s="284" t="s">
        <v>1</v>
      </c>
      <c r="D6" s="284"/>
      <c r="E6" s="284"/>
      <c r="F6" s="284"/>
      <c r="G6" s="284"/>
      <c r="H6" s="2"/>
    </row>
    <row r="7" spans="2:10" ht="15" customHeight="1" x14ac:dyDescent="0.2">
      <c r="B7" s="3"/>
      <c r="C7" s="282" t="s">
        <v>2</v>
      </c>
      <c r="D7" s="282"/>
      <c r="E7" s="282"/>
      <c r="F7" s="282"/>
      <c r="G7" s="282"/>
      <c r="H7" s="2"/>
    </row>
    <row r="8" spans="2:10" ht="15" customHeight="1" x14ac:dyDescent="0.2">
      <c r="B8" s="3"/>
      <c r="C8" s="280" t="s">
        <v>3</v>
      </c>
      <c r="D8" s="280"/>
      <c r="E8" s="280"/>
      <c r="F8" s="280"/>
      <c r="G8" s="280"/>
      <c r="H8" s="2"/>
    </row>
    <row r="9" spans="2:10" ht="15" customHeight="1" x14ac:dyDescent="0.2">
      <c r="B9" s="3"/>
      <c r="C9" s="280" t="s">
        <v>4</v>
      </c>
      <c r="D9" s="280"/>
      <c r="E9" s="280"/>
      <c r="F9" s="280"/>
      <c r="G9" s="280"/>
      <c r="H9" s="2"/>
    </row>
    <row r="10" spans="2:10" ht="15" customHeight="1" x14ac:dyDescent="0.2">
      <c r="B10" s="3"/>
      <c r="C10" s="280" t="s">
        <v>5</v>
      </c>
      <c r="D10" s="280"/>
      <c r="E10" s="280"/>
      <c r="F10" s="280"/>
      <c r="G10" s="280"/>
      <c r="H10" s="2"/>
    </row>
    <row r="11" spans="2:10" ht="15" customHeight="1" x14ac:dyDescent="0.2">
      <c r="B11" s="3"/>
      <c r="C11" s="280" t="s">
        <v>6</v>
      </c>
      <c r="D11" s="280"/>
      <c r="E11" s="280"/>
      <c r="F11" s="280"/>
      <c r="G11" s="280"/>
      <c r="H11" s="2"/>
    </row>
    <row r="12" spans="2:10" ht="15" customHeight="1" x14ac:dyDescent="0.2">
      <c r="B12" s="3"/>
      <c r="C12" s="4" t="s">
        <v>7</v>
      </c>
      <c r="D12" s="4"/>
      <c r="E12" s="4"/>
      <c r="F12" s="4"/>
      <c r="G12" s="4"/>
      <c r="H12" s="2"/>
    </row>
    <row r="13" spans="2:10" ht="15" customHeight="1" x14ac:dyDescent="0.2">
      <c r="B13" s="3"/>
      <c r="C13" s="4" t="s">
        <v>8</v>
      </c>
      <c r="D13" s="4"/>
      <c r="E13" s="4"/>
      <c r="F13" s="4"/>
      <c r="G13" s="4"/>
      <c r="H13" s="2"/>
    </row>
    <row r="14" spans="2:10" ht="15" customHeight="1" x14ac:dyDescent="0.2">
      <c r="B14" s="3"/>
      <c r="C14" s="4" t="s">
        <v>9</v>
      </c>
      <c r="D14" s="4"/>
      <c r="E14" s="4"/>
      <c r="F14" s="4"/>
      <c r="G14" s="4"/>
      <c r="H14" s="2"/>
    </row>
    <row r="15" spans="2:10" ht="15" customHeight="1" x14ac:dyDescent="0.2">
      <c r="B15" s="3"/>
      <c r="C15" s="4" t="s">
        <v>10</v>
      </c>
      <c r="D15" s="4"/>
      <c r="E15" s="4"/>
      <c r="F15" s="4"/>
      <c r="G15" s="4"/>
      <c r="H15" s="2"/>
    </row>
    <row r="16" spans="2:10" ht="15" customHeight="1" x14ac:dyDescent="0.2">
      <c r="B16" s="3"/>
      <c r="C16" s="4" t="s">
        <v>11</v>
      </c>
      <c r="D16" s="4"/>
      <c r="E16" s="4"/>
      <c r="F16" s="4"/>
      <c r="G16" s="4"/>
      <c r="H16" s="2"/>
      <c r="J16" s="6"/>
    </row>
    <row r="17" spans="2:12" ht="15" customHeight="1" x14ac:dyDescent="0.2">
      <c r="B17" s="3"/>
      <c r="C17" s="4" t="s">
        <v>12</v>
      </c>
      <c r="D17" s="4"/>
      <c r="E17" s="4"/>
      <c r="F17" s="4"/>
      <c r="G17" s="4"/>
      <c r="H17" s="2"/>
      <c r="J17" s="6"/>
    </row>
    <row r="18" spans="2:12" ht="15" customHeight="1" x14ac:dyDescent="0.2">
      <c r="B18" s="3"/>
      <c r="C18" s="4" t="s">
        <v>13</v>
      </c>
      <c r="D18" s="4"/>
      <c r="E18" s="4"/>
      <c r="F18" s="4"/>
      <c r="G18" s="4"/>
      <c r="H18" s="2"/>
    </row>
    <row r="19" spans="2:12" ht="15" customHeight="1" x14ac:dyDescent="0.2">
      <c r="B19" s="3"/>
      <c r="C19" s="4" t="s">
        <v>14</v>
      </c>
      <c r="D19" s="7"/>
      <c r="E19" s="4"/>
      <c r="F19" s="4"/>
      <c r="G19" s="4"/>
      <c r="H19" s="2"/>
      <c r="J19" s="5"/>
    </row>
    <row r="20" spans="2:12" ht="15" customHeight="1" x14ac:dyDescent="0.2">
      <c r="B20" s="3"/>
      <c r="C20" s="4" t="s">
        <v>15</v>
      </c>
      <c r="D20" s="4"/>
      <c r="E20" s="4"/>
      <c r="F20" s="4"/>
      <c r="G20" s="4"/>
      <c r="H20" s="2"/>
    </row>
    <row r="21" spans="2:12" ht="15" customHeight="1" x14ac:dyDescent="0.2">
      <c r="B21" s="3"/>
      <c r="C21" s="4" t="s">
        <v>16</v>
      </c>
      <c r="D21" s="4"/>
      <c r="E21" s="4"/>
      <c r="F21" s="4"/>
      <c r="G21" s="4"/>
      <c r="H21" s="2"/>
    </row>
    <row r="22" spans="2:12" ht="15" customHeight="1" x14ac:dyDescent="0.2">
      <c r="B22" s="3"/>
      <c r="C22" s="4" t="s">
        <v>17</v>
      </c>
      <c r="D22" s="4"/>
      <c r="E22" s="4"/>
      <c r="F22" s="4"/>
      <c r="G22" s="4"/>
      <c r="H22" s="2"/>
    </row>
    <row r="23" spans="2:12" ht="15" customHeight="1" x14ac:dyDescent="0.2">
      <c r="B23" s="3"/>
      <c r="C23" s="4" t="s">
        <v>18</v>
      </c>
      <c r="D23" s="4"/>
      <c r="E23" s="4"/>
      <c r="F23" s="4"/>
      <c r="G23" s="4"/>
      <c r="H23" s="2"/>
    </row>
    <row r="24" spans="2:12" ht="15" customHeight="1" x14ac:dyDescent="0.2">
      <c r="B24" s="3"/>
      <c r="C24" s="280" t="s">
        <v>19</v>
      </c>
      <c r="D24" s="280"/>
      <c r="E24" s="280"/>
      <c r="F24" s="280"/>
      <c r="G24" s="280"/>
      <c r="H24" s="2"/>
    </row>
    <row r="25" spans="2:12" ht="15" customHeight="1" x14ac:dyDescent="0.2">
      <c r="B25" s="3"/>
      <c r="C25" s="4" t="s">
        <v>20</v>
      </c>
      <c r="D25" s="4"/>
      <c r="E25" s="4"/>
      <c r="F25" s="4"/>
      <c r="G25" s="4"/>
      <c r="H25" s="2"/>
      <c r="L25" s="5"/>
    </row>
    <row r="26" spans="2:12" ht="15" customHeight="1" x14ac:dyDescent="0.2">
      <c r="B26" s="3"/>
      <c r="C26" s="4" t="s">
        <v>21</v>
      </c>
      <c r="D26" s="4"/>
      <c r="E26" s="4"/>
      <c r="F26" s="4"/>
      <c r="G26" s="4"/>
      <c r="H26" s="2"/>
    </row>
    <row r="27" spans="2:12" ht="15" customHeight="1" x14ac:dyDescent="0.2">
      <c r="B27" s="3"/>
      <c r="C27" s="4" t="s">
        <v>22</v>
      </c>
      <c r="D27" s="4"/>
      <c r="E27" s="4"/>
      <c r="F27" s="4"/>
      <c r="G27" s="4"/>
      <c r="H27" s="2"/>
    </row>
    <row r="28" spans="2:12" ht="15" customHeight="1" x14ac:dyDescent="0.2">
      <c r="B28" s="3"/>
      <c r="C28" s="4" t="s">
        <v>23</v>
      </c>
      <c r="D28" s="4"/>
      <c r="E28" s="4"/>
      <c r="F28" s="4"/>
      <c r="G28" s="4"/>
      <c r="H28" s="2"/>
      <c r="L28" s="5"/>
    </row>
    <row r="29" spans="2:12" ht="15" customHeight="1" x14ac:dyDescent="0.2">
      <c r="B29" s="3"/>
      <c r="C29" s="4" t="s">
        <v>24</v>
      </c>
      <c r="D29" s="4"/>
      <c r="E29" s="4"/>
      <c r="F29" s="4"/>
      <c r="G29" s="4"/>
      <c r="H29" s="2"/>
    </row>
    <row r="30" spans="2:12" ht="15" customHeight="1" x14ac:dyDescent="0.2">
      <c r="B30" s="3"/>
      <c r="C30" s="4" t="s">
        <v>25</v>
      </c>
      <c r="D30" s="4"/>
      <c r="E30" s="4"/>
      <c r="F30" s="4"/>
      <c r="G30" s="4"/>
      <c r="H30" s="2"/>
    </row>
    <row r="31" spans="2:12" ht="15" customHeight="1" x14ac:dyDescent="0.2">
      <c r="B31" s="3"/>
      <c r="C31" s="4" t="s">
        <v>26</v>
      </c>
      <c r="D31" s="4"/>
      <c r="E31" s="4"/>
      <c r="F31" s="4"/>
      <c r="G31" s="4"/>
      <c r="H31" s="2"/>
    </row>
    <row r="32" spans="2:12" ht="15" customHeight="1" x14ac:dyDescent="0.2">
      <c r="B32" s="3"/>
      <c r="C32" s="4" t="s">
        <v>27</v>
      </c>
      <c r="D32" s="4"/>
      <c r="E32" s="4"/>
      <c r="F32" s="4"/>
      <c r="G32" s="4"/>
      <c r="H32" s="2"/>
      <c r="L32" s="5"/>
    </row>
    <row r="33" spans="2:12" ht="15" customHeight="1" x14ac:dyDescent="0.2">
      <c r="B33" s="3"/>
      <c r="C33" s="4" t="s">
        <v>28</v>
      </c>
      <c r="D33" s="4"/>
      <c r="E33" s="4"/>
      <c r="F33" s="4"/>
      <c r="G33" s="4"/>
      <c r="H33" s="2"/>
    </row>
    <row r="34" spans="2:12" ht="15" customHeight="1" x14ac:dyDescent="0.2">
      <c r="B34" s="3"/>
      <c r="C34" s="4" t="s">
        <v>29</v>
      </c>
      <c r="D34" s="4"/>
      <c r="E34" s="4"/>
      <c r="F34" s="4"/>
      <c r="G34" s="4"/>
      <c r="H34" s="2"/>
      <c r="L34" s="5"/>
    </row>
    <row r="35" spans="2:12" ht="15" customHeight="1" x14ac:dyDescent="0.2">
      <c r="B35" s="3"/>
      <c r="C35" s="4" t="s">
        <v>30</v>
      </c>
      <c r="D35" s="4"/>
      <c r="E35" s="4"/>
      <c r="F35" s="4"/>
      <c r="G35" s="4"/>
      <c r="H35" s="2"/>
    </row>
    <row r="36" spans="2:12" s="2" customFormat="1" ht="15.75" customHeight="1" x14ac:dyDescent="0.2">
      <c r="C36" s="280" t="s">
        <v>31</v>
      </c>
      <c r="D36" s="280"/>
      <c r="E36" s="280"/>
      <c r="F36" s="280"/>
      <c r="G36" s="280"/>
      <c r="H36" s="8"/>
    </row>
    <row r="37" spans="2:12" s="2" customFormat="1" ht="15.75" customHeight="1" x14ac:dyDescent="0.2">
      <c r="C37" s="280" t="s">
        <v>32</v>
      </c>
      <c r="D37" s="280"/>
      <c r="E37" s="280"/>
      <c r="F37" s="280"/>
      <c r="G37" s="280"/>
      <c r="H37" s="8"/>
    </row>
    <row r="38" spans="2:12" ht="15" customHeight="1" x14ac:dyDescent="0.2">
      <c r="B38" s="3"/>
      <c r="C38" s="4" t="s">
        <v>33</v>
      </c>
      <c r="D38" s="4"/>
      <c r="E38" s="4"/>
      <c r="F38" s="4"/>
      <c r="G38" s="4"/>
      <c r="H38" s="2"/>
    </row>
    <row r="39" spans="2:12" ht="15" customHeight="1" x14ac:dyDescent="0.2">
      <c r="B39" s="3"/>
      <c r="C39" s="4" t="s">
        <v>34</v>
      </c>
      <c r="D39" s="4"/>
      <c r="E39" s="4"/>
      <c r="F39" s="4"/>
      <c r="G39" s="4"/>
      <c r="H39" s="2"/>
    </row>
    <row r="40" spans="2:12" ht="15" customHeight="1" x14ac:dyDescent="0.2">
      <c r="B40" s="3"/>
      <c r="C40" s="4" t="s">
        <v>35</v>
      </c>
      <c r="D40" s="4"/>
      <c r="E40" s="4"/>
      <c r="F40" s="4"/>
      <c r="G40" s="4"/>
      <c r="H40" s="2"/>
    </row>
    <row r="41" spans="2:12" ht="15" customHeight="1" x14ac:dyDescent="0.2">
      <c r="B41" s="3"/>
      <c r="C41" s="4" t="s">
        <v>36</v>
      </c>
      <c r="D41" s="4"/>
      <c r="E41" s="4"/>
      <c r="F41" s="4"/>
      <c r="G41" s="4"/>
      <c r="H41" s="2"/>
    </row>
    <row r="42" spans="2:12" ht="15" customHeight="1" x14ac:dyDescent="0.2">
      <c r="B42" s="3"/>
      <c r="C42" s="282" t="s">
        <v>37</v>
      </c>
      <c r="D42" s="282"/>
      <c r="E42" s="282"/>
      <c r="F42" s="282"/>
      <c r="G42" s="282"/>
      <c r="H42" s="2"/>
    </row>
    <row r="43" spans="2:12" ht="15" customHeight="1" x14ac:dyDescent="0.2">
      <c r="B43" s="3"/>
      <c r="C43" s="280" t="s">
        <v>38</v>
      </c>
      <c r="D43" s="280"/>
      <c r="E43" s="280"/>
      <c r="F43" s="280"/>
      <c r="G43" s="280"/>
      <c r="H43" s="2"/>
    </row>
    <row r="44" spans="2:12" ht="15" customHeight="1" x14ac:dyDescent="0.2">
      <c r="B44" s="3"/>
      <c r="C44" s="4" t="s">
        <v>39</v>
      </c>
      <c r="D44" s="4"/>
      <c r="E44" s="4"/>
      <c r="F44" s="4"/>
      <c r="G44" s="4"/>
      <c r="H44" s="2"/>
    </row>
    <row r="45" spans="2:12" ht="15" customHeight="1" x14ac:dyDescent="0.2">
      <c r="B45" s="3"/>
      <c r="C45" s="4" t="s">
        <v>40</v>
      </c>
      <c r="D45" s="4"/>
      <c r="E45" s="4"/>
      <c r="F45" s="4"/>
      <c r="G45" s="4"/>
      <c r="H45" s="2"/>
    </row>
    <row r="46" spans="2:12" ht="15" customHeight="1" x14ac:dyDescent="0.2">
      <c r="B46" s="3"/>
      <c r="C46" s="4" t="s">
        <v>41</v>
      </c>
      <c r="D46" s="4"/>
      <c r="E46" s="4"/>
      <c r="F46" s="4"/>
      <c r="G46" s="4"/>
      <c r="H46" s="2"/>
    </row>
    <row r="47" spans="2:12" ht="15" customHeight="1" x14ac:dyDescent="0.2">
      <c r="B47" s="3"/>
      <c r="C47" s="4" t="s">
        <v>42</v>
      </c>
      <c r="D47" s="4"/>
      <c r="E47" s="4"/>
      <c r="F47" s="4"/>
      <c r="G47" s="4"/>
      <c r="H47" s="2"/>
    </row>
    <row r="48" spans="2:12" ht="15" customHeight="1" x14ac:dyDescent="0.2">
      <c r="B48" s="3"/>
      <c r="C48" s="4" t="s">
        <v>43</v>
      </c>
      <c r="D48" s="4"/>
      <c r="E48" s="4"/>
      <c r="F48" s="4"/>
      <c r="G48" s="4"/>
      <c r="H48" s="2"/>
    </row>
    <row r="49" spans="2:8" ht="15" customHeight="1" x14ac:dyDescent="0.2">
      <c r="B49" s="3"/>
      <c r="C49" s="4" t="s">
        <v>44</v>
      </c>
      <c r="D49" s="4"/>
      <c r="E49" s="4"/>
      <c r="F49" s="4"/>
      <c r="G49" s="4"/>
      <c r="H49" s="2"/>
    </row>
    <row r="50" spans="2:8" ht="15" customHeight="1" x14ac:dyDescent="0.2">
      <c r="B50" s="3"/>
      <c r="C50" s="4" t="s">
        <v>45</v>
      </c>
      <c r="D50" s="4"/>
      <c r="E50" s="4"/>
      <c r="F50" s="4"/>
      <c r="G50" s="4"/>
      <c r="H50" s="2"/>
    </row>
    <row r="51" spans="2:8" ht="15" customHeight="1" x14ac:dyDescent="0.2">
      <c r="B51" s="3"/>
      <c r="C51" s="4" t="s">
        <v>46</v>
      </c>
      <c r="D51" s="4"/>
      <c r="E51" s="4"/>
      <c r="F51" s="4"/>
      <c r="G51" s="4"/>
      <c r="H51" s="2"/>
    </row>
    <row r="52" spans="2:8" ht="15" customHeight="1" x14ac:dyDescent="0.2">
      <c r="B52" s="3"/>
      <c r="C52" s="4" t="s">
        <v>47</v>
      </c>
      <c r="D52" s="4"/>
      <c r="E52" s="4"/>
      <c r="F52" s="4"/>
      <c r="G52" s="4"/>
      <c r="H52" s="2"/>
    </row>
    <row r="53" spans="2:8" ht="15" customHeight="1" x14ac:dyDescent="0.2">
      <c r="B53" s="3"/>
      <c r="C53" s="4" t="s">
        <v>48</v>
      </c>
      <c r="D53" s="4"/>
      <c r="E53" s="4"/>
      <c r="F53" s="4"/>
      <c r="G53" s="4"/>
      <c r="H53" s="2"/>
    </row>
    <row r="54" spans="2:8" ht="15" customHeight="1" x14ac:dyDescent="0.2">
      <c r="B54" s="3"/>
      <c r="C54" s="4" t="s">
        <v>49</v>
      </c>
      <c r="D54" s="4"/>
      <c r="E54" s="4"/>
      <c r="F54" s="4"/>
      <c r="G54" s="4"/>
      <c r="H54" s="2"/>
    </row>
    <row r="55" spans="2:8" ht="15" customHeight="1" x14ac:dyDescent="0.2">
      <c r="B55" s="3"/>
      <c r="C55" s="4" t="s">
        <v>50</v>
      </c>
      <c r="D55" s="4"/>
      <c r="E55" s="4"/>
      <c r="F55" s="4"/>
      <c r="G55" s="4"/>
      <c r="H55" s="2"/>
    </row>
    <row r="56" spans="2:8" ht="15" customHeight="1" x14ac:dyDescent="0.2">
      <c r="B56" s="3"/>
      <c r="C56" s="4" t="s">
        <v>51</v>
      </c>
      <c r="D56" s="4"/>
      <c r="E56" s="4"/>
      <c r="F56" s="4"/>
      <c r="G56" s="4"/>
      <c r="H56" s="2"/>
    </row>
    <row r="57" spans="2:8" s="2" customFormat="1" ht="15.75" customHeight="1" x14ac:dyDescent="0.2">
      <c r="C57" s="280" t="s">
        <v>52</v>
      </c>
      <c r="D57" s="280"/>
      <c r="E57" s="280"/>
      <c r="F57" s="280"/>
      <c r="G57" s="280"/>
    </row>
    <row r="58" spans="2:8" s="2" customFormat="1" ht="15.75" customHeight="1" x14ac:dyDescent="0.2">
      <c r="C58" s="280" t="s">
        <v>53</v>
      </c>
      <c r="D58" s="280"/>
      <c r="E58" s="280"/>
      <c r="F58" s="280"/>
      <c r="G58" s="280"/>
    </row>
    <row r="59" spans="2:8" ht="15" customHeight="1" x14ac:dyDescent="0.2">
      <c r="B59" s="3"/>
      <c r="C59" s="4" t="s">
        <v>54</v>
      </c>
      <c r="D59" s="4"/>
      <c r="E59" s="4"/>
      <c r="F59" s="4"/>
      <c r="G59" s="4"/>
      <c r="H59" s="2"/>
    </row>
    <row r="60" spans="2:8" ht="15" customHeight="1" x14ac:dyDescent="0.2">
      <c r="B60" s="3"/>
      <c r="C60" s="279" t="s">
        <v>55</v>
      </c>
      <c r="D60" s="4"/>
      <c r="E60" s="4"/>
      <c r="F60" s="4"/>
      <c r="G60" s="4"/>
      <c r="H60" s="2"/>
    </row>
    <row r="61" spans="2:8" x14ac:dyDescent="0.2">
      <c r="C61" s="281" t="s">
        <v>56</v>
      </c>
      <c r="D61" s="281"/>
      <c r="E61" s="281"/>
      <c r="F61" s="281"/>
      <c r="G61" s="281"/>
    </row>
    <row r="62" spans="2:8" x14ac:dyDescent="0.2">
      <c r="H62" s="6"/>
    </row>
  </sheetData>
  <mergeCells count="16">
    <mergeCell ref="C9:G9"/>
    <mergeCell ref="C4:G4"/>
    <mergeCell ref="C5:G5"/>
    <mergeCell ref="C6:G6"/>
    <mergeCell ref="C7:G7"/>
    <mergeCell ref="C8:G8"/>
    <mergeCell ref="C43:G43"/>
    <mergeCell ref="C57:G57"/>
    <mergeCell ref="C58:G58"/>
    <mergeCell ref="C61:G61"/>
    <mergeCell ref="C10:G10"/>
    <mergeCell ref="C11:G11"/>
    <mergeCell ref="C24:G24"/>
    <mergeCell ref="C36:G36"/>
    <mergeCell ref="C37:G37"/>
    <mergeCell ref="C42:G42"/>
  </mergeCells>
  <hyperlinks>
    <hyperlink ref="C8:G8" location="Edad!A1" tooltip="GRUPOS DE EDAD" display="GRUPOS DE EDAD"/>
    <hyperlink ref="C10:G10" location="'renta media'!A1" tooltip="NIVEL DE RENTA DEL TURISTA" display="NIVEL DE RENTA DEL TURISTA"/>
    <hyperlink ref="C11:G11" location="'renta nacionalidades'!A1" tooltip="NIVEL DE RENTA DEL TURISTA POR MERCADOS" display="NIVEL DE RENTA DEL TURISTA POR MERCADOS"/>
    <hyperlink ref="C12:G12" location="'ACOMPAÑANTES '!A1" tooltip="GRUPO VACACIONAL" display="GRUPO VACACIONAL"/>
    <hyperlink ref="C13:G13" location="GASTO!A1" tooltip="GASTO EN ORIGEN Y DESTINO" display="GASTO EN ORIGEN Y DESTINO"/>
    <hyperlink ref="C14:G14" location="'Gasto partidas'!A1" tooltip="GASTO EN DESTINO SEGÚN CONCEPTOS" display="GASTO EN DESTINO SEGÚN CONCEPTOS"/>
    <hyperlink ref="C15:G15" location="'Evolución gasto (nacionalidad) '!A1" tooltip="GASTO SEGÚN MERCADOS" display="GASTO SEGÚN MERCADOS"/>
    <hyperlink ref="C18:G18" location="'fidelidad nac'!A1" tooltip="NIVEL DE FIDELIDAD POR MERCADOS" display="NIVEL DE FIDELIDAD POR MERCADOS"/>
    <hyperlink ref="C20:G20" location="'Zonas de aloja Total y País '!A1" tooltip="ZONA DE ALOJAMIENTO" display="ZONA DE ALOJAMIENTO"/>
    <hyperlink ref="C22:G22" location="'Tipo de alojamiento'!A1" tooltip="TIPO DE ALOJAMIENTO" display="TIPO DE ALOJAMIENTO"/>
    <hyperlink ref="C25:G25" location="'fórmde contratación(new version'!A1" tooltip="FORMULA DE CONTRATACIÓN DEL VUELO Y EL ALOJAMIENTO" display="FORMULA DE CONTRATACIÓN DEL VUELO Y EL ALOJAMIENTO"/>
    <hyperlink ref="C30:G30" location="'Uso de internet'!A1" tooltip="USO INTERNET" display="USO INTERNET"/>
    <hyperlink ref="C32:G32" location="'Actividades realizadas '!A1" tooltip="ACTIVIDADES REALIZADAS" display="ACTIVIDADES REALIZADAS"/>
    <hyperlink ref="C34:G34" location="'Excursiones realizadas'!A1" tooltip="EXCURSIONES REALIZADAS" display="EXCURSIONES REALIZADAS"/>
    <hyperlink ref="C38:G38" location="'Índice satisfacción agrupad '!A1" tooltip="SATISFACCIÓN" display="SATISFACCIÓN"/>
    <hyperlink ref="C39:G39" location="satisfacción!A1" tooltip="SATISFACCIÓN DETALLADA" display="SATISFACCIÓN DETALLADA"/>
    <hyperlink ref="C28:G28" location="'Servi contrata origen '!A1" tooltip="SERVICIOS CONTRATADOS EN ORIGEN" display="SERVICIOS CONTRATADOS EN ORIGEN"/>
    <hyperlink ref="C43:G43" location="'EDAD GRAFICA 1 '!A1" tooltip="GRÁFICA DE LOS GRUPOS DE EDAD (1)" display="GRÁFICA DE LOS GRUPOS DE EDAD (1)"/>
    <hyperlink ref="C44:G44" location="'EDAD GRAFICA 2 '!A1" tooltip="GRÁFICA DE LOS GRUPOS DE EDAD (2)" display="GRÁFICA DE LOS GRUPOS DE EDAD (2)"/>
    <hyperlink ref="C46:G46" location="'GRAFICO RENTA X NACIONAL'!A1" tooltip="GRÁFICA NIVEL DE RENTA DEL TURISTA POR MERCADOS" display="GRÁFICA NIVEL DE RENTA DEL TURISTA POR MERCADOS"/>
    <hyperlink ref="C47:G47" location="'GRAFICA Acompañantes'!A1" tooltip="GRÁFICA GRUPO VACACIONAL" display="GRÁFICA GRUPO VACACIONAL"/>
    <hyperlink ref="C48:G48" location="'GRAFICA GASTO'!A1" tooltip="GRÁFICA GASTO EN ORIGEN Y DESTINO" display="GRÁFICA GASTO EN ORIGEN Y DESTINO"/>
    <hyperlink ref="C49:G49" location="'GRAFICA GASTO PARTIDA'!A1" tooltip="GRÁFICA GASTO EN DESTINO SEGÚN PARTIDAS" display="GRÁFICA GASTO EN DESTINO SEGÚN PARTIDAS"/>
    <hyperlink ref="C52:G52" location="'GRAFICA FIDELIDAD'!A1" tooltip="GRÁFICA FIDELIDAD POR MERCADOS" display="GRÁFICA FIDELIDAD POR MERCADOS"/>
    <hyperlink ref="C53:G53" location="'GRAFICA ZONAS ALOJA PAIS'!A1" tooltip="GRÁFICA ZONA DE ALOJAMIENTO" display="GRÁFICA ZONA DE ALOJAMIENTO"/>
    <hyperlink ref="C54:G54" location="'gráfica tipo alojamiento'!A1" tooltip="GRÁFICA TIPO DE ALOJAMIENTO" display="GRÁFICA TIPO DE ALOJAMIENTO"/>
    <hyperlink ref="C59:G59" location="'grafica indice de satisfacción'!A1" tooltip="GRÁFICA SATISFACCIÓN" display="GRÁFICA SATISFACCIÓN"/>
    <hyperlink ref="C9:G9" location="'edad por mercados'!A1" tooltip="EDAD MEDIA DE LOS TURISTAS POR MERCADOS" display="EDAD MEDIA DE LOS TURISTAS POR MERCADOS"/>
    <hyperlink ref="C45:G45" location="'GRAFICA EDAD POR MERCADOS'!A1" tooltip="GRÁFICA EDAD MEDIA DE LOS TURISTAS POR MERCADOS" display="GRÁFICA EDAD MEDIA DE LOS TURISTAS POR MERCADOS"/>
    <hyperlink ref="C21:G21" location="'estancia media nacionalidades'!A1" tooltip="ESTANCIA MEDIA POR MERCADOS" display="ESTANCIA MEDIA POR MERCADOS"/>
    <hyperlink ref="C55:G55" location="'GRAFICA estancia media nac'!A1" tooltip="GRÁFICA ESTANCIA MEDIA POR MERCADOS" display="GRÁFICA ESTANCIA MEDIA POR MERCADOS"/>
    <hyperlink ref="C29:G29" location="'escala nacionalidad'!A1" tooltip="SERVICIOS CONTRATADOS EN ORIGEN" display="TURISTAS QUE REALIZAN ESCALA EN SU VIAJE POR MERCADOS"/>
    <hyperlink ref="C56:G56" location="'GRAFICA ESCALA nac'!A1" tooltip="GRÁFICA TIPO DE ALOJAMIENTO" display="GRÁFICA REALIZACIÓN DE ESCALA EN EL VIAJE POR MERCADOS"/>
    <hyperlink ref="C31:G31" location="'internet nacionalidad'!A1" tooltip="USO INTERNET" display="USO INTERNET POR MERCADOS"/>
    <hyperlink ref="C33:G33" location="'actividades nacionalidad'!A1" tooltip="ACTIVIDADES REALIZADAS" display="ACTIVIDADES REALIZADAS POR MERCADOS"/>
    <hyperlink ref="C35:G35" location="'excursiones nacionalidad'!A1" tooltip="EXCURSIONES REALIZADAS" display="EXCURSIONES REALIZADAS POR MERCADOS"/>
    <hyperlink ref="C23" location="'uso coche '!A1" display="USO DE COCHE "/>
    <hyperlink ref="C26:G26" location="'fórmula de contratación por mer'!A1" tooltip="FÓRMULA DE CONTRATACIÓN MODALIDAD PAQUETE TURÍSTICO  POR NACIONALIDADES (%)" display="FÓRMULA DE CONTRATACIÓN MODALIDAD PAQUETE TURÍSTICO  POR NACIONALIDADES (%)"/>
    <hyperlink ref="C27:G27" location="'fórmula de contratación por mer'!A116" tooltip="FÓRMULA DE CONTRATACIÓN INDEPENDIENTE DE LOS SERVICIOS DEL VIAJE POR NACIONALIDADES (%)" display="FÓRMULA DE CONTRATACIÓN INDEPENDIENTE DE LOS SERVICIOS DEL VIAJE POR NACIONALIDADES (%)"/>
    <hyperlink ref="C40:G40" location="'satisfacción nacionalidad '!A1" tooltip="SATISFACCIÓN GLOBAL DE LOS TURISTAS CON SU VIAJE A TENERIFE POR NACIONALIDADES" display="SATISFACCIÓN GLOBAL DE LOS TURISTAS CON SU VIAJE A TENERIFE POR NACIONALIDADES"/>
    <hyperlink ref="C41" location="'IMPORTANCIA FACTORES'!A1" tooltip="ORDEN DE IMPORTANCIA DE LOS FACTORES EN SU VIAJE" display="ORDEN DE IMPORTANCIA DE LOS FACTORES EN SU VIAJE"/>
    <hyperlink ref="C60:G60" location="'IMPORTANCIA FACTORES'!A1" tooltip="ORDEN DE IMPORTANCIA DE LOS FACTORES EN SU VIAJE" display="ORDEN DE IMPORTANCIA DE LOS FACTORES EN SU VIAJE"/>
    <hyperlink ref="C16:G16" location="'fidelidad '!A1" tooltip="NIVEL DE FIDELIDAD" display="NIVEL DE FIDELIDAD"/>
    <hyperlink ref="C23:G23" location="'uso coche '!A1" tooltip="USO DE COCHE " display="USO DE COCHE "/>
    <hyperlink ref="C60" location="'satisfacción nacionalidad '!A55" tooltip="GRÁFICA SATISFACCIÓN GLOBAL DE LOS TURISTAS POR NACIONALIDADES" display="GRÁFICA SATISFACCIÓN GLOBAL DE LOS TURISTAS POR NACIONALIDADES"/>
    <hyperlink ref="C19" location="'fidelidad nac'!A57" tooltip="NIVEL DE FIDELIDAD POR MERCADOS (Últimos 5 años)" display="NIVEL DE FIDELIDAD POR MERCADOS (Últimos 5 años)"/>
    <hyperlink ref="C24:G24" location="transfer!A1" tooltip="TRANSFER" display="TRANSFER USADO PARA SU TRASLADO AL AEROPUERTO"/>
    <hyperlink ref="C17" location="'fidelidad '!A40" tooltip="NIVEL DE FIDELIDAD (Últimos 5 años)" display="NIVEL DE FIDELIDAD (Últimos 5 años)"/>
    <hyperlink ref="C50:C51" location="'GRAFICA FIDELIDAD'!A1" tooltip="GRÁFICA FIDELIDAD POR MERCADOS" display="GRÁFICA FIDELIDAD POR MERCADOS"/>
    <hyperlink ref="C50" location="'GRAFICA FIDELIDAD'!A1" tooltip="GRÁFICA FIDELIDAD" display="GRÁFICA FIDELIDAD"/>
    <hyperlink ref="C51" location="'GRAFICA FIDELIDAD'!A60" tooltip="GRÁFICA FIDELIDAD (Últimos 5 años)" display="GRÁFICA FIDELIDAD (Últimos 5 años)"/>
    <hyperlink ref="C52" location="'GRAFICA FIDELIDAD NAC'!A1" tooltip="GRÁFICA FIDELIDAD POR MERCADOS" display="GRÁFICA FIDELIDAD POR MERCADOS"/>
    <hyperlink ref="C36:G36" location="Motivación!A40" tooltip="MOTIVOS ELECCIÓN TENERIFE" display="MOTIVOS ELECCIÓN TENERIFE (% SOBRE CASOS)"/>
    <hyperlink ref="C37:G37" location="'Motivación repuestas'!A1" tooltip="MOTIVOS ELECCIÓN TENERIFE" display="MOTIVOS ELECCIÓN TENERIFE (% SOBRE RESPUESTAS)"/>
    <hyperlink ref="C57:G57" location="'gráfica motivación casos'!A1" tooltip="GRÁFICA MOTIVOS ELECCIÓN TENERIFE" display="GRÁFICA MOTIVOS ELECCIÓN TENERIFE (% SOBRE CASOS)"/>
    <hyperlink ref="C58:G58" location="'gráfica motivación repuestas'!A1" tooltip="GRÁFICA MOTIVOS ELECCIÓN TENERIFE" display="GRÁFICA MOTIVOS ELECCIÓN TENERIFE (% sobre respuestas)"/>
  </hyperlinks>
  <printOptions horizontalCentered="1" verticalCentered="1"/>
  <pageMargins left="0.39370078740157483" right="0.39370078740157483" top="0.71" bottom="0.39370078740157483" header="0.17" footer="0.11811023622047245"/>
  <pageSetup paperSize="9" scale="88" orientation="portrait" r:id="rId1"/>
  <headerFooter>
    <oddHeader>&amp;L&amp;G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N32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1" width="19.5703125" customWidth="1"/>
    <col min="3" max="3" width="22.5703125" customWidth="1"/>
    <col min="4" max="8" width="7.7109375" customWidth="1"/>
    <col min="9" max="9" width="9.28515625" bestFit="1" customWidth="1"/>
    <col min="10" max="13" width="7.7109375" hidden="1" customWidth="1"/>
    <col min="14" max="14" width="7.7109375" customWidth="1"/>
  </cols>
  <sheetData>
    <row r="2" spans="3:14" ht="34.5" customHeight="1" x14ac:dyDescent="0.2"/>
    <row r="4" spans="3:14" ht="23.25" customHeight="1" x14ac:dyDescent="0.2">
      <c r="C4" s="286" t="s">
        <v>132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</row>
    <row r="5" spans="3:14" ht="25.5" x14ac:dyDescent="0.2">
      <c r="C5" s="42"/>
      <c r="D5" s="10">
        <v>2007</v>
      </c>
      <c r="E5" s="10">
        <v>2008</v>
      </c>
      <c r="F5" s="10">
        <v>2009</v>
      </c>
      <c r="G5" s="10">
        <v>2010</v>
      </c>
      <c r="H5" s="10">
        <v>2011</v>
      </c>
      <c r="I5" s="10">
        <v>2012</v>
      </c>
      <c r="J5" s="11" t="s">
        <v>58</v>
      </c>
      <c r="K5" s="11" t="s">
        <v>59</v>
      </c>
      <c r="L5" s="11" t="s">
        <v>60</v>
      </c>
      <c r="M5" s="11" t="s">
        <v>61</v>
      </c>
      <c r="N5" s="11" t="s">
        <v>62</v>
      </c>
    </row>
    <row r="6" spans="3:14" ht="15" customHeight="1" x14ac:dyDescent="0.2">
      <c r="C6" s="86" t="s">
        <v>133</v>
      </c>
      <c r="D6" s="13">
        <v>54.345454545454501</v>
      </c>
      <c r="E6" s="13">
        <v>55.145454545454548</v>
      </c>
      <c r="F6" s="13">
        <v>56.1</v>
      </c>
      <c r="G6" s="13">
        <v>56.572727272727271</v>
      </c>
      <c r="H6" s="13">
        <v>53.690909090909088</v>
      </c>
      <c r="I6" s="13">
        <v>57.481818181818184</v>
      </c>
      <c r="J6" s="14">
        <f t="shared" ref="J6:K11" si="0">E6/D6-1</f>
        <v>1.4720642355303681E-2</v>
      </c>
      <c r="K6" s="14">
        <f t="shared" si="0"/>
        <v>1.7309594460929834E-2</v>
      </c>
      <c r="L6" s="14">
        <f t="shared" ref="L6:N15" si="1">IFERROR(G6/F6-1,"-")</f>
        <v>8.4265111003078985E-3</v>
      </c>
      <c r="M6" s="14">
        <f t="shared" si="1"/>
        <v>-5.0940061063795561E-2</v>
      </c>
      <c r="N6" s="14">
        <f t="shared" si="1"/>
        <v>7.0606163223840168E-2</v>
      </c>
    </row>
    <row r="7" spans="3:14" ht="15" customHeight="1" x14ac:dyDescent="0.2">
      <c r="C7" s="86" t="s">
        <v>134</v>
      </c>
      <c r="D7" s="13">
        <v>17.363636363636399</v>
      </c>
      <c r="E7" s="13">
        <v>16.227272727272727</v>
      </c>
      <c r="F7" s="13">
        <v>14.927272727272728</v>
      </c>
      <c r="G7" s="13">
        <v>16.663636363636364</v>
      </c>
      <c r="H7" s="13">
        <v>17.381818181818183</v>
      </c>
      <c r="I7" s="13">
        <v>14.963636363636363</v>
      </c>
      <c r="J7" s="14">
        <f t="shared" si="0"/>
        <v>-6.54450261780124E-2</v>
      </c>
      <c r="K7" s="14">
        <f t="shared" si="0"/>
        <v>-8.0112044817927108E-2</v>
      </c>
      <c r="L7" s="14">
        <f t="shared" si="1"/>
        <v>0.11632155907429964</v>
      </c>
      <c r="M7" s="14">
        <f t="shared" si="1"/>
        <v>4.3098745226404889E-2</v>
      </c>
      <c r="N7" s="14">
        <f t="shared" si="1"/>
        <v>-0.13912133891213396</v>
      </c>
    </row>
    <row r="8" spans="3:14" ht="15" customHeight="1" x14ac:dyDescent="0.2">
      <c r="C8" s="86" t="s">
        <v>135</v>
      </c>
      <c r="D8" s="13">
        <v>9.2181818181818205</v>
      </c>
      <c r="E8" s="13">
        <v>9.745454545454546</v>
      </c>
      <c r="F8" s="13">
        <v>9.5272727272727273</v>
      </c>
      <c r="G8" s="13">
        <v>8.827272727272728</v>
      </c>
      <c r="H8" s="13">
        <v>9.5</v>
      </c>
      <c r="I8" s="13">
        <v>9.1454545454545446</v>
      </c>
      <c r="J8" s="14">
        <f t="shared" si="0"/>
        <v>5.719921104536474E-2</v>
      </c>
      <c r="K8" s="14">
        <f t="shared" si="0"/>
        <v>-2.2388059701492602E-2</v>
      </c>
      <c r="L8" s="14">
        <f t="shared" si="1"/>
        <v>-7.3473282442747978E-2</v>
      </c>
      <c r="M8" s="14">
        <f t="shared" si="1"/>
        <v>7.6210092687950537E-2</v>
      </c>
      <c r="N8" s="14">
        <f t="shared" si="1"/>
        <v>-3.7320574162679532E-2</v>
      </c>
    </row>
    <row r="9" spans="3:14" ht="15" customHeight="1" x14ac:dyDescent="0.2">
      <c r="C9" s="86" t="s">
        <v>136</v>
      </c>
      <c r="D9" s="13">
        <v>5.8545454545454501</v>
      </c>
      <c r="E9" s="13">
        <v>5.3909090909090907</v>
      </c>
      <c r="F9" s="13">
        <v>6.3090909090909095</v>
      </c>
      <c r="G9" s="13">
        <v>5.3909090909090907</v>
      </c>
      <c r="H9" s="13">
        <v>5.4909090909090912</v>
      </c>
      <c r="I9" s="13">
        <v>5.5363636363636362</v>
      </c>
      <c r="J9" s="14">
        <f>E9/D9-1</f>
        <v>-7.9192546583850221E-2</v>
      </c>
      <c r="K9" s="14">
        <f>F9/E9-1</f>
        <v>0.17032040472175392</v>
      </c>
      <c r="L9" s="14">
        <f t="shared" si="1"/>
        <v>-0.14553314121037475</v>
      </c>
      <c r="M9" s="14">
        <f t="shared" si="1"/>
        <v>1.8549747048903997E-2</v>
      </c>
      <c r="N9" s="14">
        <f t="shared" si="1"/>
        <v>8.2781456953642252E-3</v>
      </c>
    </row>
    <row r="10" spans="3:14" ht="15" customHeight="1" x14ac:dyDescent="0.2">
      <c r="C10" s="86" t="s">
        <v>137</v>
      </c>
      <c r="D10" s="13">
        <v>8.7181818181818205</v>
      </c>
      <c r="E10" s="13">
        <v>7.9636363636363638</v>
      </c>
      <c r="F10" s="13">
        <v>7.8090909090909095</v>
      </c>
      <c r="G10" s="13">
        <v>6.290909090909091</v>
      </c>
      <c r="H10" s="13">
        <v>5.918181818181818</v>
      </c>
      <c r="I10" s="13">
        <v>5.918181818181818</v>
      </c>
      <c r="J10" s="14">
        <f t="shared" si="0"/>
        <v>-8.654848800834225E-2</v>
      </c>
      <c r="K10" s="14">
        <f t="shared" si="0"/>
        <v>-1.9406392694063856E-2</v>
      </c>
      <c r="L10" s="14">
        <f t="shared" si="1"/>
        <v>-0.19441210710128054</v>
      </c>
      <c r="M10" s="14">
        <f t="shared" si="1"/>
        <v>-5.9248554913294837E-2</v>
      </c>
      <c r="N10" s="14">
        <f t="shared" si="1"/>
        <v>0</v>
      </c>
    </row>
    <row r="11" spans="3:14" ht="15" customHeight="1" x14ac:dyDescent="0.2">
      <c r="C11" s="86" t="s">
        <v>138</v>
      </c>
      <c r="D11" s="13">
        <v>2.1363636363636398</v>
      </c>
      <c r="E11" s="13">
        <v>3.0181818181818181</v>
      </c>
      <c r="F11" s="13">
        <v>3.0909090909090908</v>
      </c>
      <c r="G11" s="13">
        <v>2.6454545454545455</v>
      </c>
      <c r="H11" s="13">
        <v>3.3909090909090911</v>
      </c>
      <c r="I11" s="13">
        <v>3.1363636363636362</v>
      </c>
      <c r="J11" s="14">
        <f t="shared" si="0"/>
        <v>0.41276595744680611</v>
      </c>
      <c r="K11" s="14">
        <f t="shared" si="0"/>
        <v>2.4096385542168752E-2</v>
      </c>
      <c r="L11" s="14">
        <f t="shared" si="1"/>
        <v>-0.14411764705882346</v>
      </c>
      <c r="M11" s="14">
        <f t="shared" si="1"/>
        <v>0.28178694158075612</v>
      </c>
      <c r="N11" s="14">
        <f t="shared" si="1"/>
        <v>-7.5067024128686377E-2</v>
      </c>
    </row>
    <row r="12" spans="3:14" ht="15" customHeight="1" x14ac:dyDescent="0.2">
      <c r="C12" s="87" t="s">
        <v>139</v>
      </c>
      <c r="D12" s="88"/>
      <c r="E12" s="88"/>
      <c r="F12" s="88"/>
      <c r="G12" s="88">
        <v>1.5909090909090908</v>
      </c>
      <c r="H12" s="88">
        <v>2.8090909090909091</v>
      </c>
      <c r="I12" s="88">
        <v>2.0636363636363635</v>
      </c>
      <c r="J12" s="14"/>
      <c r="K12" s="14"/>
      <c r="L12" s="14" t="str">
        <f t="shared" si="1"/>
        <v>-</v>
      </c>
      <c r="M12" s="14">
        <f t="shared" si="1"/>
        <v>0.76571428571428579</v>
      </c>
      <c r="N12" s="14">
        <f t="shared" si="1"/>
        <v>-0.26537216828478971</v>
      </c>
    </row>
    <row r="13" spans="3:14" ht="15" customHeight="1" x14ac:dyDescent="0.2">
      <c r="C13" s="86" t="s">
        <v>140</v>
      </c>
      <c r="D13" s="13">
        <v>0.27272727272727298</v>
      </c>
      <c r="E13" s="13">
        <v>0.76363636363636367</v>
      </c>
      <c r="F13" s="13">
        <v>0.8545454545454545</v>
      </c>
      <c r="G13" s="13">
        <v>0.9363636363636364</v>
      </c>
      <c r="H13" s="13">
        <v>1.1272727272727272</v>
      </c>
      <c r="I13" s="13">
        <v>0.96363636363636362</v>
      </c>
      <c r="J13" s="14">
        <f>E13/D13-1</f>
        <v>1.7999999999999976</v>
      </c>
      <c r="K13" s="14">
        <f t="shared" ref="J13:K15" si="2">F13/E13-1</f>
        <v>0.11904761904761885</v>
      </c>
      <c r="L13" s="14">
        <f t="shared" si="1"/>
        <v>9.5744680851064023E-2</v>
      </c>
      <c r="M13" s="14">
        <f t="shared" si="1"/>
        <v>0.20388349514563098</v>
      </c>
      <c r="N13" s="14">
        <f t="shared" si="1"/>
        <v>-0.14516129032258063</v>
      </c>
    </row>
    <row r="14" spans="3:14" ht="15" customHeight="1" x14ac:dyDescent="0.2">
      <c r="C14" s="89" t="s">
        <v>141</v>
      </c>
      <c r="D14" s="90">
        <f t="shared" ref="D14:I14" si="3">SUM(D7,D11)</f>
        <v>19.500000000000039</v>
      </c>
      <c r="E14" s="90">
        <f t="shared" si="3"/>
        <v>19.245454545454546</v>
      </c>
      <c r="F14" s="90">
        <f t="shared" si="3"/>
        <v>18.018181818181819</v>
      </c>
      <c r="G14" s="90">
        <f t="shared" si="3"/>
        <v>19.309090909090909</v>
      </c>
      <c r="H14" s="90">
        <f t="shared" si="3"/>
        <v>20.772727272727273</v>
      </c>
      <c r="I14" s="90">
        <f t="shared" si="3"/>
        <v>18.099999999999998</v>
      </c>
      <c r="J14" s="91">
        <f>E14/D14-1</f>
        <v>-1.3053613053614965E-2</v>
      </c>
      <c r="K14" s="91">
        <f t="shared" si="2"/>
        <v>-6.376948512045344E-2</v>
      </c>
      <c r="L14" s="91">
        <f t="shared" si="1"/>
        <v>7.1644803229061527E-2</v>
      </c>
      <c r="M14" s="91">
        <f t="shared" si="1"/>
        <v>7.5800376647834344E-2</v>
      </c>
      <c r="N14" s="91">
        <f t="shared" si="1"/>
        <v>-0.12866520787746183</v>
      </c>
    </row>
    <row r="15" spans="3:14" ht="15" customHeight="1" x14ac:dyDescent="0.2">
      <c r="C15" s="86" t="s">
        <v>142</v>
      </c>
      <c r="D15" s="13">
        <v>2.0909090909090899</v>
      </c>
      <c r="E15" s="13">
        <v>1.7454545454545454</v>
      </c>
      <c r="F15" s="13">
        <v>1.3818181818181818</v>
      </c>
      <c r="G15" s="13">
        <v>1.0818181818181818</v>
      </c>
      <c r="H15" s="13">
        <v>0.69090909090909092</v>
      </c>
      <c r="I15" s="13">
        <v>0.79090909090909089</v>
      </c>
      <c r="J15" s="14">
        <f t="shared" si="2"/>
        <v>-0.16521739130434743</v>
      </c>
      <c r="K15" s="14">
        <f t="shared" si="2"/>
        <v>-0.20833333333333326</v>
      </c>
      <c r="L15" s="14">
        <f t="shared" si="1"/>
        <v>-0.2171052631578948</v>
      </c>
      <c r="M15" s="14">
        <f t="shared" si="1"/>
        <v>-0.36134453781512599</v>
      </c>
      <c r="N15" s="14">
        <f t="shared" si="1"/>
        <v>0.14473684210526305</v>
      </c>
    </row>
    <row r="16" spans="3:14" ht="47.25" customHeight="1" x14ac:dyDescent="0.2">
      <c r="C16" s="288" t="s">
        <v>143</v>
      </c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</row>
    <row r="17" spans="3:14" x14ac:dyDescent="0.2"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3:14" x14ac:dyDescent="0.2">
      <c r="C18" s="15"/>
      <c r="D18" s="15"/>
      <c r="E18" s="15"/>
      <c r="F18" s="39"/>
      <c r="G18" s="39"/>
      <c r="H18" s="39"/>
      <c r="I18" s="39"/>
      <c r="J18" s="15"/>
      <c r="K18" s="15"/>
      <c r="L18" s="15"/>
      <c r="M18" s="15"/>
      <c r="N18" s="15"/>
    </row>
    <row r="19" spans="3:14" x14ac:dyDescent="0.2">
      <c r="C19" s="15"/>
      <c r="D19" s="15"/>
      <c r="E19" s="15"/>
      <c r="F19" s="15"/>
      <c r="G19" s="92"/>
      <c r="H19" s="92"/>
      <c r="I19" s="92"/>
      <c r="J19" s="15"/>
      <c r="K19" s="15"/>
      <c r="L19" s="15"/>
      <c r="M19" s="15"/>
      <c r="N19" s="15"/>
    </row>
    <row r="20" spans="3:14" x14ac:dyDescent="0.2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3:14" x14ac:dyDescent="0.2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3:14" x14ac:dyDescent="0.2">
      <c r="C22" s="15"/>
      <c r="D22" s="15"/>
      <c r="E22" s="15"/>
      <c r="F22" s="15"/>
      <c r="I22" s="287" t="s">
        <v>102</v>
      </c>
      <c r="J22" s="15"/>
    </row>
    <row r="23" spans="3:14" x14ac:dyDescent="0.2">
      <c r="C23" s="15"/>
      <c r="D23" s="15"/>
      <c r="E23" s="15"/>
      <c r="F23" s="15"/>
      <c r="G23" s="15"/>
      <c r="H23" s="15"/>
      <c r="I23" s="287"/>
      <c r="J23" s="15"/>
    </row>
    <row r="24" spans="3:14" x14ac:dyDescent="0.2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6" spans="3:14" ht="15.75" x14ac:dyDescent="0.2">
      <c r="C26" s="286" t="s">
        <v>144</v>
      </c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</row>
    <row r="27" spans="3:14" ht="25.5" x14ac:dyDescent="0.2">
      <c r="C27" s="42"/>
      <c r="D27" s="10">
        <v>2007</v>
      </c>
      <c r="E27" s="10">
        <v>2008</v>
      </c>
      <c r="F27" s="10">
        <v>2009</v>
      </c>
      <c r="G27" s="10">
        <v>2010</v>
      </c>
      <c r="H27" s="10">
        <v>2011</v>
      </c>
      <c r="I27" s="10">
        <v>2012</v>
      </c>
      <c r="J27" s="11" t="s">
        <v>58</v>
      </c>
      <c r="K27" s="11" t="s">
        <v>59</v>
      </c>
      <c r="L27" s="11" t="s">
        <v>60</v>
      </c>
      <c r="M27" s="11" t="s">
        <v>61</v>
      </c>
      <c r="N27" s="11" t="s">
        <v>62</v>
      </c>
    </row>
    <row r="28" spans="3:14" x14ac:dyDescent="0.2">
      <c r="C28" s="93" t="s">
        <v>145</v>
      </c>
      <c r="D28" s="94">
        <v>15.8818181818182</v>
      </c>
      <c r="E28" s="94">
        <v>14.7</v>
      </c>
      <c r="F28" s="94">
        <v>13.781818181818181</v>
      </c>
      <c r="G28" s="94">
        <v>15.781818181818181</v>
      </c>
      <c r="H28" s="94">
        <v>17.190909090909091</v>
      </c>
      <c r="I28" s="94">
        <v>14.418181818181818</v>
      </c>
      <c r="J28" s="95">
        <f t="shared" ref="J28:K31" si="4">E28/D28-1</f>
        <v>-7.4413279908415508E-2</v>
      </c>
      <c r="K28" s="95">
        <f t="shared" si="4"/>
        <v>-6.2461348175633868E-2</v>
      </c>
      <c r="L28" s="95">
        <f>IFERROR(G28/F28-1,"-")</f>
        <v>0.14511873350923477</v>
      </c>
      <c r="M28" s="95">
        <f t="shared" ref="M28:N31" si="5">IFERROR(H28/G28-1,"-")</f>
        <v>8.9285714285714413E-2</v>
      </c>
      <c r="N28" s="95">
        <f t="shared" si="5"/>
        <v>-0.16129032258064524</v>
      </c>
    </row>
    <row r="29" spans="3:14" x14ac:dyDescent="0.2">
      <c r="C29" s="86" t="s">
        <v>146</v>
      </c>
      <c r="D29" s="13">
        <v>13.533834586466201</v>
      </c>
      <c r="E29" s="13">
        <v>14.18403660396543</v>
      </c>
      <c r="F29" s="13">
        <v>14.772727272727273</v>
      </c>
      <c r="G29" s="13">
        <v>14.352283317800559</v>
      </c>
      <c r="H29" s="13">
        <v>13.723776223776223</v>
      </c>
      <c r="I29" s="13">
        <v>14.076399790685505</v>
      </c>
      <c r="J29" s="14">
        <f t="shared" si="4"/>
        <v>4.8042704626331867E-2</v>
      </c>
      <c r="K29" s="14">
        <f t="shared" si="4"/>
        <v>4.1503747148908587E-2</v>
      </c>
      <c r="L29" s="14">
        <f>IFERROR(G29/F29-1,"-")</f>
        <v>-2.8460821564269878E-2</v>
      </c>
      <c r="M29" s="14">
        <f t="shared" si="5"/>
        <v>-4.379143583689038E-2</v>
      </c>
      <c r="N29" s="14">
        <f t="shared" si="5"/>
        <v>2.5694354174790934E-2</v>
      </c>
    </row>
    <row r="30" spans="3:14" x14ac:dyDescent="0.2">
      <c r="C30" s="86" t="s">
        <v>147</v>
      </c>
      <c r="D30" s="13">
        <v>35.902255639097703</v>
      </c>
      <c r="E30" s="13">
        <v>35.790543975597359</v>
      </c>
      <c r="F30" s="13">
        <v>34.632034632034632</v>
      </c>
      <c r="G30" s="13">
        <v>37.418452935694312</v>
      </c>
      <c r="H30" s="13">
        <v>34.87762237762238</v>
      </c>
      <c r="I30" s="13">
        <v>35.897435897435898</v>
      </c>
      <c r="J30" s="14">
        <f t="shared" si="4"/>
        <v>-3.1115499990671536E-3</v>
      </c>
      <c r="K30" s="14">
        <f t="shared" si="4"/>
        <v>-3.2369146005509664E-2</v>
      </c>
      <c r="L30" s="14">
        <f>IFERROR(G30/F30-1,"-")</f>
        <v>8.045782851817318E-2</v>
      </c>
      <c r="M30" s="14">
        <f t="shared" si="5"/>
        <v>-6.7903142934276017E-2</v>
      </c>
      <c r="N30" s="14">
        <f t="shared" si="5"/>
        <v>2.9239766081871288E-2</v>
      </c>
    </row>
    <row r="31" spans="3:14" x14ac:dyDescent="0.2">
      <c r="C31" s="86" t="s">
        <v>148</v>
      </c>
      <c r="D31" s="13">
        <v>50.563909774436098</v>
      </c>
      <c r="E31" s="13">
        <v>50.025419420437217</v>
      </c>
      <c r="F31" s="13">
        <v>50.595238095238095</v>
      </c>
      <c r="G31" s="13">
        <v>48.229263746505126</v>
      </c>
      <c r="H31" s="13">
        <v>51.3986013986014</v>
      </c>
      <c r="I31" s="13">
        <v>50.026164311878595</v>
      </c>
      <c r="J31" s="14">
        <f t="shared" si="4"/>
        <v>-1.0649697707338479E-2</v>
      </c>
      <c r="K31" s="14">
        <f t="shared" si="4"/>
        <v>1.1390582655826487E-2</v>
      </c>
      <c r="L31" s="14">
        <f>IFERROR(G31/F31-1,"-")</f>
        <v>-4.6762787127898719E-2</v>
      </c>
      <c r="M31" s="14">
        <f t="shared" si="5"/>
        <v>6.5713996148778708E-2</v>
      </c>
      <c r="N31" s="14">
        <f t="shared" si="5"/>
        <v>-2.6701837197464107E-2</v>
      </c>
    </row>
    <row r="32" spans="3:14" x14ac:dyDescent="0.2">
      <c r="C32" s="288" t="s">
        <v>73</v>
      </c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</row>
  </sheetData>
  <mergeCells count="5">
    <mergeCell ref="C4:N4"/>
    <mergeCell ref="C16:N16"/>
    <mergeCell ref="I22:I23"/>
    <mergeCell ref="C26:N26"/>
    <mergeCell ref="C32:N32"/>
  </mergeCells>
  <hyperlinks>
    <hyperlink ref="I22:I23" location="'GRAFICA Acompañante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37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2" max="2" width="25.85546875" customWidth="1"/>
    <col min="3" max="3" width="21.42578125" bestFit="1" customWidth="1"/>
    <col min="4" max="4" width="12" customWidth="1"/>
  </cols>
  <sheetData>
    <row r="5" ht="21" customHeight="1" x14ac:dyDescent="0.2"/>
    <row r="16" ht="8.25" customHeight="1" x14ac:dyDescent="0.2"/>
    <row r="23" spans="1:7" ht="6" customHeight="1" x14ac:dyDescent="0.2"/>
    <row r="26" spans="1:7" x14ac:dyDescent="0.2">
      <c r="E26" s="15"/>
      <c r="F26" s="15"/>
      <c r="G26" s="15"/>
    </row>
    <row r="27" spans="1:7" x14ac:dyDescent="0.2">
      <c r="E27" s="15"/>
      <c r="F27" s="15"/>
      <c r="G27" s="15"/>
    </row>
    <row r="28" spans="1:7" x14ac:dyDescent="0.2">
      <c r="E28" s="15"/>
      <c r="F28" s="15"/>
      <c r="G28" s="15"/>
    </row>
    <row r="29" spans="1:7" x14ac:dyDescent="0.2">
      <c r="E29" s="15"/>
      <c r="F29" s="15"/>
      <c r="G29" s="15"/>
    </row>
    <row r="30" spans="1:7" x14ac:dyDescent="0.2">
      <c r="E30" s="15"/>
      <c r="F30" s="15"/>
      <c r="G30" s="15"/>
    </row>
    <row r="31" spans="1:7" x14ac:dyDescent="0.2">
      <c r="E31" s="15"/>
      <c r="F31" s="15"/>
      <c r="G31" s="15"/>
    </row>
    <row r="32" spans="1:7" x14ac:dyDescent="0.2">
      <c r="A32" s="287" t="s">
        <v>76</v>
      </c>
      <c r="E32" s="15"/>
      <c r="F32" s="15"/>
      <c r="G32" s="15"/>
    </row>
    <row r="33" spans="1:7" x14ac:dyDescent="0.2">
      <c r="A33" s="287"/>
      <c r="E33" s="15"/>
      <c r="F33" s="15"/>
      <c r="G33" s="15"/>
    </row>
    <row r="34" spans="1:7" x14ac:dyDescent="0.2">
      <c r="E34" s="15"/>
      <c r="F34" s="15"/>
    </row>
    <row r="35" spans="1:7" x14ac:dyDescent="0.2">
      <c r="E35" s="15"/>
      <c r="F35" s="15"/>
    </row>
    <row r="36" spans="1:7" x14ac:dyDescent="0.2">
      <c r="E36" s="15"/>
      <c r="F36" s="15"/>
      <c r="G36" s="15"/>
    </row>
    <row r="37" spans="1:7" x14ac:dyDescent="0.2">
      <c r="E37" s="15"/>
      <c r="F37" s="15"/>
      <c r="G37" s="15"/>
    </row>
  </sheetData>
  <mergeCells count="1">
    <mergeCell ref="A32:A33"/>
  </mergeCells>
  <hyperlinks>
    <hyperlink ref="A32:A33" location="'ACOMPAÑANTE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1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N20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2" width="11.42578125" style="1"/>
    <col min="3" max="3" width="14.140625" style="1" bestFit="1" customWidth="1"/>
    <col min="4" max="5" width="7.85546875" style="1" bestFit="1" customWidth="1"/>
    <col min="6" max="9" width="7.7109375" style="1" customWidth="1"/>
    <col min="10" max="13" width="7.7109375" style="1" hidden="1" customWidth="1"/>
    <col min="14" max="14" width="7.7109375" style="1" customWidth="1"/>
    <col min="15" max="16384" width="11.42578125" style="1"/>
  </cols>
  <sheetData>
    <row r="1" spans="3:14" ht="39.75" customHeight="1" x14ac:dyDescent="0.2">
      <c r="C1" s="96"/>
    </row>
    <row r="2" spans="3:14" ht="39.75" customHeight="1" x14ac:dyDescent="0.2"/>
    <row r="3" spans="3:14" ht="27" customHeight="1" x14ac:dyDescent="0.2">
      <c r="C3" s="286" t="s">
        <v>149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</row>
    <row r="4" spans="3:14" ht="15" customHeight="1" x14ac:dyDescent="0.2">
      <c r="C4" s="295" t="s">
        <v>150</v>
      </c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3:14" ht="25.5" x14ac:dyDescent="0.2">
      <c r="C5" s="97"/>
      <c r="D5" s="98">
        <v>2007</v>
      </c>
      <c r="E5" s="98">
        <v>2008</v>
      </c>
      <c r="F5" s="98">
        <v>2009</v>
      </c>
      <c r="G5" s="98">
        <v>2010</v>
      </c>
      <c r="H5" s="98">
        <v>2011</v>
      </c>
      <c r="I5" s="98">
        <v>2012</v>
      </c>
      <c r="J5" s="11" t="s">
        <v>58</v>
      </c>
      <c r="K5" s="11" t="s">
        <v>59</v>
      </c>
      <c r="L5" s="11" t="s">
        <v>60</v>
      </c>
      <c r="M5" s="11" t="s">
        <v>61</v>
      </c>
      <c r="N5" s="11" t="s">
        <v>62</v>
      </c>
    </row>
    <row r="6" spans="3:14" ht="15" customHeight="1" x14ac:dyDescent="0.2">
      <c r="C6" s="99" t="s">
        <v>151</v>
      </c>
      <c r="D6" s="100">
        <v>637.36725732437696</v>
      </c>
      <c r="E6" s="100">
        <v>643.17659762201754</v>
      </c>
      <c r="F6" s="101">
        <v>630.41157436711387</v>
      </c>
      <c r="G6" s="101">
        <v>653.13452385656899</v>
      </c>
      <c r="H6" s="101">
        <v>673.03015379474505</v>
      </c>
      <c r="I6" s="101">
        <v>696.13350341504815</v>
      </c>
      <c r="J6" s="14">
        <f t="shared" ref="J6:N8" si="0">E6/D6-1</f>
        <v>9.1145885372709845E-3</v>
      </c>
      <c r="K6" s="14">
        <f t="shared" si="0"/>
        <v>-1.9846840357841233E-2</v>
      </c>
      <c r="L6" s="14">
        <f t="shared" si="0"/>
        <v>3.6044626103616917E-2</v>
      </c>
      <c r="M6" s="14">
        <f t="shared" si="0"/>
        <v>3.046176432490233E-2</v>
      </c>
      <c r="N6" s="14">
        <f t="shared" si="0"/>
        <v>3.4327361842615201E-2</v>
      </c>
    </row>
    <row r="7" spans="3:14" ht="15" customHeight="1" x14ac:dyDescent="0.2">
      <c r="C7" s="99" t="s">
        <v>152</v>
      </c>
      <c r="D7" s="100">
        <v>388.14461438331301</v>
      </c>
      <c r="E7" s="100">
        <v>376.69051645709465</v>
      </c>
      <c r="F7" s="101">
        <v>357.95475030382158</v>
      </c>
      <c r="G7" s="101">
        <v>359.88552289794779</v>
      </c>
      <c r="H7" s="101">
        <v>353.1865417631916</v>
      </c>
      <c r="I7" s="101">
        <v>353.00930777490129</v>
      </c>
      <c r="J7" s="14">
        <f t="shared" si="0"/>
        <v>-2.9509872098616441E-2</v>
      </c>
      <c r="K7" s="14">
        <f t="shared" si="0"/>
        <v>-4.9737822787495278E-2</v>
      </c>
      <c r="L7" s="14">
        <f t="shared" si="0"/>
        <v>5.3939013031323313E-3</v>
      </c>
      <c r="M7" s="14">
        <f t="shared" si="0"/>
        <v>-1.8614200095667166E-2</v>
      </c>
      <c r="N7" s="14">
        <f>I7/H7-1</f>
        <v>-5.0181410482263988E-4</v>
      </c>
    </row>
    <row r="8" spans="3:14" ht="15" customHeight="1" x14ac:dyDescent="0.2">
      <c r="C8" s="65" t="s">
        <v>153</v>
      </c>
      <c r="D8" s="102">
        <v>1022.40866834669</v>
      </c>
      <c r="E8" s="102">
        <v>1015.4233629359832</v>
      </c>
      <c r="F8" s="45">
        <v>981.43492695952568</v>
      </c>
      <c r="G8" s="45">
        <v>1008.5442716873425</v>
      </c>
      <c r="H8" s="45">
        <v>1021.9247090413413</v>
      </c>
      <c r="I8" s="45">
        <v>1041.0728478350898</v>
      </c>
      <c r="J8" s="103">
        <f t="shared" si="0"/>
        <v>-6.832204799283037E-3</v>
      </c>
      <c r="K8" s="103">
        <f t="shared" si="0"/>
        <v>-3.3472182359664981E-2</v>
      </c>
      <c r="L8" s="103">
        <f t="shared" si="0"/>
        <v>2.7622151997179545E-2</v>
      </c>
      <c r="M8" s="103">
        <f t="shared" si="0"/>
        <v>1.3267079819523131E-2</v>
      </c>
      <c r="N8" s="103">
        <f t="shared" si="0"/>
        <v>1.8737328322074864E-2</v>
      </c>
    </row>
    <row r="9" spans="3:14" ht="15" customHeight="1" x14ac:dyDescent="0.2">
      <c r="C9" s="295" t="s">
        <v>154</v>
      </c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</row>
    <row r="10" spans="3:14" ht="25.5" x14ac:dyDescent="0.2">
      <c r="C10" s="97"/>
      <c r="D10" s="98">
        <v>2007</v>
      </c>
      <c r="E10" s="98">
        <v>2008</v>
      </c>
      <c r="F10" s="98">
        <v>2009</v>
      </c>
      <c r="G10" s="98">
        <v>2010</v>
      </c>
      <c r="H10" s="98">
        <v>2011</v>
      </c>
      <c r="I10" s="98">
        <v>2012</v>
      </c>
      <c r="J10" s="11" t="s">
        <v>58</v>
      </c>
      <c r="K10" s="11" t="s">
        <v>59</v>
      </c>
      <c r="L10" s="11" t="s">
        <v>60</v>
      </c>
      <c r="M10" s="11" t="s">
        <v>61</v>
      </c>
      <c r="N10" s="11" t="s">
        <v>62</v>
      </c>
    </row>
    <row r="11" spans="3:14" ht="15" customHeight="1" x14ac:dyDescent="0.2">
      <c r="C11" s="99" t="s">
        <v>151</v>
      </c>
      <c r="D11" s="100">
        <v>66.468318345722494</v>
      </c>
      <c r="E11" s="100">
        <v>68.307611983919543</v>
      </c>
      <c r="F11" s="101">
        <v>65.273888009829918</v>
      </c>
      <c r="G11" s="101">
        <v>67.447191395233872</v>
      </c>
      <c r="H11" s="101">
        <v>71.295741495141186</v>
      </c>
      <c r="I11" s="101">
        <v>73.835711246010717</v>
      </c>
      <c r="J11" s="14">
        <f t="shared" ref="J11:N13" si="1">E11/D11-1</f>
        <v>2.7671734203208009E-2</v>
      </c>
      <c r="K11" s="14">
        <f t="shared" si="1"/>
        <v>-4.441267797216808E-2</v>
      </c>
      <c r="L11" s="14">
        <f t="shared" si="1"/>
        <v>3.3295142233241259E-2</v>
      </c>
      <c r="M11" s="14">
        <f t="shared" si="1"/>
        <v>5.7060198064515344E-2</v>
      </c>
      <c r="N11" s="14">
        <f t="shared" si="1"/>
        <v>3.562582697933836E-2</v>
      </c>
    </row>
    <row r="12" spans="3:14" ht="15" customHeight="1" x14ac:dyDescent="0.2">
      <c r="C12" s="99" t="s">
        <v>152</v>
      </c>
      <c r="D12" s="100">
        <v>40.642639932184302</v>
      </c>
      <c r="E12" s="100">
        <v>40.062917528009486</v>
      </c>
      <c r="F12" s="101">
        <v>37.178670560809259</v>
      </c>
      <c r="G12" s="101">
        <v>37.314044359511058</v>
      </c>
      <c r="H12" s="101">
        <v>37.557843731647338</v>
      </c>
      <c r="I12" s="101">
        <v>37.539493044820354</v>
      </c>
      <c r="J12" s="14">
        <f t="shared" si="1"/>
        <v>-1.4263896369481222E-2</v>
      </c>
      <c r="K12" s="14">
        <f t="shared" si="1"/>
        <v>-7.199293374437199E-2</v>
      </c>
      <c r="L12" s="14">
        <f t="shared" si="1"/>
        <v>3.6411683543224882E-3</v>
      </c>
      <c r="M12" s="14">
        <f t="shared" si="1"/>
        <v>6.5337160932579241E-3</v>
      </c>
      <c r="N12" s="14">
        <f>I12/H12-1</f>
        <v>-4.8859798656442077E-4</v>
      </c>
    </row>
    <row r="13" spans="3:14" ht="15" customHeight="1" x14ac:dyDescent="0.2">
      <c r="C13" s="65" t="s">
        <v>153</v>
      </c>
      <c r="D13" s="104">
        <v>106.610511622506</v>
      </c>
      <c r="E13" s="104">
        <v>107.80798338039341</v>
      </c>
      <c r="F13" s="45">
        <v>101.6994310100757</v>
      </c>
      <c r="G13" s="45">
        <v>104.29226898946538</v>
      </c>
      <c r="H13" s="45">
        <v>108.46194764671914</v>
      </c>
      <c r="I13" s="45">
        <v>110.49459790895513</v>
      </c>
      <c r="J13" s="103">
        <f t="shared" si="1"/>
        <v>1.1232210967409229E-2</v>
      </c>
      <c r="K13" s="103">
        <f t="shared" si="1"/>
        <v>-5.6661410210819718E-2</v>
      </c>
      <c r="L13" s="103">
        <f t="shared" si="1"/>
        <v>2.549510802211663E-2</v>
      </c>
      <c r="M13" s="103">
        <f t="shared" si="1"/>
        <v>3.9980707080741862E-2</v>
      </c>
      <c r="N13" s="103">
        <f t="shared" si="1"/>
        <v>1.8740676397004385E-2</v>
      </c>
    </row>
    <row r="14" spans="3:14" ht="15" customHeight="1" x14ac:dyDescent="0.2">
      <c r="C14" s="288" t="s">
        <v>73</v>
      </c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</row>
    <row r="15" spans="3:14" ht="26.25" customHeight="1" x14ac:dyDescent="0.2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3:14" x14ac:dyDescent="0.2">
      <c r="C16" s="296" t="s">
        <v>102</v>
      </c>
      <c r="D16" s="3"/>
      <c r="E16" s="3"/>
      <c r="F16" s="3"/>
      <c r="G16" s="3"/>
      <c r="H16" s="3"/>
      <c r="I16" s="3"/>
      <c r="J16" s="3"/>
      <c r="K16" s="3"/>
    </row>
    <row r="17" spans="3:14" x14ac:dyDescent="0.2">
      <c r="C17" s="296"/>
      <c r="D17" s="3"/>
      <c r="E17" s="3"/>
      <c r="F17" s="3"/>
      <c r="G17" s="3"/>
      <c r="H17" s="3"/>
      <c r="I17" s="3"/>
      <c r="J17" s="3"/>
      <c r="K17" s="3"/>
    </row>
    <row r="18" spans="3:14" x14ac:dyDescent="0.2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3:14" x14ac:dyDescent="0.2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3:14" x14ac:dyDescent="0.2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</sheetData>
  <mergeCells count="5">
    <mergeCell ref="C3:N3"/>
    <mergeCell ref="C4:N4"/>
    <mergeCell ref="C9:N9"/>
    <mergeCell ref="C14:N14"/>
    <mergeCell ref="C16:C17"/>
  </mergeCells>
  <hyperlinks>
    <hyperlink ref="C16:C17" location="'GRAFICA GAS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31:L41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3" max="3" width="12.28515625" customWidth="1"/>
    <col min="9" max="9" width="7.7109375" customWidth="1"/>
    <col min="16" max="16" width="8.28515625" customWidth="1"/>
  </cols>
  <sheetData>
    <row r="31" spans="10:11" ht="21.75" customHeight="1" x14ac:dyDescent="0.2">
      <c r="J31" s="15"/>
      <c r="K31" s="15"/>
    </row>
    <row r="32" spans="10:11" x14ac:dyDescent="0.2">
      <c r="J32" s="15"/>
      <c r="K32" s="15"/>
    </row>
    <row r="33" spans="10:12" x14ac:dyDescent="0.2">
      <c r="J33" s="15"/>
      <c r="K33" s="15"/>
      <c r="L33" s="15"/>
    </row>
    <row r="34" spans="10:12" x14ac:dyDescent="0.2">
      <c r="J34" s="15"/>
      <c r="K34" s="15"/>
      <c r="L34" s="15"/>
    </row>
    <row r="35" spans="10:12" x14ac:dyDescent="0.2">
      <c r="J35" s="15"/>
      <c r="K35" s="15"/>
      <c r="L35" s="15"/>
    </row>
    <row r="36" spans="10:12" x14ac:dyDescent="0.2">
      <c r="J36" s="15"/>
      <c r="K36" s="15"/>
      <c r="L36" s="15"/>
    </row>
    <row r="37" spans="10:12" x14ac:dyDescent="0.2">
      <c r="J37" s="15"/>
      <c r="K37" s="296" t="s">
        <v>76</v>
      </c>
      <c r="L37" s="15"/>
    </row>
    <row r="38" spans="10:12" x14ac:dyDescent="0.2">
      <c r="J38" s="15"/>
      <c r="K38" s="296"/>
      <c r="L38" s="15"/>
    </row>
    <row r="39" spans="10:12" x14ac:dyDescent="0.2">
      <c r="J39" s="15"/>
      <c r="K39" s="15"/>
      <c r="L39" s="15"/>
    </row>
    <row r="40" spans="10:12" x14ac:dyDescent="0.2">
      <c r="J40" s="15"/>
      <c r="K40" s="15"/>
    </row>
    <row r="41" spans="10:12" x14ac:dyDescent="0.2">
      <c r="J41" s="15"/>
      <c r="K41" s="15"/>
    </row>
  </sheetData>
  <mergeCells count="1">
    <mergeCell ref="K37:K38"/>
  </mergeCells>
  <hyperlinks>
    <hyperlink ref="K37:K38" location="GASTO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5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X114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2" width="14.7109375" style="105" customWidth="1"/>
    <col min="3" max="3" width="16.28515625" style="105" customWidth="1"/>
    <col min="4" max="15" width="8.7109375" style="105" hidden="1" customWidth="1"/>
    <col min="16" max="19" width="8" style="105" hidden="1" customWidth="1"/>
    <col min="20" max="27" width="8" style="105" customWidth="1"/>
    <col min="28" max="31" width="8" style="105" hidden="1" customWidth="1"/>
    <col min="32" max="32" width="7.140625" style="105" hidden="1" customWidth="1"/>
    <col min="33" max="33" width="7.7109375" style="105" hidden="1" customWidth="1"/>
    <col min="34" max="34" width="7" style="105" hidden="1" customWidth="1"/>
    <col min="35" max="35" width="7.42578125" style="105" hidden="1" customWidth="1"/>
    <col min="36" max="37" width="8.7109375" style="105" hidden="1" customWidth="1"/>
    <col min="38" max="40" width="8.7109375" style="108" hidden="1" customWidth="1"/>
    <col min="41" max="47" width="8.7109375" style="108" customWidth="1"/>
    <col min="48" max="126" width="3.7109375" style="105" customWidth="1"/>
    <col min="127" max="283" width="76.28515625" style="105" bestFit="1" customWidth="1"/>
    <col min="284" max="284" width="13.140625" style="105" bestFit="1" customWidth="1"/>
    <col min="285" max="16384" width="11.42578125" style="105"/>
  </cols>
  <sheetData>
    <row r="1" spans="1:284" ht="24" customHeight="1" x14ac:dyDescent="0.2"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284" ht="24" customHeight="1" x14ac:dyDescent="0.2">
      <c r="C2" s="106"/>
    </row>
    <row r="3" spans="1:284" ht="36" customHeight="1" x14ac:dyDescent="0.2">
      <c r="C3" s="303" t="s">
        <v>160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</row>
    <row r="4" spans="1:284" ht="12.75" customHeight="1" x14ac:dyDescent="0.2">
      <c r="C4" s="109"/>
      <c r="D4" s="299">
        <v>2007</v>
      </c>
      <c r="E4" s="299"/>
      <c r="F4" s="299"/>
      <c r="G4" s="299"/>
      <c r="H4" s="301">
        <v>2008</v>
      </c>
      <c r="I4" s="301"/>
      <c r="J4" s="301"/>
      <c r="K4" s="301"/>
      <c r="L4" s="299">
        <v>2009</v>
      </c>
      <c r="M4" s="299"/>
      <c r="N4" s="299"/>
      <c r="O4" s="299"/>
      <c r="P4" s="301">
        <v>2010</v>
      </c>
      <c r="Q4" s="301"/>
      <c r="R4" s="301"/>
      <c r="S4" s="301"/>
      <c r="T4" s="301">
        <v>2011</v>
      </c>
      <c r="U4" s="301"/>
      <c r="V4" s="301"/>
      <c r="W4" s="301"/>
      <c r="X4" s="301">
        <v>2012</v>
      </c>
      <c r="Y4" s="301"/>
      <c r="Z4" s="301"/>
      <c r="AA4" s="301"/>
      <c r="AB4" s="300" t="s">
        <v>161</v>
      </c>
      <c r="AC4" s="300"/>
      <c r="AD4" s="300"/>
      <c r="AE4" s="300"/>
      <c r="AF4" s="300" t="s">
        <v>162</v>
      </c>
      <c r="AG4" s="300"/>
      <c r="AH4" s="300"/>
      <c r="AI4" s="300"/>
      <c r="AJ4" s="300" t="s">
        <v>163</v>
      </c>
      <c r="AK4" s="300"/>
      <c r="AL4" s="300"/>
      <c r="AM4" s="300"/>
      <c r="AN4" s="300" t="s">
        <v>164</v>
      </c>
      <c r="AO4" s="300"/>
      <c r="AP4" s="300"/>
      <c r="AQ4" s="300"/>
      <c r="AR4" s="300" t="s">
        <v>165</v>
      </c>
      <c r="AS4" s="300"/>
      <c r="AT4" s="300"/>
      <c r="AU4" s="300"/>
    </row>
    <row r="5" spans="1:284" ht="28.5" customHeight="1" x14ac:dyDescent="0.2">
      <c r="A5" s="108"/>
      <c r="B5" s="108"/>
      <c r="C5" s="97"/>
      <c r="D5" s="298" t="s">
        <v>166</v>
      </c>
      <c r="E5" s="298"/>
      <c r="F5" s="299" t="s">
        <v>167</v>
      </c>
      <c r="G5" s="299"/>
      <c r="H5" s="298" t="s">
        <v>166</v>
      </c>
      <c r="I5" s="298"/>
      <c r="J5" s="299" t="s">
        <v>167</v>
      </c>
      <c r="K5" s="299"/>
      <c r="L5" s="298" t="s">
        <v>166</v>
      </c>
      <c r="M5" s="298"/>
      <c r="N5" s="299" t="s">
        <v>167</v>
      </c>
      <c r="O5" s="299"/>
      <c r="P5" s="298" t="s">
        <v>166</v>
      </c>
      <c r="Q5" s="298"/>
      <c r="R5" s="299" t="s">
        <v>167</v>
      </c>
      <c r="S5" s="299"/>
      <c r="T5" s="298" t="s">
        <v>166</v>
      </c>
      <c r="U5" s="298"/>
      <c r="V5" s="299" t="s">
        <v>167</v>
      </c>
      <c r="W5" s="299"/>
      <c r="X5" s="298" t="s">
        <v>166</v>
      </c>
      <c r="Y5" s="298"/>
      <c r="Z5" s="299" t="s">
        <v>167</v>
      </c>
      <c r="AA5" s="299"/>
      <c r="AB5" s="301" t="s">
        <v>166</v>
      </c>
      <c r="AC5" s="301"/>
      <c r="AD5" s="300" t="s">
        <v>167</v>
      </c>
      <c r="AE5" s="300"/>
      <c r="AF5" s="301" t="s">
        <v>166</v>
      </c>
      <c r="AG5" s="301"/>
      <c r="AH5" s="300" t="s">
        <v>167</v>
      </c>
      <c r="AI5" s="300"/>
      <c r="AJ5" s="301" t="s">
        <v>166</v>
      </c>
      <c r="AK5" s="301"/>
      <c r="AL5" s="300" t="s">
        <v>167</v>
      </c>
      <c r="AM5" s="300"/>
      <c r="AN5" s="301" t="s">
        <v>166</v>
      </c>
      <c r="AO5" s="301"/>
      <c r="AP5" s="300" t="s">
        <v>167</v>
      </c>
      <c r="AQ5" s="300"/>
      <c r="AR5" s="301" t="s">
        <v>166</v>
      </c>
      <c r="AS5" s="301"/>
      <c r="AT5" s="300" t="s">
        <v>167</v>
      </c>
      <c r="AU5" s="300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  <c r="IY5" s="108"/>
      <c r="IZ5" s="108"/>
      <c r="JA5" s="108"/>
      <c r="JB5" s="108"/>
      <c r="JC5" s="108"/>
      <c r="JD5" s="108"/>
      <c r="JE5" s="108"/>
      <c r="JF5" s="108"/>
      <c r="JG5" s="108"/>
      <c r="JH5" s="108"/>
      <c r="JI5" s="108"/>
      <c r="JJ5" s="108"/>
      <c r="JK5" s="108"/>
      <c r="JL5" s="108"/>
      <c r="JM5" s="108"/>
      <c r="JN5" s="108"/>
      <c r="JO5" s="108"/>
      <c r="JP5" s="108"/>
      <c r="JQ5" s="108"/>
      <c r="JR5" s="108"/>
      <c r="JS5" s="108"/>
      <c r="JT5" s="108"/>
      <c r="JU5" s="108"/>
      <c r="JV5" s="108"/>
      <c r="JW5" s="108"/>
      <c r="JX5" s="108"/>
    </row>
    <row r="6" spans="1:284" ht="18" customHeight="1" x14ac:dyDescent="0.2">
      <c r="A6" s="108"/>
      <c r="B6" s="108"/>
      <c r="C6" s="97"/>
      <c r="D6" s="111" t="s">
        <v>168</v>
      </c>
      <c r="E6" s="111" t="s">
        <v>169</v>
      </c>
      <c r="F6" s="97" t="s">
        <v>168</v>
      </c>
      <c r="G6" s="97" t="s">
        <v>169</v>
      </c>
      <c r="H6" s="111" t="s">
        <v>168</v>
      </c>
      <c r="I6" s="111" t="s">
        <v>169</v>
      </c>
      <c r="J6" s="97" t="s">
        <v>168</v>
      </c>
      <c r="K6" s="97" t="s">
        <v>169</v>
      </c>
      <c r="L6" s="111" t="s">
        <v>168</v>
      </c>
      <c r="M6" s="111" t="s">
        <v>169</v>
      </c>
      <c r="N6" s="97" t="s">
        <v>168</v>
      </c>
      <c r="O6" s="97" t="s">
        <v>169</v>
      </c>
      <c r="P6" s="111" t="s">
        <v>168</v>
      </c>
      <c r="Q6" s="111" t="s">
        <v>169</v>
      </c>
      <c r="R6" s="97" t="s">
        <v>168</v>
      </c>
      <c r="S6" s="97" t="s">
        <v>169</v>
      </c>
      <c r="T6" s="111" t="s">
        <v>168</v>
      </c>
      <c r="U6" s="111" t="s">
        <v>169</v>
      </c>
      <c r="V6" s="97" t="s">
        <v>168</v>
      </c>
      <c r="W6" s="97" t="s">
        <v>169</v>
      </c>
      <c r="X6" s="111" t="s">
        <v>168</v>
      </c>
      <c r="Y6" s="111" t="s">
        <v>169</v>
      </c>
      <c r="Z6" s="97" t="s">
        <v>168</v>
      </c>
      <c r="AA6" s="97" t="s">
        <v>169</v>
      </c>
      <c r="AB6" s="112" t="s">
        <v>168</v>
      </c>
      <c r="AC6" s="112" t="s">
        <v>169</v>
      </c>
      <c r="AD6" s="113" t="s">
        <v>168</v>
      </c>
      <c r="AE6" s="113" t="s">
        <v>169</v>
      </c>
      <c r="AF6" s="112" t="s">
        <v>168</v>
      </c>
      <c r="AG6" s="112" t="s">
        <v>169</v>
      </c>
      <c r="AH6" s="113" t="s">
        <v>168</v>
      </c>
      <c r="AI6" s="113" t="s">
        <v>169</v>
      </c>
      <c r="AJ6" s="112" t="s">
        <v>168</v>
      </c>
      <c r="AK6" s="112" t="s">
        <v>169</v>
      </c>
      <c r="AL6" s="113" t="s">
        <v>168</v>
      </c>
      <c r="AM6" s="113" t="s">
        <v>169</v>
      </c>
      <c r="AN6" s="112" t="s">
        <v>168</v>
      </c>
      <c r="AO6" s="112" t="s">
        <v>169</v>
      </c>
      <c r="AP6" s="113" t="s">
        <v>168</v>
      </c>
      <c r="AQ6" s="113" t="s">
        <v>169</v>
      </c>
      <c r="AR6" s="112" t="s">
        <v>168</v>
      </c>
      <c r="AS6" s="112" t="s">
        <v>169</v>
      </c>
      <c r="AT6" s="113" t="s">
        <v>168</v>
      </c>
      <c r="AU6" s="113" t="s">
        <v>169</v>
      </c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  <c r="IX6" s="108"/>
      <c r="IY6" s="108"/>
      <c r="IZ6" s="108"/>
      <c r="JA6" s="108"/>
      <c r="JB6" s="108"/>
      <c r="JC6" s="108"/>
      <c r="JD6" s="108"/>
      <c r="JE6" s="108"/>
      <c r="JF6" s="108"/>
      <c r="JG6" s="108"/>
      <c r="JH6" s="108"/>
      <c r="JI6" s="108"/>
      <c r="JJ6" s="108"/>
      <c r="JK6" s="108"/>
      <c r="JL6" s="108"/>
      <c r="JM6" s="108"/>
      <c r="JN6" s="108"/>
      <c r="JO6" s="108"/>
      <c r="JP6" s="108"/>
      <c r="JQ6" s="108"/>
      <c r="JR6" s="108"/>
      <c r="JS6" s="108"/>
      <c r="JT6" s="108"/>
      <c r="JU6" s="108"/>
      <c r="JV6" s="108"/>
      <c r="JW6" s="108"/>
      <c r="JX6" s="108"/>
    </row>
    <row r="7" spans="1:284" s="114" customFormat="1" ht="15" customHeight="1" x14ac:dyDescent="0.2">
      <c r="B7" s="115"/>
      <c r="C7" s="12" t="s">
        <v>93</v>
      </c>
      <c r="D7" s="116" t="e">
        <v>#REF!</v>
      </c>
      <c r="E7" s="116" t="e">
        <v>#REF!</v>
      </c>
      <c r="F7" s="117">
        <v>74.844815496971606</v>
      </c>
      <c r="G7" s="117">
        <v>38.340846251336501</v>
      </c>
      <c r="H7" s="116">
        <v>981.95942652915357</v>
      </c>
      <c r="I7" s="116">
        <v>381.18548199522434</v>
      </c>
      <c r="J7" s="117">
        <v>95.109604493843634</v>
      </c>
      <c r="K7" s="117">
        <v>36.80411550298718</v>
      </c>
      <c r="L7" s="116">
        <v>932.61449986781167</v>
      </c>
      <c r="M7" s="116">
        <v>417.79314706654759</v>
      </c>
      <c r="N7" s="117">
        <v>90.75778689988779</v>
      </c>
      <c r="O7" s="117">
        <v>40.356489747604599</v>
      </c>
      <c r="P7" s="116">
        <v>974.37544878022481</v>
      </c>
      <c r="Q7" s="116">
        <v>457.06037647556502</v>
      </c>
      <c r="R7" s="117">
        <v>87.266128568098537</v>
      </c>
      <c r="S7" s="117">
        <v>40.616163938773489</v>
      </c>
      <c r="T7" s="118">
        <v>982.78739028001314</v>
      </c>
      <c r="U7" s="118">
        <v>461.07500410991918</v>
      </c>
      <c r="V7" s="119">
        <v>95.750495604730304</v>
      </c>
      <c r="W7" s="119">
        <v>45.12124371770868</v>
      </c>
      <c r="X7" s="118">
        <v>1006.9457079615445</v>
      </c>
      <c r="Y7" s="118">
        <v>408.71732567944781</v>
      </c>
      <c r="Z7" s="119">
        <v>102.82983513223364</v>
      </c>
      <c r="AA7" s="119">
        <v>41.755445704548961</v>
      </c>
      <c r="AB7" s="120" t="e">
        <f t="shared" ref="AB7:AQ21" si="0">H7/D7-1</f>
        <v>#REF!</v>
      </c>
      <c r="AC7" s="120" t="e">
        <f t="shared" si="0"/>
        <v>#REF!</v>
      </c>
      <c r="AD7" s="14">
        <f t="shared" si="0"/>
        <v>0.2707574180297363</v>
      </c>
      <c r="AE7" s="14">
        <f t="shared" si="0"/>
        <v>-4.0080772820598631E-2</v>
      </c>
      <c r="AF7" s="120">
        <f t="shared" si="0"/>
        <v>-5.0251492402040632E-2</v>
      </c>
      <c r="AG7" s="120">
        <f t="shared" si="0"/>
        <v>9.6036357102870618E-2</v>
      </c>
      <c r="AH7" s="14">
        <f t="shared" si="0"/>
        <v>-4.575581632491732E-2</v>
      </c>
      <c r="AI7" s="14">
        <f t="shared" si="0"/>
        <v>9.652111444789635E-2</v>
      </c>
      <c r="AJ7" s="120">
        <f t="shared" si="0"/>
        <v>4.4778361175311199E-2</v>
      </c>
      <c r="AK7" s="120">
        <f t="shared" si="0"/>
        <v>9.3987251070833944E-2</v>
      </c>
      <c r="AL7" s="14">
        <f t="shared" si="0"/>
        <v>-3.8472272749894176E-2</v>
      </c>
      <c r="AM7" s="14">
        <f t="shared" si="0"/>
        <v>6.4345088681629914E-3</v>
      </c>
      <c r="AN7" s="120">
        <f t="shared" si="0"/>
        <v>8.6331624122086836E-3</v>
      </c>
      <c r="AO7" s="120">
        <f t="shared" si="0"/>
        <v>8.7835827408870859E-3</v>
      </c>
      <c r="AP7" s="14">
        <f t="shared" si="0"/>
        <v>9.7224056754287469E-2</v>
      </c>
      <c r="AQ7" s="14">
        <f t="shared" si="0"/>
        <v>0.11091839657054603</v>
      </c>
      <c r="AR7" s="120">
        <f t="shared" ref="AF7:AU22" si="1">X7/T7-1</f>
        <v>2.4581428211699174E-2</v>
      </c>
      <c r="AS7" s="120">
        <f t="shared" si="1"/>
        <v>-0.11355566440116416</v>
      </c>
      <c r="AT7" s="14">
        <f t="shared" si="1"/>
        <v>7.3935278170545571E-2</v>
      </c>
      <c r="AU7" s="14">
        <f t="shared" si="1"/>
        <v>-7.4594530997795783E-2</v>
      </c>
    </row>
    <row r="8" spans="1:284" s="114" customFormat="1" ht="15" customHeight="1" x14ac:dyDescent="0.2">
      <c r="A8" s="121"/>
      <c r="B8" s="122"/>
      <c r="C8" s="123" t="s">
        <v>83</v>
      </c>
      <c r="D8" s="118">
        <v>758.285158110015</v>
      </c>
      <c r="E8" s="118">
        <v>479.66349627987199</v>
      </c>
      <c r="F8" s="119">
        <v>75.197487940174895</v>
      </c>
      <c r="G8" s="119">
        <v>46.760573824953802</v>
      </c>
      <c r="H8" s="118">
        <v>789.90253633514556</v>
      </c>
      <c r="I8" s="118">
        <v>530.76521533227594</v>
      </c>
      <c r="J8" s="119">
        <v>66.3350682776356</v>
      </c>
      <c r="K8" s="119">
        <v>44.689801142591492</v>
      </c>
      <c r="L8" s="118">
        <v>819.03078620008637</v>
      </c>
      <c r="M8" s="118">
        <v>514.6915643158103</v>
      </c>
      <c r="N8" s="119">
        <v>68.829176786045522</v>
      </c>
      <c r="O8" s="119">
        <v>42.068036530801095</v>
      </c>
      <c r="P8" s="118">
        <v>868.48098238901127</v>
      </c>
      <c r="Q8" s="118">
        <v>485.86087889726048</v>
      </c>
      <c r="R8" s="119">
        <v>85.609718660789056</v>
      </c>
      <c r="S8" s="119">
        <v>47.289017690222764</v>
      </c>
      <c r="T8" s="118">
        <v>835.24973218372816</v>
      </c>
      <c r="U8" s="118">
        <v>484.87137613539494</v>
      </c>
      <c r="V8" s="119">
        <v>89.744473972764425</v>
      </c>
      <c r="W8" s="119">
        <v>52.021963326768635</v>
      </c>
      <c r="X8" s="118">
        <v>929.94200685020962</v>
      </c>
      <c r="Y8" s="118">
        <v>449.05729189623912</v>
      </c>
      <c r="Z8" s="119">
        <v>99.746983174251199</v>
      </c>
      <c r="AA8" s="119">
        <v>48.141818214854808</v>
      </c>
      <c r="AB8" s="120">
        <f t="shared" si="0"/>
        <v>4.1695894858255089E-2</v>
      </c>
      <c r="AC8" s="120">
        <f t="shared" si="0"/>
        <v>0.10653660211530314</v>
      </c>
      <c r="AD8" s="14">
        <f t="shared" si="0"/>
        <v>-0.11785526226075527</v>
      </c>
      <c r="AE8" s="14">
        <f t="shared" si="0"/>
        <v>-4.4284586628773215E-2</v>
      </c>
      <c r="AF8" s="120">
        <f t="shared" si="0"/>
        <v>3.6875751785891309E-2</v>
      </c>
      <c r="AG8" s="120">
        <f t="shared" si="0"/>
        <v>-3.0283919428297557E-2</v>
      </c>
      <c r="AH8" s="14">
        <f t="shared" si="0"/>
        <v>3.7598642364717216E-2</v>
      </c>
      <c r="AI8" s="14">
        <f t="shared" si="0"/>
        <v>-5.8665837501159279E-2</v>
      </c>
      <c r="AJ8" s="120">
        <f t="shared" si="0"/>
        <v>6.0376480374260799E-2</v>
      </c>
      <c r="AK8" s="120">
        <f t="shared" si="0"/>
        <v>-5.6015461331438421E-2</v>
      </c>
      <c r="AL8" s="14">
        <f t="shared" si="0"/>
        <v>0.24379983399925886</v>
      </c>
      <c r="AM8" s="14">
        <f t="shared" si="0"/>
        <v>0.12410803046629004</v>
      </c>
      <c r="AN8" s="120">
        <f t="shared" si="0"/>
        <v>-3.8263647539950485E-2</v>
      </c>
      <c r="AO8" s="120">
        <f t="shared" si="0"/>
        <v>-2.0365969042648313E-3</v>
      </c>
      <c r="AP8" s="14">
        <f t="shared" si="0"/>
        <v>4.8297732741751975E-2</v>
      </c>
      <c r="AQ8" s="14">
        <f t="shared" si="0"/>
        <v>0.10008551388295017</v>
      </c>
      <c r="AR8" s="120">
        <f t="shared" si="1"/>
        <v>0.11337001500007937</v>
      </c>
      <c r="AS8" s="120">
        <f t="shared" si="1"/>
        <v>-7.3863061425913368E-2</v>
      </c>
      <c r="AT8" s="14">
        <f t="shared" si="1"/>
        <v>0.11145543294980276</v>
      </c>
      <c r="AU8" s="14">
        <f t="shared" si="1"/>
        <v>-7.4586671932030724E-2</v>
      </c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  <c r="IW8" s="121"/>
      <c r="IX8" s="121"/>
      <c r="IY8" s="121"/>
      <c r="IZ8" s="121"/>
      <c r="JA8" s="121"/>
      <c r="JB8" s="121"/>
      <c r="JC8" s="121"/>
      <c r="JD8" s="121"/>
      <c r="JE8" s="121"/>
      <c r="JF8" s="121"/>
      <c r="JG8" s="121"/>
      <c r="JH8" s="121"/>
      <c r="JI8" s="121"/>
      <c r="JJ8" s="121"/>
      <c r="JK8" s="121"/>
      <c r="JL8" s="121"/>
      <c r="JM8" s="121"/>
      <c r="JN8" s="121"/>
      <c r="JO8" s="121"/>
      <c r="JP8" s="121"/>
      <c r="JQ8" s="121"/>
      <c r="JR8" s="121"/>
      <c r="JS8" s="121"/>
      <c r="JT8" s="121"/>
      <c r="JU8" s="121"/>
      <c r="JV8" s="121"/>
      <c r="JW8" s="121"/>
      <c r="JX8" s="121"/>
    </row>
    <row r="9" spans="1:284" s="114" customFormat="1" ht="15" customHeight="1" x14ac:dyDescent="0.2">
      <c r="B9" s="115"/>
      <c r="C9" s="123" t="s">
        <v>82</v>
      </c>
      <c r="D9" s="118">
        <v>713.77861177805096</v>
      </c>
      <c r="E9" s="118">
        <v>305.722956485591</v>
      </c>
      <c r="F9" s="119">
        <v>84.496132301685506</v>
      </c>
      <c r="G9" s="119">
        <v>36.239236687631703</v>
      </c>
      <c r="H9" s="118">
        <v>678.66733569761789</v>
      </c>
      <c r="I9" s="118">
        <v>324.36166784123913</v>
      </c>
      <c r="J9" s="119">
        <v>73.237482269527135</v>
      </c>
      <c r="K9" s="119">
        <v>35.371225959485471</v>
      </c>
      <c r="L9" s="118">
        <v>657.91907416066499</v>
      </c>
      <c r="M9" s="118">
        <v>374.26822527780149</v>
      </c>
      <c r="N9" s="119">
        <v>63.214239401631112</v>
      </c>
      <c r="O9" s="119">
        <v>35.215609818261413</v>
      </c>
      <c r="P9" s="118">
        <v>821.54139873920951</v>
      </c>
      <c r="Q9" s="118">
        <v>345.41271079061642</v>
      </c>
      <c r="R9" s="119">
        <v>78.371538790349021</v>
      </c>
      <c r="S9" s="119">
        <v>33.303198289620376</v>
      </c>
      <c r="T9" s="118">
        <v>807.58901404385142</v>
      </c>
      <c r="U9" s="118">
        <v>325.84692143193371</v>
      </c>
      <c r="V9" s="119">
        <v>94.088040471128238</v>
      </c>
      <c r="W9" s="119">
        <v>36.927918977476061</v>
      </c>
      <c r="X9" s="118">
        <v>859.06308126516592</v>
      </c>
      <c r="Y9" s="118">
        <v>322.00996944561621</v>
      </c>
      <c r="Z9" s="119">
        <v>92.681094665957616</v>
      </c>
      <c r="AA9" s="119">
        <v>35.272264887176775</v>
      </c>
      <c r="AB9" s="120">
        <f t="shared" si="0"/>
        <v>-4.9190709137346467E-2</v>
      </c>
      <c r="AC9" s="120">
        <f t="shared" si="0"/>
        <v>6.0966018286319201E-2</v>
      </c>
      <c r="AD9" s="14">
        <f t="shared" si="0"/>
        <v>-0.13324456073279689</v>
      </c>
      <c r="AE9" s="14">
        <f t="shared" si="0"/>
        <v>-2.3952235407940559E-2</v>
      </c>
      <c r="AF9" s="120">
        <f t="shared" si="0"/>
        <v>-3.0572064464580828E-2</v>
      </c>
      <c r="AG9" s="120">
        <f t="shared" si="0"/>
        <v>0.15386083617312463</v>
      </c>
      <c r="AH9" s="14">
        <f t="shared" si="0"/>
        <v>-0.13685946809324612</v>
      </c>
      <c r="AI9" s="14">
        <f t="shared" si="0"/>
        <v>-4.3995122307126655E-3</v>
      </c>
      <c r="AJ9" s="120">
        <f t="shared" si="0"/>
        <v>0.24869673338971721</v>
      </c>
      <c r="AK9" s="120">
        <f t="shared" si="0"/>
        <v>-7.709848856596635E-2</v>
      </c>
      <c r="AL9" s="14">
        <f t="shared" si="0"/>
        <v>0.23977666317261437</v>
      </c>
      <c r="AM9" s="14">
        <f t="shared" si="0"/>
        <v>-5.4305790486392058E-2</v>
      </c>
      <c r="AN9" s="120">
        <f t="shared" si="0"/>
        <v>-1.698317907870539E-2</v>
      </c>
      <c r="AO9" s="120">
        <f t="shared" si="0"/>
        <v>-5.6644670990533275E-2</v>
      </c>
      <c r="AP9" s="14">
        <f t="shared" si="0"/>
        <v>0.20053838323657636</v>
      </c>
      <c r="AQ9" s="14">
        <f t="shared" si="0"/>
        <v>0.10884001759631001</v>
      </c>
      <c r="AR9" s="120">
        <f t="shared" si="1"/>
        <v>6.3737948791016574E-2</v>
      </c>
      <c r="AS9" s="120">
        <f t="shared" si="1"/>
        <v>-1.1775320661174371E-2</v>
      </c>
      <c r="AT9" s="14">
        <f t="shared" si="1"/>
        <v>-1.4953503103323329E-2</v>
      </c>
      <c r="AU9" s="14">
        <f t="shared" si="1"/>
        <v>-4.483475202892262E-2</v>
      </c>
    </row>
    <row r="10" spans="1:284" s="114" customFormat="1" ht="15" customHeight="1" x14ac:dyDescent="0.2">
      <c r="A10" s="124"/>
      <c r="B10" s="122"/>
      <c r="C10" s="123" t="s">
        <v>85</v>
      </c>
      <c r="D10" s="118">
        <v>707.75623331991801</v>
      </c>
      <c r="E10" s="118">
        <v>358.17191735108798</v>
      </c>
      <c r="F10" s="119">
        <v>84.446035329235798</v>
      </c>
      <c r="G10" s="119">
        <v>42.524121134655601</v>
      </c>
      <c r="H10" s="118">
        <v>711.84721492058691</v>
      </c>
      <c r="I10" s="118">
        <v>358.89798511797164</v>
      </c>
      <c r="J10" s="119">
        <v>79.233877279146583</v>
      </c>
      <c r="K10" s="119">
        <v>40.206731823357664</v>
      </c>
      <c r="L10" s="118">
        <v>734.34751112747426</v>
      </c>
      <c r="M10" s="118">
        <v>340.96387362458574</v>
      </c>
      <c r="N10" s="119">
        <v>84.101251274375613</v>
      </c>
      <c r="O10" s="119">
        <v>39.336750290421335</v>
      </c>
      <c r="P10" s="118">
        <v>749.21761650989413</v>
      </c>
      <c r="Q10" s="118">
        <v>363.22931552805505</v>
      </c>
      <c r="R10" s="119">
        <v>79.959190662742174</v>
      </c>
      <c r="S10" s="119">
        <v>38.936740523106643</v>
      </c>
      <c r="T10" s="118">
        <v>701.23582852746767</v>
      </c>
      <c r="U10" s="118">
        <v>344.99936892368351</v>
      </c>
      <c r="V10" s="119">
        <v>85.535792462316152</v>
      </c>
      <c r="W10" s="119">
        <v>42.04228711256183</v>
      </c>
      <c r="X10" s="118">
        <v>770.19385983971051</v>
      </c>
      <c r="Y10" s="118">
        <v>331.89271822567633</v>
      </c>
      <c r="Z10" s="119">
        <v>92.306049150098502</v>
      </c>
      <c r="AA10" s="119">
        <v>39.312240209120972</v>
      </c>
      <c r="AB10" s="120">
        <f t="shared" si="0"/>
        <v>5.7802127456780816E-3</v>
      </c>
      <c r="AC10" s="120">
        <f t="shared" si="0"/>
        <v>2.0271487844536473E-3</v>
      </c>
      <c r="AD10" s="14">
        <f t="shared" si="0"/>
        <v>-6.1721761474866188E-2</v>
      </c>
      <c r="AE10" s="14">
        <f t="shared" si="0"/>
        <v>-5.4495877856235109E-2</v>
      </c>
      <c r="AF10" s="120">
        <f t="shared" si="0"/>
        <v>3.160832231309274E-2</v>
      </c>
      <c r="AG10" s="120">
        <f t="shared" si="0"/>
        <v>-4.996994198084137E-2</v>
      </c>
      <c r="AH10" s="14">
        <f t="shared" si="0"/>
        <v>6.1430465886213259E-2</v>
      </c>
      <c r="AI10" s="14">
        <f t="shared" si="0"/>
        <v>-2.1637708251405874E-2</v>
      </c>
      <c r="AJ10" s="120">
        <f t="shared" si="0"/>
        <v>2.0249412106795539E-2</v>
      </c>
      <c r="AK10" s="120">
        <f t="shared" si="0"/>
        <v>6.5301469234199327E-2</v>
      </c>
      <c r="AL10" s="14">
        <f t="shared" si="0"/>
        <v>-4.9250879729722419E-2</v>
      </c>
      <c r="AM10" s="14">
        <f t="shared" si="0"/>
        <v>-1.0168856460216924E-2</v>
      </c>
      <c r="AN10" s="120">
        <f t="shared" si="0"/>
        <v>-6.4042525062266487E-2</v>
      </c>
      <c r="AO10" s="120">
        <f t="shared" si="0"/>
        <v>-5.0188533317772621E-2</v>
      </c>
      <c r="AP10" s="14">
        <f t="shared" si="0"/>
        <v>6.9743099615594994E-2</v>
      </c>
      <c r="AQ10" s="14">
        <f t="shared" si="0"/>
        <v>7.9758771477346224E-2</v>
      </c>
      <c r="AR10" s="120">
        <f t="shared" si="1"/>
        <v>9.8337860826433365E-2</v>
      </c>
      <c r="AS10" s="120">
        <f t="shared" si="1"/>
        <v>-3.799036137050571E-2</v>
      </c>
      <c r="AT10" s="14">
        <f t="shared" si="1"/>
        <v>7.9151154071146035E-2</v>
      </c>
      <c r="AU10" s="14">
        <f t="shared" si="1"/>
        <v>-6.4935737109914404E-2</v>
      </c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  <c r="JA10" s="121"/>
      <c r="JB10" s="121"/>
      <c r="JC10" s="121"/>
      <c r="JD10" s="121"/>
      <c r="JE10" s="121"/>
      <c r="JF10" s="121"/>
      <c r="JG10" s="121"/>
      <c r="JH10" s="121"/>
      <c r="JI10" s="121"/>
      <c r="JJ10" s="121"/>
      <c r="JK10" s="121"/>
      <c r="JL10" s="121"/>
      <c r="JM10" s="121"/>
      <c r="JN10" s="121"/>
      <c r="JO10" s="121"/>
      <c r="JP10" s="121"/>
      <c r="JQ10" s="121"/>
      <c r="JR10" s="121"/>
      <c r="JS10" s="121"/>
      <c r="JT10" s="121"/>
      <c r="JU10" s="121"/>
      <c r="JV10" s="121"/>
      <c r="JW10" s="121"/>
      <c r="JX10" s="121"/>
    </row>
    <row r="11" spans="1:284" s="114" customFormat="1" ht="15" customHeight="1" x14ac:dyDescent="0.2">
      <c r="B11" s="115"/>
      <c r="C11" s="12" t="s">
        <v>84</v>
      </c>
      <c r="D11" s="116">
        <v>722.27764824565497</v>
      </c>
      <c r="E11" s="116">
        <v>373.82556060569402</v>
      </c>
      <c r="F11" s="117">
        <v>80.424699640698094</v>
      </c>
      <c r="G11" s="117">
        <v>41.915429914517198</v>
      </c>
      <c r="H11" s="116">
        <v>722.31166008283526</v>
      </c>
      <c r="I11" s="116">
        <v>395.61895988076498</v>
      </c>
      <c r="J11" s="117">
        <v>72.5500674034637</v>
      </c>
      <c r="K11" s="117">
        <v>40.158162079779849</v>
      </c>
      <c r="L11" s="116">
        <v>733.93405837244507</v>
      </c>
      <c r="M11" s="116">
        <v>401.70006182853348</v>
      </c>
      <c r="N11" s="117">
        <v>69.788781399890937</v>
      </c>
      <c r="O11" s="117">
        <v>38.144300359505969</v>
      </c>
      <c r="P11" s="116">
        <v>790.46306521106374</v>
      </c>
      <c r="Q11" s="116">
        <v>401.12903451760377</v>
      </c>
      <c r="R11" s="117">
        <v>74.663022815818337</v>
      </c>
      <c r="S11" s="117">
        <v>38.085931667287277</v>
      </c>
      <c r="T11" s="118">
        <v>775.58627275399203</v>
      </c>
      <c r="U11" s="118">
        <v>385.27681011861017</v>
      </c>
      <c r="V11" s="119">
        <v>89.758079739510791</v>
      </c>
      <c r="W11" s="119">
        <v>44.213983797665094</v>
      </c>
      <c r="X11" s="118">
        <v>833.81422415049735</v>
      </c>
      <c r="Y11" s="118">
        <v>359.27475949319842</v>
      </c>
      <c r="Z11" s="119">
        <v>90.125635860336217</v>
      </c>
      <c r="AA11" s="119">
        <v>39.149548654636114</v>
      </c>
      <c r="AB11" s="120">
        <f t="shared" si="0"/>
        <v>4.708969917999184E-5</v>
      </c>
      <c r="AC11" s="120">
        <f t="shared" si="0"/>
        <v>5.829831229239657E-2</v>
      </c>
      <c r="AD11" s="14">
        <f t="shared" si="0"/>
        <v>-9.791310719735058E-2</v>
      </c>
      <c r="AE11" s="14">
        <f t="shared" si="0"/>
        <v>-4.1924127661845279E-2</v>
      </c>
      <c r="AF11" s="120">
        <f t="shared" si="0"/>
        <v>1.6090558870774707E-2</v>
      </c>
      <c r="AG11" s="120">
        <f t="shared" si="0"/>
        <v>1.5371108476705198E-2</v>
      </c>
      <c r="AH11" s="14">
        <f t="shared" si="0"/>
        <v>-3.8060419547465973E-2</v>
      </c>
      <c r="AI11" s="14">
        <f t="shared" si="0"/>
        <v>-5.0148254202297848E-2</v>
      </c>
      <c r="AJ11" s="120">
        <f t="shared" si="0"/>
        <v>7.7021915243960848E-2</v>
      </c>
      <c r="AK11" s="120">
        <f t="shared" si="0"/>
        <v>-1.4215265696758683E-3</v>
      </c>
      <c r="AL11" s="14">
        <f t="shared" si="0"/>
        <v>6.9842764383546196E-2</v>
      </c>
      <c r="AM11" s="14">
        <f t="shared" si="0"/>
        <v>-1.5302074403927834E-3</v>
      </c>
      <c r="AN11" s="120">
        <f t="shared" si="0"/>
        <v>-1.8820351148348013E-2</v>
      </c>
      <c r="AO11" s="120">
        <f t="shared" si="0"/>
        <v>-3.9519015166921134E-2</v>
      </c>
      <c r="AP11" s="14">
        <f t="shared" si="0"/>
        <v>0.20217580743990937</v>
      </c>
      <c r="AQ11" s="14">
        <f t="shared" si="0"/>
        <v>0.16090067544917952</v>
      </c>
      <c r="AR11" s="120">
        <f t="shared" si="1"/>
        <v>7.507604691061176E-2</v>
      </c>
      <c r="AS11" s="120">
        <f t="shared" si="1"/>
        <v>-6.7489269902870186E-2</v>
      </c>
      <c r="AT11" s="14">
        <f t="shared" si="1"/>
        <v>4.0949641736112152E-3</v>
      </c>
      <c r="AU11" s="14">
        <f t="shared" si="1"/>
        <v>-0.11454374177647453</v>
      </c>
    </row>
    <row r="12" spans="1:284" s="114" customFormat="1" ht="15" customHeight="1" x14ac:dyDescent="0.2">
      <c r="A12" s="125"/>
      <c r="B12" s="115"/>
      <c r="C12" s="12" t="s">
        <v>100</v>
      </c>
      <c r="D12" s="116">
        <v>1079.0852150467899</v>
      </c>
      <c r="E12" s="116">
        <v>801.59968333761901</v>
      </c>
      <c r="F12" s="117">
        <v>87.1568827537792</v>
      </c>
      <c r="G12" s="117">
        <v>65.581400295172898</v>
      </c>
      <c r="H12" s="116">
        <v>1290.9470904066429</v>
      </c>
      <c r="I12" s="116">
        <v>930.42924528301853</v>
      </c>
      <c r="J12" s="117">
        <v>103.27576723253145</v>
      </c>
      <c r="K12" s="117">
        <v>75.691097467382932</v>
      </c>
      <c r="L12" s="116">
        <v>1098.3801605755816</v>
      </c>
      <c r="M12" s="116">
        <v>848.00395081109355</v>
      </c>
      <c r="N12" s="117">
        <v>88.990573916321978</v>
      </c>
      <c r="O12" s="117">
        <v>66.610582238937866</v>
      </c>
      <c r="P12" s="116">
        <v>1051.1322270982805</v>
      </c>
      <c r="Q12" s="116">
        <v>1040.0446927374301</v>
      </c>
      <c r="R12" s="117">
        <v>87.855827936572766</v>
      </c>
      <c r="S12" s="117">
        <v>86.509293680297446</v>
      </c>
      <c r="T12" s="118">
        <v>1169.4146861400955</v>
      </c>
      <c r="U12" s="118">
        <v>895.51324646101909</v>
      </c>
      <c r="V12" s="119">
        <v>89.470304650804593</v>
      </c>
      <c r="W12" s="119">
        <v>70.735201796639913</v>
      </c>
      <c r="X12" s="118">
        <v>1098.3712195542751</v>
      </c>
      <c r="Y12" s="118">
        <v>973.30043724318568</v>
      </c>
      <c r="Z12" s="119">
        <v>85.688534858844264</v>
      </c>
      <c r="AA12" s="119">
        <v>75.824316523273339</v>
      </c>
      <c r="AB12" s="120">
        <f t="shared" si="0"/>
        <v>0.19633470314081403</v>
      </c>
      <c r="AC12" s="120">
        <f t="shared" si="0"/>
        <v>0.16071558487771864</v>
      </c>
      <c r="AD12" s="14">
        <f t="shared" si="0"/>
        <v>0.18494103930137773</v>
      </c>
      <c r="AE12" s="14">
        <f t="shared" si="0"/>
        <v>0.15415494525441154</v>
      </c>
      <c r="AF12" s="120">
        <f t="shared" si="0"/>
        <v>-0.14916717444276006</v>
      </c>
      <c r="AG12" s="120">
        <f t="shared" si="0"/>
        <v>-8.8588460530228508E-2</v>
      </c>
      <c r="AH12" s="14">
        <f t="shared" si="0"/>
        <v>-0.13832086363537266</v>
      </c>
      <c r="AI12" s="14">
        <f t="shared" si="0"/>
        <v>-0.11996807461218373</v>
      </c>
      <c r="AJ12" s="120">
        <f t="shared" si="0"/>
        <v>-4.3016011371274088E-2</v>
      </c>
      <c r="AK12" s="120">
        <f t="shared" si="0"/>
        <v>0.22646208398280998</v>
      </c>
      <c r="AL12" s="14">
        <f t="shared" si="0"/>
        <v>-1.2751305332812213E-2</v>
      </c>
      <c r="AM12" s="14">
        <f t="shared" si="0"/>
        <v>0.29873198480657615</v>
      </c>
      <c r="AN12" s="120">
        <f t="shared" si="0"/>
        <v>0.11252862008459341</v>
      </c>
      <c r="AO12" s="120">
        <f t="shared" si="0"/>
        <v>-0.13896657257679923</v>
      </c>
      <c r="AP12" s="14">
        <f t="shared" si="0"/>
        <v>1.8376432755233818E-2</v>
      </c>
      <c r="AQ12" s="14">
        <f t="shared" si="0"/>
        <v>-0.18233985289432664</v>
      </c>
      <c r="AR12" s="120">
        <f t="shared" si="1"/>
        <v>-6.0751303560514169E-2</v>
      </c>
      <c r="AS12" s="120">
        <f t="shared" si="1"/>
        <v>8.6863249750435356E-2</v>
      </c>
      <c r="AT12" s="14">
        <f t="shared" si="1"/>
        <v>-4.2268435395635184E-2</v>
      </c>
      <c r="AU12" s="14">
        <f t="shared" si="1"/>
        <v>7.1945998560439151E-2</v>
      </c>
    </row>
    <row r="13" spans="1:284" s="121" customFormat="1" ht="15" customHeight="1" x14ac:dyDescent="0.2">
      <c r="A13" s="124"/>
      <c r="B13" s="122"/>
      <c r="C13" s="12" t="s">
        <v>170</v>
      </c>
      <c r="D13" s="116">
        <v>700.42645430130904</v>
      </c>
      <c r="E13" s="116">
        <v>469.28937091958801</v>
      </c>
      <c r="F13" s="117">
        <v>76.077483808162398</v>
      </c>
      <c r="G13" s="117">
        <v>52.595827608723603</v>
      </c>
      <c r="H13" s="116">
        <v>812.64253904892769</v>
      </c>
      <c r="I13" s="116">
        <v>481.14174112095287</v>
      </c>
      <c r="J13" s="117">
        <v>88.403549284421985</v>
      </c>
      <c r="K13" s="117">
        <v>49.41392425238309</v>
      </c>
      <c r="L13" s="116">
        <v>780.26742308793234</v>
      </c>
      <c r="M13" s="116">
        <v>503.24756625092073</v>
      </c>
      <c r="N13" s="117">
        <v>87.348846046532429</v>
      </c>
      <c r="O13" s="117">
        <v>57.930334250635639</v>
      </c>
      <c r="P13" s="116">
        <v>766.85872191987266</v>
      </c>
      <c r="Q13" s="116">
        <v>452.67609671562934</v>
      </c>
      <c r="R13" s="117">
        <v>77.670047450781382</v>
      </c>
      <c r="S13" s="117">
        <v>48.743586760200131</v>
      </c>
      <c r="T13" s="118">
        <v>768.41834845371955</v>
      </c>
      <c r="U13" s="118">
        <v>472.1541222984539</v>
      </c>
      <c r="V13" s="119">
        <v>82.296656454765582</v>
      </c>
      <c r="W13" s="119">
        <v>51.623441229835919</v>
      </c>
      <c r="X13" s="118">
        <v>750.91137427217302</v>
      </c>
      <c r="Y13" s="118">
        <v>397.82837050018168</v>
      </c>
      <c r="Z13" s="119">
        <v>85.266851283181794</v>
      </c>
      <c r="AA13" s="119">
        <v>45.211698776965484</v>
      </c>
      <c r="AB13" s="120">
        <f t="shared" si="0"/>
        <v>0.16021108862822242</v>
      </c>
      <c r="AC13" s="120">
        <f t="shared" si="0"/>
        <v>2.525599541736856E-2</v>
      </c>
      <c r="AD13" s="14">
        <f t="shared" si="0"/>
        <v>0.16201988892457453</v>
      </c>
      <c r="AE13" s="14">
        <f t="shared" si="0"/>
        <v>-6.0497258071717464E-2</v>
      </c>
      <c r="AF13" s="120">
        <f t="shared" si="0"/>
        <v>-3.9839307451078554E-2</v>
      </c>
      <c r="AG13" s="120">
        <f t="shared" si="0"/>
        <v>4.5944517468940127E-2</v>
      </c>
      <c r="AH13" s="14">
        <f t="shared" si="0"/>
        <v>-1.1930553087820539E-2</v>
      </c>
      <c r="AI13" s="14">
        <f t="shared" si="0"/>
        <v>0.17234838412660225</v>
      </c>
      <c r="AJ13" s="120">
        <f t="shared" si="0"/>
        <v>-1.7184750729428599E-2</v>
      </c>
      <c r="AK13" s="120">
        <f t="shared" si="0"/>
        <v>-0.10049024163601483</v>
      </c>
      <c r="AL13" s="14">
        <f t="shared" si="0"/>
        <v>-0.11080625599329574</v>
      </c>
      <c r="AM13" s="14">
        <f t="shared" si="0"/>
        <v>-0.15858267709433604</v>
      </c>
      <c r="AN13" s="120">
        <f t="shared" si="0"/>
        <v>2.0337860016017562E-3</v>
      </c>
      <c r="AO13" s="120">
        <f t="shared" si="0"/>
        <v>4.3028615215485067E-2</v>
      </c>
      <c r="AP13" s="14">
        <f t="shared" si="0"/>
        <v>5.9567480075456647E-2</v>
      </c>
      <c r="AQ13" s="14">
        <f t="shared" si="0"/>
        <v>5.9081710252542052E-2</v>
      </c>
      <c r="AR13" s="120">
        <f t="shared" si="1"/>
        <v>-2.2783128769342409E-2</v>
      </c>
      <c r="AS13" s="120">
        <f t="shared" si="1"/>
        <v>-0.15741841125193035</v>
      </c>
      <c r="AT13" s="14">
        <f t="shared" si="1"/>
        <v>3.6091318364176672E-2</v>
      </c>
      <c r="AU13" s="14">
        <f t="shared" si="1"/>
        <v>-0.12420215119570044</v>
      </c>
    </row>
    <row r="14" spans="1:284" s="121" customFormat="1" ht="15" customHeight="1" x14ac:dyDescent="0.2">
      <c r="A14" s="125"/>
      <c r="B14" s="115"/>
      <c r="C14" s="12" t="s">
        <v>88</v>
      </c>
      <c r="D14" s="116">
        <v>820.75364243128104</v>
      </c>
      <c r="E14" s="116">
        <v>401.38148148148099</v>
      </c>
      <c r="F14" s="117">
        <v>77.819604615706595</v>
      </c>
      <c r="G14" s="117">
        <v>37.7211973546815</v>
      </c>
      <c r="H14" s="116">
        <v>904.88175680676147</v>
      </c>
      <c r="I14" s="116">
        <v>294.48924731182808</v>
      </c>
      <c r="J14" s="117">
        <v>83.913161711104735</v>
      </c>
      <c r="K14" s="117">
        <v>26.261536617523671</v>
      </c>
      <c r="L14" s="116">
        <v>940.86738701955028</v>
      </c>
      <c r="M14" s="116">
        <v>326.61038276069928</v>
      </c>
      <c r="N14" s="117">
        <v>90.870364959405634</v>
      </c>
      <c r="O14" s="117">
        <v>31.601004578193802</v>
      </c>
      <c r="P14" s="116">
        <v>818.35194600628722</v>
      </c>
      <c r="Q14" s="116">
        <v>385.38654572940266</v>
      </c>
      <c r="R14" s="117">
        <v>75.993516148404481</v>
      </c>
      <c r="S14" s="117">
        <v>36.379011658604107</v>
      </c>
      <c r="T14" s="118">
        <v>813.29651130458467</v>
      </c>
      <c r="U14" s="118">
        <v>348.68726892931079</v>
      </c>
      <c r="V14" s="119">
        <v>81.684802445438535</v>
      </c>
      <c r="W14" s="119">
        <v>34.525615189187583</v>
      </c>
      <c r="X14" s="118">
        <v>866.13316118780415</v>
      </c>
      <c r="Y14" s="118">
        <v>360.66815476190499</v>
      </c>
      <c r="Z14" s="119">
        <v>84.393867018615538</v>
      </c>
      <c r="AA14" s="119">
        <v>34.793138099339664</v>
      </c>
      <c r="AB14" s="120">
        <f t="shared" si="0"/>
        <v>0.10250105515983043</v>
      </c>
      <c r="AC14" s="120">
        <f t="shared" si="0"/>
        <v>-0.26631082673549977</v>
      </c>
      <c r="AD14" s="14">
        <f t="shared" si="0"/>
        <v>7.8303624459282517E-2</v>
      </c>
      <c r="AE14" s="14">
        <f t="shared" si="0"/>
        <v>-0.30379896558971753</v>
      </c>
      <c r="AF14" s="120">
        <f t="shared" si="0"/>
        <v>3.9768323255602533E-2</v>
      </c>
      <c r="AG14" s="120">
        <f t="shared" si="0"/>
        <v>0.10907405191218689</v>
      </c>
      <c r="AH14" s="14">
        <f t="shared" si="0"/>
        <v>8.2909559197078986E-2</v>
      </c>
      <c r="AI14" s="14">
        <f t="shared" si="0"/>
        <v>0.20331894658088046</v>
      </c>
      <c r="AJ14" s="120">
        <f t="shared" si="0"/>
        <v>-0.13021541898839062</v>
      </c>
      <c r="AK14" s="120">
        <f t="shared" si="0"/>
        <v>0.17995803584654402</v>
      </c>
      <c r="AL14" s="14">
        <f t="shared" si="0"/>
        <v>-0.16371507716126221</v>
      </c>
      <c r="AM14" s="14">
        <f t="shared" si="0"/>
        <v>0.1511979490584725</v>
      </c>
      <c r="AN14" s="120">
        <f t="shared" si="0"/>
        <v>-6.1775801064248848E-3</v>
      </c>
      <c r="AO14" s="120">
        <f t="shared" si="0"/>
        <v>-9.522718737010627E-2</v>
      </c>
      <c r="AP14" s="14">
        <f t="shared" si="0"/>
        <v>7.4891735314889019E-2</v>
      </c>
      <c r="AQ14" s="14">
        <f t="shared" si="0"/>
        <v>-5.0946861525804299E-2</v>
      </c>
      <c r="AR14" s="120">
        <f t="shared" si="1"/>
        <v>6.4966035325131122E-2</v>
      </c>
      <c r="AS14" s="120">
        <f t="shared" si="1"/>
        <v>3.4359974969499385E-2</v>
      </c>
      <c r="AT14" s="14">
        <f t="shared" si="1"/>
        <v>3.3164854318972203E-2</v>
      </c>
      <c r="AU14" s="14">
        <f t="shared" si="1"/>
        <v>7.7485342023930759E-3</v>
      </c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  <c r="IW14" s="114"/>
      <c r="IX14" s="114"/>
      <c r="IY14" s="114"/>
      <c r="IZ14" s="114"/>
      <c r="JA14" s="114"/>
      <c r="JB14" s="114"/>
      <c r="JC14" s="114"/>
      <c r="JD14" s="114"/>
      <c r="JE14" s="114"/>
      <c r="JF14" s="114"/>
      <c r="JG14" s="114"/>
      <c r="JH14" s="114"/>
      <c r="JI14" s="114"/>
      <c r="JJ14" s="114"/>
      <c r="JK14" s="114"/>
      <c r="JL14" s="114"/>
      <c r="JM14" s="114"/>
      <c r="JN14" s="114"/>
      <c r="JO14" s="114"/>
      <c r="JP14" s="114"/>
      <c r="JQ14" s="114"/>
      <c r="JR14" s="114"/>
      <c r="JS14" s="114"/>
      <c r="JT14" s="114"/>
      <c r="JU14" s="114"/>
      <c r="JV14" s="114"/>
      <c r="JW14" s="114"/>
      <c r="JX14" s="114"/>
    </row>
    <row r="15" spans="1:284" s="121" customFormat="1" ht="15" customHeight="1" x14ac:dyDescent="0.2">
      <c r="A15" s="124"/>
      <c r="B15" s="122"/>
      <c r="C15" s="12" t="s">
        <v>92</v>
      </c>
      <c r="D15" s="116">
        <v>774.87455548551304</v>
      </c>
      <c r="E15" s="116">
        <v>337.082321187584</v>
      </c>
      <c r="F15" s="117">
        <v>80.147368205141305</v>
      </c>
      <c r="G15" s="117">
        <v>35.324282279734099</v>
      </c>
      <c r="H15" s="116">
        <v>749.77792667565177</v>
      </c>
      <c r="I15" s="116">
        <v>329.41025164789414</v>
      </c>
      <c r="J15" s="117">
        <v>77.851273135216985</v>
      </c>
      <c r="K15" s="117">
        <v>34.578976692320389</v>
      </c>
      <c r="L15" s="116">
        <v>782.36562622653594</v>
      </c>
      <c r="M15" s="116">
        <v>348.92903828197956</v>
      </c>
      <c r="N15" s="117">
        <v>72.271774266186668</v>
      </c>
      <c r="O15" s="117">
        <v>32.226332764181372</v>
      </c>
      <c r="P15" s="116">
        <v>721.79787478496394</v>
      </c>
      <c r="Q15" s="116">
        <v>335.00328947368399</v>
      </c>
      <c r="R15" s="117">
        <v>75.758026362015912</v>
      </c>
      <c r="S15" s="117">
        <v>35.472309299895535</v>
      </c>
      <c r="T15" s="118">
        <v>722.16235662283032</v>
      </c>
      <c r="U15" s="118">
        <v>333.9894977168949</v>
      </c>
      <c r="V15" s="119">
        <v>73.959077983340521</v>
      </c>
      <c r="W15" s="119">
        <v>34.711323082763862</v>
      </c>
      <c r="X15" s="118">
        <v>769.50872012989919</v>
      </c>
      <c r="Y15" s="118">
        <v>315.47959183673424</v>
      </c>
      <c r="Z15" s="119">
        <v>83.307906076687971</v>
      </c>
      <c r="AA15" s="119">
        <v>34.464157091407984</v>
      </c>
      <c r="AB15" s="120">
        <f t="shared" si="0"/>
        <v>-3.2387989297359865E-2</v>
      </c>
      <c r="AC15" s="120">
        <f t="shared" si="0"/>
        <v>-2.2760225195614492E-2</v>
      </c>
      <c r="AD15" s="14">
        <f t="shared" si="0"/>
        <v>-2.8648415055218646E-2</v>
      </c>
      <c r="AE15" s="14">
        <f t="shared" si="0"/>
        <v>-2.109895911009918E-2</v>
      </c>
      <c r="AF15" s="120">
        <f t="shared" si="0"/>
        <v>4.3463135405133579E-2</v>
      </c>
      <c r="AG15" s="120">
        <f t="shared" si="0"/>
        <v>5.9253731589838265E-2</v>
      </c>
      <c r="AH15" s="14">
        <f t="shared" si="0"/>
        <v>-7.1668691394930595E-2</v>
      </c>
      <c r="AI15" s="14">
        <f t="shared" si="0"/>
        <v>-6.8036829113613195E-2</v>
      </c>
      <c r="AJ15" s="120">
        <f t="shared" si="0"/>
        <v>-7.7416171430868097E-2</v>
      </c>
      <c r="AK15" s="120">
        <f t="shared" si="0"/>
        <v>-3.9909973892862882E-2</v>
      </c>
      <c r="AL15" s="14">
        <f t="shared" si="0"/>
        <v>4.823808646220451E-2</v>
      </c>
      <c r="AM15" s="14">
        <f t="shared" si="0"/>
        <v>0.10072435357342213</v>
      </c>
      <c r="AN15" s="120">
        <f t="shared" si="0"/>
        <v>5.0496385567067037E-4</v>
      </c>
      <c r="AO15" s="120">
        <f t="shared" si="0"/>
        <v>-3.0262143347363768E-3</v>
      </c>
      <c r="AP15" s="14">
        <f t="shared" si="0"/>
        <v>-2.374597735794981E-2</v>
      </c>
      <c r="AQ15" s="14">
        <f t="shared" si="0"/>
        <v>-2.1452965204436625E-2</v>
      </c>
      <c r="AR15" s="120">
        <f t="shared" si="1"/>
        <v>6.5561937800916015E-2</v>
      </c>
      <c r="AS15" s="120">
        <f t="shared" si="1"/>
        <v>-5.5420622524635532E-2</v>
      </c>
      <c r="AT15" s="14">
        <f t="shared" si="1"/>
        <v>0.12640541699902341</v>
      </c>
      <c r="AU15" s="14">
        <f t="shared" si="1"/>
        <v>-7.1206156782485097E-3</v>
      </c>
    </row>
    <row r="16" spans="1:284" s="121" customFormat="1" ht="15" customHeight="1" x14ac:dyDescent="0.2">
      <c r="A16" s="125"/>
      <c r="B16" s="115"/>
      <c r="C16" s="12" t="s">
        <v>91</v>
      </c>
      <c r="D16" s="116">
        <v>705.07475223996903</v>
      </c>
      <c r="E16" s="116">
        <v>322.185254803676</v>
      </c>
      <c r="F16" s="117">
        <v>71.901253366172</v>
      </c>
      <c r="G16" s="117">
        <v>32.735400220694302</v>
      </c>
      <c r="H16" s="116">
        <v>817.78486985318318</v>
      </c>
      <c r="I16" s="116">
        <v>360.15741107153855</v>
      </c>
      <c r="J16" s="117">
        <v>80.895556136629452</v>
      </c>
      <c r="K16" s="117">
        <v>35.33065907522429</v>
      </c>
      <c r="L16" s="116">
        <v>786.61843478930143</v>
      </c>
      <c r="M16" s="116">
        <v>339.60711111111152</v>
      </c>
      <c r="N16" s="117">
        <v>77.073658990638179</v>
      </c>
      <c r="O16" s="117">
        <v>33.34712402897793</v>
      </c>
      <c r="P16" s="116">
        <v>708.80168497498187</v>
      </c>
      <c r="Q16" s="116">
        <v>353.72266671324832</v>
      </c>
      <c r="R16" s="117">
        <v>70.511214468303663</v>
      </c>
      <c r="S16" s="117">
        <v>35.513192036549192</v>
      </c>
      <c r="T16" s="118">
        <v>807.08276376942069</v>
      </c>
      <c r="U16" s="118">
        <v>324.22485688264396</v>
      </c>
      <c r="V16" s="119">
        <v>83.314912529170556</v>
      </c>
      <c r="W16" s="119">
        <v>33.531025040702907</v>
      </c>
      <c r="X16" s="118">
        <v>768.80848423502437</v>
      </c>
      <c r="Y16" s="118">
        <v>342.59141083534615</v>
      </c>
      <c r="Z16" s="119">
        <v>80.575896952383914</v>
      </c>
      <c r="AA16" s="119">
        <v>35.904354073421871</v>
      </c>
      <c r="AB16" s="120">
        <f t="shared" si="0"/>
        <v>0.15985555752087666</v>
      </c>
      <c r="AC16" s="120">
        <f t="shared" si="0"/>
        <v>0.1178581443492841</v>
      </c>
      <c r="AD16" s="14">
        <f t="shared" si="0"/>
        <v>0.12509243371116363</v>
      </c>
      <c r="AE16" s="14">
        <f t="shared" si="0"/>
        <v>7.9279887737231602E-2</v>
      </c>
      <c r="AF16" s="120">
        <f t="shared" si="0"/>
        <v>-3.811079932241479E-2</v>
      </c>
      <c r="AG16" s="120">
        <f t="shared" si="0"/>
        <v>-5.7059217244165183E-2</v>
      </c>
      <c r="AH16" s="14">
        <f t="shared" si="0"/>
        <v>-4.724483430877513E-2</v>
      </c>
      <c r="AI16" s="14">
        <f t="shared" si="0"/>
        <v>-5.6142033524569035E-2</v>
      </c>
      <c r="AJ16" s="120">
        <f t="shared" si="0"/>
        <v>-9.8925662522977964E-2</v>
      </c>
      <c r="AK16" s="120">
        <f t="shared" si="0"/>
        <v>4.1564369944887547E-2</v>
      </c>
      <c r="AL16" s="14">
        <f t="shared" si="0"/>
        <v>-8.5145101559686243E-2</v>
      </c>
      <c r="AM16" s="14">
        <f t="shared" si="0"/>
        <v>6.4955166919012042E-2</v>
      </c>
      <c r="AN16" s="120">
        <f t="shared" si="0"/>
        <v>0.13865807725599266</v>
      </c>
      <c r="AO16" s="120">
        <f t="shared" si="0"/>
        <v>-8.3392478363613853E-2</v>
      </c>
      <c r="AP16" s="14">
        <f t="shared" si="0"/>
        <v>0.18158385382260622</v>
      </c>
      <c r="AQ16" s="14">
        <f t="shared" si="0"/>
        <v>-5.581494881694371E-2</v>
      </c>
      <c r="AR16" s="120">
        <f t="shared" si="1"/>
        <v>-4.742299210509604E-2</v>
      </c>
      <c r="AS16" s="120">
        <f t="shared" si="1"/>
        <v>5.6647581339977604E-2</v>
      </c>
      <c r="AT16" s="14">
        <f t="shared" si="1"/>
        <v>-3.2875454029044904E-2</v>
      </c>
      <c r="AU16" s="14">
        <f t="shared" si="1"/>
        <v>7.0780091865310091E-2</v>
      </c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  <c r="IF16" s="114"/>
      <c r="IG16" s="114"/>
      <c r="IH16" s="114"/>
      <c r="II16" s="114"/>
      <c r="IJ16" s="114"/>
      <c r="IK16" s="114"/>
      <c r="IL16" s="114"/>
      <c r="IM16" s="114"/>
      <c r="IN16" s="114"/>
      <c r="IO16" s="114"/>
      <c r="IP16" s="114"/>
      <c r="IQ16" s="114"/>
      <c r="IR16" s="114"/>
      <c r="IS16" s="114"/>
      <c r="IT16" s="114"/>
      <c r="IU16" s="114"/>
      <c r="IV16" s="114"/>
      <c r="IW16" s="114"/>
      <c r="IX16" s="114"/>
      <c r="IY16" s="114"/>
      <c r="IZ16" s="114"/>
      <c r="JA16" s="114"/>
      <c r="JB16" s="114"/>
      <c r="JC16" s="114"/>
      <c r="JD16" s="114"/>
      <c r="JE16" s="114"/>
      <c r="JF16" s="114"/>
      <c r="JG16" s="114"/>
      <c r="JH16" s="114"/>
      <c r="JI16" s="114"/>
      <c r="JJ16" s="114"/>
      <c r="JK16" s="114"/>
      <c r="JL16" s="114"/>
      <c r="JM16" s="114"/>
      <c r="JN16" s="114"/>
      <c r="JO16" s="114"/>
      <c r="JP16" s="114"/>
      <c r="JQ16" s="114"/>
      <c r="JR16" s="114"/>
      <c r="JS16" s="114"/>
      <c r="JT16" s="114"/>
      <c r="JU16" s="114"/>
      <c r="JV16" s="114"/>
      <c r="JW16" s="114"/>
      <c r="JX16" s="114"/>
    </row>
    <row r="17" spans="1:284" s="114" customFormat="1" ht="15" customHeight="1" x14ac:dyDescent="0.2">
      <c r="A17" s="125"/>
      <c r="B17" s="115"/>
      <c r="C17" s="123" t="s">
        <v>86</v>
      </c>
      <c r="D17" s="118">
        <v>724.00836970141097</v>
      </c>
      <c r="E17" s="118">
        <v>414.05543154761898</v>
      </c>
      <c r="F17" s="119">
        <v>74.669270504453706</v>
      </c>
      <c r="G17" s="119">
        <v>44.712397557448199</v>
      </c>
      <c r="H17" s="118">
        <v>729.74629789549567</v>
      </c>
      <c r="I17" s="118">
        <v>407.28295591291982</v>
      </c>
      <c r="J17" s="119">
        <v>71.821932113651499</v>
      </c>
      <c r="K17" s="119">
        <v>40.920340510656075</v>
      </c>
      <c r="L17" s="118">
        <v>759.47125831747337</v>
      </c>
      <c r="M17" s="118">
        <v>410.58188594586744</v>
      </c>
      <c r="N17" s="119">
        <v>67.477098440135848</v>
      </c>
      <c r="O17" s="119">
        <v>37.449803292539642</v>
      </c>
      <c r="P17" s="118">
        <v>731.35930647907253</v>
      </c>
      <c r="Q17" s="118">
        <v>447.96235875585921</v>
      </c>
      <c r="R17" s="119">
        <v>60.690530684712918</v>
      </c>
      <c r="S17" s="119">
        <v>37.759813133075539</v>
      </c>
      <c r="T17" s="118">
        <v>752.47744001117701</v>
      </c>
      <c r="U17" s="118">
        <v>406.42133026423033</v>
      </c>
      <c r="V17" s="119">
        <v>88.114254523188848</v>
      </c>
      <c r="W17" s="119">
        <v>47.67025525069463</v>
      </c>
      <c r="X17" s="118">
        <v>759.04174598673887</v>
      </c>
      <c r="Y17" s="118">
        <v>358.64259259259291</v>
      </c>
      <c r="Z17" s="119">
        <v>77.149501192729758</v>
      </c>
      <c r="AA17" s="119">
        <v>36.860867910163684</v>
      </c>
      <c r="AB17" s="120">
        <f t="shared" si="0"/>
        <v>7.9252235667539583E-3</v>
      </c>
      <c r="AC17" s="120">
        <f t="shared" si="0"/>
        <v>-1.6356446791159329E-2</v>
      </c>
      <c r="AD17" s="14">
        <f t="shared" si="0"/>
        <v>-3.8132666511485169E-2</v>
      </c>
      <c r="AE17" s="14">
        <f t="shared" si="0"/>
        <v>-8.4809968911193856E-2</v>
      </c>
      <c r="AF17" s="120">
        <f t="shared" si="0"/>
        <v>4.0733280192994492E-2</v>
      </c>
      <c r="AG17" s="120">
        <f t="shared" si="0"/>
        <v>8.0998479927869571E-3</v>
      </c>
      <c r="AH17" s="14">
        <f t="shared" si="0"/>
        <v>-6.0494525079614392E-2</v>
      </c>
      <c r="AI17" s="14">
        <f t="shared" si="0"/>
        <v>-8.4812031737924287E-2</v>
      </c>
      <c r="AJ17" s="120">
        <f t="shared" si="0"/>
        <v>-3.701516223363055E-2</v>
      </c>
      <c r="AK17" s="120">
        <f t="shared" si="0"/>
        <v>9.1042674042663752E-2</v>
      </c>
      <c r="AL17" s="14">
        <f t="shared" si="0"/>
        <v>-0.10057586814352748</v>
      </c>
      <c r="AM17" s="14">
        <f t="shared" si="0"/>
        <v>8.2780098499917187E-3</v>
      </c>
      <c r="AN17" s="120">
        <f t="shared" si="0"/>
        <v>2.8875182615466954E-2</v>
      </c>
      <c r="AO17" s="120">
        <f t="shared" si="0"/>
        <v>-9.2733301536767843E-2</v>
      </c>
      <c r="AP17" s="14">
        <f t="shared" si="0"/>
        <v>0.45186165830287561</v>
      </c>
      <c r="AQ17" s="14">
        <f t="shared" si="0"/>
        <v>0.26246004138558843</v>
      </c>
      <c r="AR17" s="120">
        <f t="shared" si="1"/>
        <v>8.7235917338124302E-3</v>
      </c>
      <c r="AS17" s="120">
        <f t="shared" si="1"/>
        <v>-0.11755962129392816</v>
      </c>
      <c r="AT17" s="14">
        <f t="shared" si="1"/>
        <v>-0.12443790610035199</v>
      </c>
      <c r="AU17" s="14">
        <f t="shared" si="1"/>
        <v>-0.22675329267034783</v>
      </c>
    </row>
    <row r="18" spans="1:284" s="114" customFormat="1" ht="15" customHeight="1" x14ac:dyDescent="0.2">
      <c r="A18" s="124"/>
      <c r="B18" s="122"/>
      <c r="C18" s="12" t="s">
        <v>89</v>
      </c>
      <c r="D18" s="116">
        <v>829.53649244733299</v>
      </c>
      <c r="E18" s="116">
        <v>326.33927342105801</v>
      </c>
      <c r="F18" s="117">
        <v>65.8928557117286</v>
      </c>
      <c r="G18" s="117">
        <v>26.1486167552791</v>
      </c>
      <c r="H18" s="116">
        <v>858.05011168995873</v>
      </c>
      <c r="I18" s="116">
        <v>330.72474802551159</v>
      </c>
      <c r="J18" s="117">
        <v>71.147165109812875</v>
      </c>
      <c r="K18" s="117">
        <v>27.589114386057755</v>
      </c>
      <c r="L18" s="116">
        <v>890.44342138887146</v>
      </c>
      <c r="M18" s="116">
        <v>342.36461370262384</v>
      </c>
      <c r="N18" s="117">
        <v>70.404364099279277</v>
      </c>
      <c r="O18" s="117">
        <v>26.887478534630791</v>
      </c>
      <c r="P18" s="116">
        <v>858.76006077097725</v>
      </c>
      <c r="Q18" s="116">
        <v>334.4927215935877</v>
      </c>
      <c r="R18" s="117">
        <v>70.854621408320057</v>
      </c>
      <c r="S18" s="117">
        <v>27.360022463893884</v>
      </c>
      <c r="T18" s="118">
        <v>912.22980002661416</v>
      </c>
      <c r="U18" s="118">
        <v>339.39304158282977</v>
      </c>
      <c r="V18" s="119">
        <v>78.082890407633201</v>
      </c>
      <c r="W18" s="119">
        <v>29.118368621087484</v>
      </c>
      <c r="X18" s="118">
        <v>872.9985606733178</v>
      </c>
      <c r="Y18" s="118">
        <v>343.99104613516812</v>
      </c>
      <c r="Z18" s="119">
        <v>73.84256600161649</v>
      </c>
      <c r="AA18" s="119">
        <v>29.259961273666139</v>
      </c>
      <c r="AB18" s="120">
        <f t="shared" si="0"/>
        <v>3.4372953453203348E-2</v>
      </c>
      <c r="AC18" s="120">
        <f t="shared" si="0"/>
        <v>1.3438390539024292E-2</v>
      </c>
      <c r="AD18" s="14">
        <f t="shared" si="0"/>
        <v>7.974019855917458E-2</v>
      </c>
      <c r="AE18" s="14">
        <f t="shared" si="0"/>
        <v>5.5088865474608228E-2</v>
      </c>
      <c r="AF18" s="120">
        <f t="shared" si="0"/>
        <v>3.7752235280423152E-2</v>
      </c>
      <c r="AG18" s="120">
        <f t="shared" si="0"/>
        <v>3.5195024704393729E-2</v>
      </c>
      <c r="AH18" s="14">
        <f t="shared" si="0"/>
        <v>-1.0440345857591238E-2</v>
      </c>
      <c r="AI18" s="14">
        <f t="shared" si="0"/>
        <v>-2.5431619210710799E-2</v>
      </c>
      <c r="AJ18" s="120">
        <f t="shared" si="0"/>
        <v>-3.5581553927902632E-2</v>
      </c>
      <c r="AK18" s="120">
        <f t="shared" si="0"/>
        <v>-2.2992715350756532E-2</v>
      </c>
      <c r="AL18" s="14">
        <f t="shared" si="0"/>
        <v>6.3953039673201317E-3</v>
      </c>
      <c r="AM18" s="14">
        <f t="shared" si="0"/>
        <v>1.7574869605361476E-2</v>
      </c>
      <c r="AN18" s="120">
        <f t="shared" si="0"/>
        <v>6.2263886850574934E-2</v>
      </c>
      <c r="AO18" s="120">
        <f t="shared" si="0"/>
        <v>1.4650004836864516E-2</v>
      </c>
      <c r="AP18" s="14">
        <f t="shared" si="0"/>
        <v>0.10201549109490227</v>
      </c>
      <c r="AQ18" s="14">
        <f t="shared" si="0"/>
        <v>6.426698514279483E-2</v>
      </c>
      <c r="AR18" s="120">
        <f t="shared" si="1"/>
        <v>-4.3005873467575562E-2</v>
      </c>
      <c r="AS18" s="120">
        <f t="shared" si="1"/>
        <v>1.3547727822864619E-2</v>
      </c>
      <c r="AT18" s="14">
        <f t="shared" si="1"/>
        <v>-5.4305423171196909E-2</v>
      </c>
      <c r="AU18" s="14">
        <f t="shared" si="1"/>
        <v>4.8626574661918553E-3</v>
      </c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  <c r="JA18" s="121"/>
      <c r="JB18" s="121"/>
      <c r="JC18" s="121"/>
      <c r="JD18" s="121"/>
      <c r="JE18" s="121"/>
      <c r="JF18" s="121"/>
      <c r="JG18" s="121"/>
      <c r="JH18" s="121"/>
      <c r="JI18" s="121"/>
      <c r="JJ18" s="121"/>
      <c r="JK18" s="121"/>
      <c r="JL18" s="121"/>
      <c r="JM18" s="121"/>
      <c r="JN18" s="121"/>
      <c r="JO18" s="121"/>
      <c r="JP18" s="121"/>
      <c r="JQ18" s="121"/>
      <c r="JR18" s="121"/>
      <c r="JS18" s="121"/>
      <c r="JT18" s="121"/>
      <c r="JU18" s="121"/>
      <c r="JV18" s="121"/>
      <c r="JW18" s="121"/>
      <c r="JX18" s="121"/>
    </row>
    <row r="19" spans="1:284" s="114" customFormat="1" ht="15" customHeight="1" x14ac:dyDescent="0.2">
      <c r="A19" s="125"/>
      <c r="B19" s="115"/>
      <c r="C19" s="126" t="s">
        <v>171</v>
      </c>
      <c r="D19" s="127">
        <v>637.36725732437696</v>
      </c>
      <c r="E19" s="127">
        <v>388.14461438331301</v>
      </c>
      <c r="F19" s="127">
        <v>66.468318345722494</v>
      </c>
      <c r="G19" s="127">
        <v>40.642639932184302</v>
      </c>
      <c r="H19" s="127">
        <v>643.17659762201754</v>
      </c>
      <c r="I19" s="127">
        <v>376.69051645709465</v>
      </c>
      <c r="J19" s="127">
        <v>68.307611983919543</v>
      </c>
      <c r="K19" s="127">
        <v>40.062917528009486</v>
      </c>
      <c r="L19" s="127">
        <v>630.41157436711387</v>
      </c>
      <c r="M19" s="127">
        <v>357.95475030382158</v>
      </c>
      <c r="N19" s="127">
        <v>65.273888009829918</v>
      </c>
      <c r="O19" s="127">
        <v>37.178670560809259</v>
      </c>
      <c r="P19" s="127">
        <v>653.13452385656899</v>
      </c>
      <c r="Q19" s="127">
        <v>359.88552289794779</v>
      </c>
      <c r="R19" s="127">
        <v>67.447191395233872</v>
      </c>
      <c r="S19" s="127">
        <v>37.314044359511058</v>
      </c>
      <c r="T19" s="128">
        <v>673.03015379474505</v>
      </c>
      <c r="U19" s="128">
        <v>353.1865417631916</v>
      </c>
      <c r="V19" s="128">
        <v>71.295741495141186</v>
      </c>
      <c r="W19" s="128">
        <v>37.557843731647338</v>
      </c>
      <c r="X19" s="128">
        <v>696.13350341504815</v>
      </c>
      <c r="Y19" s="128">
        <v>353.00930777490129</v>
      </c>
      <c r="Z19" s="128">
        <v>73.835711246010717</v>
      </c>
      <c r="AA19" s="128">
        <v>37.539493044820354</v>
      </c>
      <c r="AB19" s="129">
        <f t="shared" si="0"/>
        <v>9.1145885372709845E-3</v>
      </c>
      <c r="AC19" s="129">
        <f t="shared" si="0"/>
        <v>-2.9509872098616441E-2</v>
      </c>
      <c r="AD19" s="129">
        <f t="shared" si="0"/>
        <v>2.7671734203208009E-2</v>
      </c>
      <c r="AE19" s="129">
        <f t="shared" si="0"/>
        <v>-1.4263896369481222E-2</v>
      </c>
      <c r="AF19" s="129">
        <f t="shared" si="0"/>
        <v>-1.9846840357841233E-2</v>
      </c>
      <c r="AG19" s="129">
        <f t="shared" si="0"/>
        <v>-4.9737822787495278E-2</v>
      </c>
      <c r="AH19" s="129">
        <f t="shared" si="0"/>
        <v>-4.441267797216808E-2</v>
      </c>
      <c r="AI19" s="129">
        <f t="shared" si="0"/>
        <v>-7.199293374437199E-2</v>
      </c>
      <c r="AJ19" s="129">
        <f t="shared" si="0"/>
        <v>3.6044626103616917E-2</v>
      </c>
      <c r="AK19" s="129">
        <f t="shared" si="0"/>
        <v>5.3939013031323313E-3</v>
      </c>
      <c r="AL19" s="129">
        <f t="shared" si="0"/>
        <v>3.3295142233241259E-2</v>
      </c>
      <c r="AM19" s="129">
        <f t="shared" si="0"/>
        <v>3.6411683543224882E-3</v>
      </c>
      <c r="AN19" s="129">
        <f t="shared" si="0"/>
        <v>3.046176432490233E-2</v>
      </c>
      <c r="AO19" s="129">
        <f t="shared" si="0"/>
        <v>-1.8614200095667166E-2</v>
      </c>
      <c r="AP19" s="129">
        <f t="shared" si="0"/>
        <v>5.7060198064515344E-2</v>
      </c>
      <c r="AQ19" s="129">
        <f t="shared" si="0"/>
        <v>6.5337160932579241E-3</v>
      </c>
      <c r="AR19" s="129">
        <f t="shared" si="1"/>
        <v>3.4327361842615201E-2</v>
      </c>
      <c r="AS19" s="129">
        <f t="shared" si="1"/>
        <v>-5.0181410482263988E-4</v>
      </c>
      <c r="AT19" s="129">
        <f t="shared" si="1"/>
        <v>3.562582697933836E-2</v>
      </c>
      <c r="AU19" s="129">
        <f t="shared" si="1"/>
        <v>-4.8859798656442077E-4</v>
      </c>
    </row>
    <row r="20" spans="1:284" s="114" customFormat="1" ht="15" customHeight="1" x14ac:dyDescent="0.2">
      <c r="A20" s="124"/>
      <c r="B20" s="122"/>
      <c r="C20" s="12" t="s">
        <v>95</v>
      </c>
      <c r="D20" s="116">
        <v>679.23969077387403</v>
      </c>
      <c r="E20" s="116">
        <v>394.64448236632597</v>
      </c>
      <c r="F20" s="117">
        <v>69.925555613537099</v>
      </c>
      <c r="G20" s="117">
        <v>35.556836818368097</v>
      </c>
      <c r="H20" s="116">
        <v>759.88355991162109</v>
      </c>
      <c r="I20" s="116">
        <v>379.75485799701039</v>
      </c>
      <c r="J20" s="117">
        <v>81.00470223018749</v>
      </c>
      <c r="K20" s="117">
        <v>40.558109833971905</v>
      </c>
      <c r="L20" s="116">
        <v>777.80600975372158</v>
      </c>
      <c r="M20" s="116">
        <v>470.3752436647174</v>
      </c>
      <c r="N20" s="117">
        <v>60.455594856712409</v>
      </c>
      <c r="O20" s="117">
        <v>36.416147896623308</v>
      </c>
      <c r="P20" s="116">
        <v>714.08793095915541</v>
      </c>
      <c r="Q20" s="116">
        <v>431.86212121212128</v>
      </c>
      <c r="R20" s="117">
        <v>72.247378742028403</v>
      </c>
      <c r="S20" s="117">
        <v>42.277764293419636</v>
      </c>
      <c r="T20" s="118">
        <v>728.67728656741485</v>
      </c>
      <c r="U20" s="118">
        <v>377.06118881118914</v>
      </c>
      <c r="V20" s="119">
        <v>66.513770870346633</v>
      </c>
      <c r="W20" s="119">
        <v>35.403644123440571</v>
      </c>
      <c r="X20" s="118">
        <v>682.15320148065064</v>
      </c>
      <c r="Y20" s="118">
        <v>344.87404529454705</v>
      </c>
      <c r="Z20" s="119">
        <v>73.087843015783932</v>
      </c>
      <c r="AA20" s="119">
        <v>33.546966554903051</v>
      </c>
      <c r="AB20" s="120">
        <f t="shared" si="0"/>
        <v>0.11872667371052414</v>
      </c>
      <c r="AC20" s="120">
        <f t="shared" si="0"/>
        <v>-3.7729209540789621E-2</v>
      </c>
      <c r="AD20" s="14">
        <f t="shared" si="0"/>
        <v>0.15844202479966496</v>
      </c>
      <c r="AE20" s="14">
        <f t="shared" si="0"/>
        <v>0.14065573496178452</v>
      </c>
      <c r="AF20" s="120">
        <f t="shared" si="0"/>
        <v>2.3585784438059143E-2</v>
      </c>
      <c r="AG20" s="120">
        <f t="shared" si="0"/>
        <v>0.238628640975596</v>
      </c>
      <c r="AH20" s="14">
        <f t="shared" si="0"/>
        <v>-0.25367795705342622</v>
      </c>
      <c r="AI20" s="14">
        <f t="shared" si="0"/>
        <v>-0.10212413631463779</v>
      </c>
      <c r="AJ20" s="120">
        <f t="shared" si="0"/>
        <v>-8.1920270601587908E-2</v>
      </c>
      <c r="AK20" s="120">
        <f t="shared" si="0"/>
        <v>-8.1877443533248995E-2</v>
      </c>
      <c r="AL20" s="14">
        <f t="shared" si="0"/>
        <v>0.1950486785096408</v>
      </c>
      <c r="AM20" s="14">
        <f t="shared" si="0"/>
        <v>0.16096201095832674</v>
      </c>
      <c r="AN20" s="120">
        <f t="shared" si="0"/>
        <v>2.0430755059342776E-2</v>
      </c>
      <c r="AO20" s="120">
        <f t="shared" si="0"/>
        <v>-0.12689451032917776</v>
      </c>
      <c r="AP20" s="14">
        <f t="shared" si="0"/>
        <v>-7.9360773657333628E-2</v>
      </c>
      <c r="AQ20" s="14">
        <f t="shared" si="0"/>
        <v>-0.16259422145103808</v>
      </c>
      <c r="AR20" s="120">
        <f t="shared" si="1"/>
        <v>-6.3847310660560819E-2</v>
      </c>
      <c r="AS20" s="120">
        <f t="shared" si="1"/>
        <v>-8.5363183673511367E-2</v>
      </c>
      <c r="AT20" s="14">
        <f t="shared" si="1"/>
        <v>9.883776035269376E-2</v>
      </c>
      <c r="AU20" s="14">
        <f t="shared" si="1"/>
        <v>-5.2443120320154413E-2</v>
      </c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  <c r="JA20" s="121"/>
      <c r="JB20" s="121"/>
      <c r="JC20" s="121"/>
      <c r="JD20" s="121"/>
      <c r="JE20" s="121"/>
      <c r="JF20" s="121"/>
      <c r="JG20" s="121"/>
      <c r="JH20" s="121"/>
      <c r="JI20" s="121"/>
      <c r="JJ20" s="121"/>
      <c r="JK20" s="121"/>
      <c r="JL20" s="121"/>
      <c r="JM20" s="121"/>
      <c r="JN20" s="121"/>
      <c r="JO20" s="121"/>
      <c r="JP20" s="121"/>
      <c r="JQ20" s="121"/>
      <c r="JR20" s="121"/>
      <c r="JS20" s="121"/>
      <c r="JT20" s="121"/>
      <c r="JU20" s="121"/>
      <c r="JV20" s="121"/>
      <c r="JW20" s="121"/>
      <c r="JX20" s="121"/>
    </row>
    <row r="21" spans="1:284" s="114" customFormat="1" ht="15" customHeight="1" x14ac:dyDescent="0.2">
      <c r="A21" s="125"/>
      <c r="B21" s="115"/>
      <c r="C21" s="123" t="s">
        <v>96</v>
      </c>
      <c r="D21" s="118" t="s">
        <v>98</v>
      </c>
      <c r="E21" s="118" t="s">
        <v>98</v>
      </c>
      <c r="F21" s="119" t="s">
        <v>98</v>
      </c>
      <c r="G21" s="119" t="s">
        <v>98</v>
      </c>
      <c r="H21" s="118">
        <v>521.13222803318104</v>
      </c>
      <c r="I21" s="118">
        <v>345.69810671032832</v>
      </c>
      <c r="J21" s="119">
        <v>75.128581545583842</v>
      </c>
      <c r="K21" s="119">
        <v>50.147299380970644</v>
      </c>
      <c r="L21" s="118">
        <v>475.08556452670211</v>
      </c>
      <c r="M21" s="118">
        <v>336.62210772901955</v>
      </c>
      <c r="N21" s="119">
        <v>70.500359736968207</v>
      </c>
      <c r="O21" s="119">
        <v>49.818920536734431</v>
      </c>
      <c r="P21" s="118">
        <v>492.84480416910333</v>
      </c>
      <c r="Q21" s="118">
        <v>320.16480096572803</v>
      </c>
      <c r="R21" s="119">
        <v>69.936137302383273</v>
      </c>
      <c r="S21" s="119">
        <v>45.520706038964903</v>
      </c>
      <c r="T21" s="118">
        <v>503.21928677234632</v>
      </c>
      <c r="U21" s="118">
        <v>315.94160903648765</v>
      </c>
      <c r="V21" s="119">
        <v>69.655482124091051</v>
      </c>
      <c r="W21" s="119">
        <v>44.042525589018517</v>
      </c>
      <c r="X21" s="118">
        <v>465.82658319366959</v>
      </c>
      <c r="Y21" s="118">
        <v>303.25801270170774</v>
      </c>
      <c r="Z21" s="119">
        <v>67.859059765866306</v>
      </c>
      <c r="AA21" s="119">
        <v>44.06743009397406</v>
      </c>
      <c r="AB21" s="120" t="s">
        <v>98</v>
      </c>
      <c r="AC21" s="120" t="s">
        <v>98</v>
      </c>
      <c r="AD21" s="14" t="s">
        <v>98</v>
      </c>
      <c r="AE21" s="14" t="s">
        <v>98</v>
      </c>
      <c r="AF21" s="120">
        <f t="shared" si="0"/>
        <v>-8.8358886726819463E-2</v>
      </c>
      <c r="AG21" s="120">
        <f t="shared" si="0"/>
        <v>-2.625411827584534E-2</v>
      </c>
      <c r="AH21" s="14">
        <f t="shared" si="0"/>
        <v>-6.1604008932439225E-2</v>
      </c>
      <c r="AI21" s="14">
        <f t="shared" si="0"/>
        <v>-6.5482857160763519E-3</v>
      </c>
      <c r="AJ21" s="120">
        <f t="shared" si="0"/>
        <v>3.7381139248239714E-2</v>
      </c>
      <c r="AK21" s="120">
        <f t="shared" si="0"/>
        <v>-4.8889560089557804E-2</v>
      </c>
      <c r="AL21" s="14">
        <f t="shared" si="0"/>
        <v>-8.003114263388289E-3</v>
      </c>
      <c r="AM21" s="14">
        <f t="shared" si="0"/>
        <v>-8.6276748903063916E-2</v>
      </c>
      <c r="AN21" s="120">
        <f t="shared" si="0"/>
        <v>2.1050201839367233E-2</v>
      </c>
      <c r="AO21" s="120">
        <f t="shared" si="0"/>
        <v>-1.3190681538075899E-2</v>
      </c>
      <c r="AP21" s="14">
        <f t="shared" si="0"/>
        <v>-4.0130208661475208E-3</v>
      </c>
      <c r="AQ21" s="14">
        <f t="shared" si="0"/>
        <v>-3.2472704810006414E-2</v>
      </c>
      <c r="AR21" s="120">
        <f t="shared" si="1"/>
        <v>-7.4306976226038435E-2</v>
      </c>
      <c r="AS21" s="120">
        <f t="shared" si="1"/>
        <v>-4.0145381209713005E-2</v>
      </c>
      <c r="AT21" s="14">
        <f t="shared" si="1"/>
        <v>-2.5790107303032106E-2</v>
      </c>
      <c r="AU21" s="14">
        <f t="shared" si="1"/>
        <v>5.6546495966047772E-4</v>
      </c>
    </row>
    <row r="22" spans="1:284" s="121" customFormat="1" ht="15" customHeight="1" x14ac:dyDescent="0.2">
      <c r="A22" s="125"/>
      <c r="B22" s="115"/>
      <c r="C22" s="12" t="s">
        <v>99</v>
      </c>
      <c r="D22" s="116">
        <v>501.12180882247998</v>
      </c>
      <c r="E22" s="116">
        <v>351.23191440308398</v>
      </c>
      <c r="F22" s="117">
        <v>73.188751010941701</v>
      </c>
      <c r="G22" s="117">
        <v>51.275390960856498</v>
      </c>
      <c r="H22" s="116">
        <v>495.81818437929809</v>
      </c>
      <c r="I22" s="116">
        <v>339.11581428034975</v>
      </c>
      <c r="J22" s="117">
        <v>73.948275529781526</v>
      </c>
      <c r="K22" s="117">
        <v>50.91419447203463</v>
      </c>
      <c r="L22" s="116">
        <v>458.06965964166938</v>
      </c>
      <c r="M22" s="116">
        <v>328.48909725428297</v>
      </c>
      <c r="N22" s="117">
        <v>69.92608707540721</v>
      </c>
      <c r="O22" s="117">
        <v>50.309491282641986</v>
      </c>
      <c r="P22" s="116">
        <v>479.13985116860067</v>
      </c>
      <c r="Q22" s="116">
        <v>315.34543830105707</v>
      </c>
      <c r="R22" s="117">
        <v>69.51144215481122</v>
      </c>
      <c r="S22" s="117">
        <v>46.041772731122158</v>
      </c>
      <c r="T22" s="118">
        <v>486.9463681122142</v>
      </c>
      <c r="U22" s="118">
        <v>310.09300909148322</v>
      </c>
      <c r="V22" s="119">
        <v>69.102515229761863</v>
      </c>
      <c r="W22" s="119">
        <v>44.404004508777703</v>
      </c>
      <c r="X22" s="118">
        <v>455.57132490754975</v>
      </c>
      <c r="Y22" s="118">
        <v>298.58879341210297</v>
      </c>
      <c r="Z22" s="119">
        <v>67.549974119853914</v>
      </c>
      <c r="AA22" s="119">
        <v>44.27565354966125</v>
      </c>
      <c r="AB22" s="120">
        <f t="shared" ref="AB22:AQ24" si="2">H22/D22-1</f>
        <v>-1.0583503551051088E-2</v>
      </c>
      <c r="AC22" s="120">
        <f t="shared" si="2"/>
        <v>-3.4496011398410187E-2</v>
      </c>
      <c r="AD22" s="14">
        <f t="shared" si="2"/>
        <v>1.0377612793614599E-2</v>
      </c>
      <c r="AE22" s="14">
        <f t="shared" si="2"/>
        <v>-7.0442464124281789E-3</v>
      </c>
      <c r="AF22" s="120">
        <f t="shared" si="1"/>
        <v>-7.6133804541447248E-2</v>
      </c>
      <c r="AG22" s="120">
        <f t="shared" si="1"/>
        <v>-3.1336542203489248E-2</v>
      </c>
      <c r="AH22" s="14">
        <f t="shared" si="1"/>
        <v>-5.4391916857539746E-2</v>
      </c>
      <c r="AI22" s="14">
        <f t="shared" si="1"/>
        <v>-1.1876907720199448E-2</v>
      </c>
      <c r="AJ22" s="120">
        <f t="shared" si="1"/>
        <v>4.5997788946366081E-2</v>
      </c>
      <c r="AK22" s="120">
        <f t="shared" si="1"/>
        <v>-4.00124663591237E-2</v>
      </c>
      <c r="AL22" s="14">
        <f t="shared" si="1"/>
        <v>-5.9297600929513195E-3</v>
      </c>
      <c r="AM22" s="14">
        <f t="shared" si="1"/>
        <v>-8.4829292499570497E-2</v>
      </c>
      <c r="AN22" s="120">
        <f t="shared" si="1"/>
        <v>1.6292773236402214E-2</v>
      </c>
      <c r="AO22" s="120">
        <f t="shared" si="1"/>
        <v>-1.6656112857923788E-2</v>
      </c>
      <c r="AP22" s="14">
        <f t="shared" si="1"/>
        <v>-5.882872119652216E-3</v>
      </c>
      <c r="AQ22" s="14">
        <f t="shared" si="1"/>
        <v>-3.5571354559017609E-2</v>
      </c>
      <c r="AR22" s="120">
        <f t="shared" si="1"/>
        <v>-6.4432235784607439E-2</v>
      </c>
      <c r="AS22" s="120">
        <f t="shared" si="1"/>
        <v>-3.7099242298578528E-2</v>
      </c>
      <c r="AT22" s="14">
        <f t="shared" si="1"/>
        <v>-2.2467215625159853E-2</v>
      </c>
      <c r="AU22" s="14">
        <f t="shared" si="1"/>
        <v>-2.8905266661496398E-3</v>
      </c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4"/>
      <c r="DF22" s="114"/>
      <c r="DG22" s="114"/>
      <c r="DH22" s="114"/>
      <c r="DI22" s="114"/>
      <c r="DJ22" s="114"/>
      <c r="DK22" s="114"/>
      <c r="DL22" s="114"/>
      <c r="DM22" s="114"/>
      <c r="DN22" s="114"/>
      <c r="DO22" s="114"/>
      <c r="DP22" s="114"/>
      <c r="DQ22" s="114"/>
      <c r="DR22" s="114"/>
      <c r="DS22" s="114"/>
      <c r="DT22" s="114"/>
      <c r="DU22" s="114"/>
      <c r="DV22" s="114"/>
      <c r="DW22" s="114"/>
      <c r="DX22" s="114"/>
      <c r="DY22" s="114"/>
      <c r="DZ22" s="114"/>
      <c r="EA22" s="114"/>
      <c r="EB22" s="114"/>
      <c r="EC22" s="114"/>
      <c r="ED22" s="114"/>
      <c r="EE22" s="114"/>
      <c r="EF22" s="114"/>
      <c r="EG22" s="114"/>
      <c r="EH22" s="114"/>
      <c r="EI22" s="114"/>
      <c r="EJ22" s="114"/>
      <c r="EK22" s="114"/>
      <c r="EL22" s="114"/>
      <c r="EM22" s="114"/>
      <c r="EN22" s="114"/>
      <c r="EO22" s="114"/>
      <c r="EP22" s="114"/>
      <c r="EQ22" s="114"/>
      <c r="ER22" s="114"/>
      <c r="ES22" s="114"/>
      <c r="ET22" s="114"/>
      <c r="EU22" s="114"/>
      <c r="EV22" s="114"/>
      <c r="EW22" s="114"/>
      <c r="EX22" s="114"/>
      <c r="EY22" s="114"/>
      <c r="EZ22" s="114"/>
      <c r="FA22" s="114"/>
      <c r="FB22" s="114"/>
      <c r="FC22" s="114"/>
      <c r="FD22" s="114"/>
      <c r="FE22" s="114"/>
      <c r="FF22" s="114"/>
      <c r="FG22" s="114"/>
      <c r="FH22" s="114"/>
      <c r="FI22" s="114"/>
      <c r="FJ22" s="114"/>
      <c r="FK22" s="114"/>
      <c r="FL22" s="114"/>
      <c r="FM22" s="114"/>
      <c r="FN22" s="114"/>
      <c r="FO22" s="114"/>
      <c r="FP22" s="114"/>
      <c r="FQ22" s="114"/>
      <c r="FR22" s="114"/>
      <c r="FS22" s="114"/>
      <c r="FT22" s="114"/>
      <c r="FU22" s="114"/>
      <c r="FV22" s="114"/>
      <c r="FW22" s="114"/>
      <c r="FX22" s="114"/>
      <c r="FY22" s="114"/>
      <c r="FZ22" s="114"/>
      <c r="GA22" s="114"/>
      <c r="GB22" s="114"/>
      <c r="GC22" s="114"/>
      <c r="GD22" s="114"/>
      <c r="GE22" s="114"/>
      <c r="GF22" s="114"/>
      <c r="GG22" s="114"/>
      <c r="GH22" s="114"/>
      <c r="GI22" s="114"/>
      <c r="GJ22" s="114"/>
      <c r="GK22" s="114"/>
      <c r="GL22" s="114"/>
      <c r="GM22" s="114"/>
      <c r="GN22" s="114"/>
      <c r="GO22" s="114"/>
      <c r="GP22" s="114"/>
      <c r="GQ22" s="114"/>
      <c r="GR22" s="114"/>
      <c r="GS22" s="114"/>
      <c r="GT22" s="114"/>
      <c r="GU22" s="114"/>
      <c r="GV22" s="114"/>
      <c r="GW22" s="114"/>
      <c r="GX22" s="114"/>
      <c r="GY22" s="114"/>
      <c r="GZ22" s="114"/>
      <c r="HA22" s="114"/>
      <c r="HB22" s="114"/>
      <c r="HC22" s="114"/>
      <c r="HD22" s="114"/>
      <c r="HE22" s="114"/>
      <c r="HF22" s="114"/>
      <c r="HG22" s="114"/>
      <c r="HH22" s="114"/>
      <c r="HI22" s="114"/>
      <c r="HJ22" s="114"/>
      <c r="HK22" s="114"/>
      <c r="HL22" s="114"/>
      <c r="HM22" s="114"/>
      <c r="HN22" s="114"/>
      <c r="HO22" s="114"/>
      <c r="HP22" s="114"/>
      <c r="HQ22" s="114"/>
      <c r="HR22" s="114"/>
      <c r="HS22" s="114"/>
      <c r="HT22" s="114"/>
      <c r="HU22" s="114"/>
      <c r="HV22" s="114"/>
      <c r="HW22" s="114"/>
      <c r="HX22" s="114"/>
      <c r="HY22" s="114"/>
      <c r="HZ22" s="114"/>
      <c r="IA22" s="114"/>
      <c r="IB22" s="114"/>
      <c r="IC22" s="114"/>
      <c r="ID22" s="114"/>
      <c r="IE22" s="114"/>
      <c r="IF22" s="114"/>
      <c r="IG22" s="114"/>
      <c r="IH22" s="114"/>
      <c r="II22" s="114"/>
      <c r="IJ22" s="114"/>
      <c r="IK22" s="114"/>
      <c r="IL22" s="114"/>
      <c r="IM22" s="114"/>
      <c r="IN22" s="114"/>
      <c r="IO22" s="114"/>
      <c r="IP22" s="114"/>
      <c r="IQ22" s="114"/>
      <c r="IR22" s="114"/>
      <c r="IS22" s="114"/>
      <c r="IT22" s="114"/>
      <c r="IU22" s="114"/>
      <c r="IV22" s="114"/>
      <c r="IW22" s="114"/>
      <c r="IX22" s="114"/>
      <c r="IY22" s="114"/>
      <c r="IZ22" s="114"/>
      <c r="JA22" s="114"/>
      <c r="JB22" s="114"/>
      <c r="JC22" s="114"/>
      <c r="JD22" s="114"/>
      <c r="JE22" s="114"/>
      <c r="JF22" s="114"/>
      <c r="JG22" s="114"/>
      <c r="JH22" s="114"/>
      <c r="JI22" s="114"/>
      <c r="JJ22" s="114"/>
      <c r="JK22" s="114"/>
      <c r="JL22" s="114"/>
      <c r="JM22" s="114"/>
      <c r="JN22" s="114"/>
      <c r="JO22" s="114"/>
      <c r="JP22" s="114"/>
      <c r="JQ22" s="114"/>
      <c r="JR22" s="114"/>
      <c r="JS22" s="114"/>
      <c r="JT22" s="114"/>
      <c r="JU22" s="114"/>
      <c r="JV22" s="114"/>
      <c r="JW22" s="114"/>
      <c r="JX22" s="114"/>
    </row>
    <row r="23" spans="1:284" s="121" customFormat="1" ht="15" customHeight="1" x14ac:dyDescent="0.2">
      <c r="A23" s="125"/>
      <c r="B23" s="115"/>
      <c r="C23" s="12" t="s">
        <v>87</v>
      </c>
      <c r="D23" s="116">
        <v>566.79772698719705</v>
      </c>
      <c r="E23" s="116">
        <v>412.26003166070399</v>
      </c>
      <c r="F23" s="117">
        <v>58.336013863258501</v>
      </c>
      <c r="G23" s="117">
        <v>42.566159643613901</v>
      </c>
      <c r="H23" s="116">
        <v>539.65196832336642</v>
      </c>
      <c r="I23" s="116">
        <v>370.52899487247851</v>
      </c>
      <c r="J23" s="117">
        <v>55.900964002711412</v>
      </c>
      <c r="K23" s="117">
        <v>38.286385669917728</v>
      </c>
      <c r="L23" s="116">
        <v>529.11505623054427</v>
      </c>
      <c r="M23" s="116">
        <v>326.68363853135287</v>
      </c>
      <c r="N23" s="117">
        <v>53.392893680439414</v>
      </c>
      <c r="O23" s="117">
        <v>32.941953919426957</v>
      </c>
      <c r="P23" s="116">
        <v>597.38443624579804</v>
      </c>
      <c r="Q23" s="116">
        <v>331.8469158210018</v>
      </c>
      <c r="R23" s="117">
        <v>59.764696850586574</v>
      </c>
      <c r="S23" s="117">
        <v>33.165187636417848</v>
      </c>
      <c r="T23" s="118">
        <v>583.45661515150618</v>
      </c>
      <c r="U23" s="118">
        <v>316.21465828900227</v>
      </c>
      <c r="V23" s="119">
        <v>60.269962104715248</v>
      </c>
      <c r="W23" s="119">
        <v>32.689464167782255</v>
      </c>
      <c r="X23" s="118">
        <v>638.13323623988197</v>
      </c>
      <c r="Y23" s="118">
        <v>319.33377202613474</v>
      </c>
      <c r="Z23" s="119">
        <v>66.123948948974757</v>
      </c>
      <c r="AA23" s="119">
        <v>33.143863523662304</v>
      </c>
      <c r="AB23" s="120">
        <f t="shared" si="2"/>
        <v>-4.7893203115198513E-2</v>
      </c>
      <c r="AC23" s="120">
        <f t="shared" si="2"/>
        <v>-0.10122503658703141</v>
      </c>
      <c r="AD23" s="14">
        <f t="shared" si="2"/>
        <v>-4.1741793778624081E-2</v>
      </c>
      <c r="AE23" s="14">
        <f t="shared" si="2"/>
        <v>-0.10054404742003209</v>
      </c>
      <c r="AF23" s="120">
        <f t="shared" si="2"/>
        <v>-1.952538434272566E-2</v>
      </c>
      <c r="AG23" s="120">
        <f t="shared" si="2"/>
        <v>-0.1183317822569202</v>
      </c>
      <c r="AH23" s="14">
        <f t="shared" si="2"/>
        <v>-4.4866316118454486E-2</v>
      </c>
      <c r="AI23" s="14">
        <f t="shared" si="2"/>
        <v>-0.13959091872936913</v>
      </c>
      <c r="AJ23" s="120">
        <f t="shared" si="2"/>
        <v>0.12902558566677347</v>
      </c>
      <c r="AK23" s="120">
        <f t="shared" si="2"/>
        <v>1.5805129736099044E-2</v>
      </c>
      <c r="AL23" s="14">
        <f t="shared" si="2"/>
        <v>0.11933803790974307</v>
      </c>
      <c r="AM23" s="14">
        <f t="shared" si="2"/>
        <v>6.776577902358083E-3</v>
      </c>
      <c r="AN23" s="120">
        <f t="shared" si="2"/>
        <v>-2.3314670167538742E-2</v>
      </c>
      <c r="AO23" s="120">
        <f t="shared" si="2"/>
        <v>-4.7106833864418274E-2</v>
      </c>
      <c r="AP23" s="14">
        <f t="shared" si="2"/>
        <v>8.4542427345000171E-3</v>
      </c>
      <c r="AQ23" s="14">
        <f t="shared" si="2"/>
        <v>-1.4344060822174098E-2</v>
      </c>
      <c r="AR23" s="120">
        <f t="shared" ref="AF23:AU25" si="3">X23/T23-1</f>
        <v>9.371154541486848E-2</v>
      </c>
      <c r="AS23" s="120">
        <f t="shared" si="3"/>
        <v>9.8639125523451998E-3</v>
      </c>
      <c r="AT23" s="14">
        <f t="shared" si="3"/>
        <v>9.7129426331620694E-2</v>
      </c>
      <c r="AU23" s="14">
        <f t="shared" si="3"/>
        <v>1.3900483456926516E-2</v>
      </c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14"/>
      <c r="DS23" s="114"/>
      <c r="DT23" s="114"/>
      <c r="DU23" s="114"/>
      <c r="DV23" s="114"/>
      <c r="DW23" s="114"/>
      <c r="DX23" s="114"/>
      <c r="DY23" s="114"/>
      <c r="DZ23" s="114"/>
      <c r="EA23" s="114"/>
      <c r="EB23" s="114"/>
      <c r="EC23" s="114"/>
      <c r="ED23" s="114"/>
      <c r="EE23" s="114"/>
      <c r="EF23" s="114"/>
      <c r="EG23" s="114"/>
      <c r="EH23" s="114"/>
      <c r="EI23" s="114"/>
      <c r="EJ23" s="114"/>
      <c r="EK23" s="114"/>
      <c r="EL23" s="114"/>
      <c r="EM23" s="114"/>
      <c r="EN23" s="114"/>
      <c r="EO23" s="114"/>
      <c r="EP23" s="114"/>
      <c r="EQ23" s="114"/>
      <c r="ER23" s="114"/>
      <c r="ES23" s="114"/>
      <c r="ET23" s="114"/>
      <c r="EU23" s="114"/>
      <c r="EV23" s="114"/>
      <c r="EW23" s="114"/>
      <c r="EX23" s="114"/>
      <c r="EY23" s="114"/>
      <c r="EZ23" s="114"/>
      <c r="FA23" s="114"/>
      <c r="FB23" s="114"/>
      <c r="FC23" s="114"/>
      <c r="FD23" s="114"/>
      <c r="FE23" s="114"/>
      <c r="FF23" s="114"/>
      <c r="FG23" s="114"/>
      <c r="FH23" s="114"/>
      <c r="FI23" s="114"/>
      <c r="FJ23" s="114"/>
      <c r="FK23" s="114"/>
      <c r="FL23" s="114"/>
      <c r="FM23" s="114"/>
      <c r="FN23" s="114"/>
      <c r="FO23" s="114"/>
      <c r="FP23" s="114"/>
      <c r="FQ23" s="114"/>
      <c r="FR23" s="114"/>
      <c r="FS23" s="114"/>
      <c r="FT23" s="114"/>
      <c r="FU23" s="114"/>
      <c r="FV23" s="114"/>
      <c r="FW23" s="114"/>
      <c r="FX23" s="114"/>
      <c r="FY23" s="114"/>
      <c r="FZ23" s="114"/>
      <c r="GA23" s="114"/>
      <c r="GB23" s="114"/>
      <c r="GC23" s="114"/>
      <c r="GD23" s="114"/>
      <c r="GE23" s="114"/>
      <c r="GF23" s="114"/>
      <c r="GG23" s="114"/>
      <c r="GH23" s="114"/>
      <c r="GI23" s="114"/>
      <c r="GJ23" s="114"/>
      <c r="GK23" s="114"/>
      <c r="GL23" s="114"/>
      <c r="GM23" s="114"/>
      <c r="GN23" s="114"/>
      <c r="GO23" s="114"/>
      <c r="GP23" s="114"/>
      <c r="GQ23" s="114"/>
      <c r="GR23" s="114"/>
      <c r="GS23" s="114"/>
      <c r="GT23" s="114"/>
      <c r="GU23" s="114"/>
      <c r="GV23" s="114"/>
      <c r="GW23" s="114"/>
      <c r="GX23" s="114"/>
      <c r="GY23" s="114"/>
      <c r="GZ23" s="114"/>
      <c r="HA23" s="114"/>
      <c r="HB23" s="114"/>
      <c r="HC23" s="114"/>
      <c r="HD23" s="114"/>
      <c r="HE23" s="114"/>
      <c r="HF23" s="114"/>
      <c r="HG23" s="114"/>
      <c r="HH23" s="114"/>
      <c r="HI23" s="114"/>
      <c r="HJ23" s="114"/>
      <c r="HK23" s="114"/>
      <c r="HL23" s="114"/>
      <c r="HM23" s="114"/>
      <c r="HN23" s="114"/>
      <c r="HO23" s="114"/>
      <c r="HP23" s="114"/>
      <c r="HQ23" s="114"/>
      <c r="HR23" s="114"/>
      <c r="HS23" s="114"/>
      <c r="HT23" s="114"/>
      <c r="HU23" s="114"/>
      <c r="HV23" s="114"/>
      <c r="HW23" s="114"/>
      <c r="HX23" s="114"/>
      <c r="HY23" s="114"/>
      <c r="HZ23" s="114"/>
      <c r="IA23" s="114"/>
      <c r="IB23" s="114"/>
      <c r="IC23" s="114"/>
      <c r="ID23" s="114"/>
      <c r="IE23" s="114"/>
      <c r="IF23" s="114"/>
      <c r="IG23" s="114"/>
      <c r="IH23" s="114"/>
      <c r="II23" s="114"/>
      <c r="IJ23" s="114"/>
      <c r="IK23" s="114"/>
      <c r="IL23" s="114"/>
      <c r="IM23" s="114"/>
      <c r="IN23" s="114"/>
      <c r="IO23" s="114"/>
      <c r="IP23" s="114"/>
      <c r="IQ23" s="114"/>
      <c r="IR23" s="114"/>
      <c r="IS23" s="114"/>
      <c r="IT23" s="114"/>
      <c r="IU23" s="114"/>
      <c r="IV23" s="114"/>
      <c r="IW23" s="114"/>
      <c r="IX23" s="114"/>
      <c r="IY23" s="114"/>
      <c r="IZ23" s="114"/>
      <c r="JA23" s="114"/>
      <c r="JB23" s="114"/>
      <c r="JC23" s="114"/>
      <c r="JD23" s="114"/>
      <c r="JE23" s="114"/>
      <c r="JF23" s="114"/>
      <c r="JG23" s="114"/>
      <c r="JH23" s="114"/>
      <c r="JI23" s="114"/>
      <c r="JJ23" s="114"/>
      <c r="JK23" s="114"/>
      <c r="JL23" s="114"/>
      <c r="JM23" s="114"/>
      <c r="JN23" s="114"/>
      <c r="JO23" s="114"/>
      <c r="JP23" s="114"/>
      <c r="JQ23" s="114"/>
      <c r="JR23" s="114"/>
      <c r="JS23" s="114"/>
      <c r="JT23" s="114"/>
      <c r="JU23" s="114"/>
      <c r="JV23" s="114"/>
      <c r="JW23" s="114"/>
      <c r="JX23" s="114"/>
    </row>
    <row r="24" spans="1:284" s="114" customFormat="1" ht="15" customHeight="1" x14ac:dyDescent="0.2">
      <c r="A24" s="125"/>
      <c r="B24" s="115"/>
      <c r="C24" s="12" t="s">
        <v>94</v>
      </c>
      <c r="D24" s="116">
        <v>470.44104692619999</v>
      </c>
      <c r="E24" s="116">
        <v>560.22699485199405</v>
      </c>
      <c r="F24" s="117">
        <v>52.867153481934601</v>
      </c>
      <c r="G24" s="117">
        <v>61.508601808675998</v>
      </c>
      <c r="H24" s="116">
        <v>421.18860218320384</v>
      </c>
      <c r="I24" s="116">
        <v>580.75566107693385</v>
      </c>
      <c r="J24" s="117">
        <v>47.841696006431469</v>
      </c>
      <c r="K24" s="117">
        <v>65.343747666297631</v>
      </c>
      <c r="L24" s="116">
        <v>458.02353040831582</v>
      </c>
      <c r="M24" s="116">
        <v>450.80732602426878</v>
      </c>
      <c r="N24" s="117">
        <v>58.978372408742025</v>
      </c>
      <c r="O24" s="117">
        <v>57.470470370643547</v>
      </c>
      <c r="P24" s="116">
        <v>506.82196083516783</v>
      </c>
      <c r="Q24" s="116">
        <v>538.27713178294607</v>
      </c>
      <c r="R24" s="117">
        <v>49.295753029560387</v>
      </c>
      <c r="S24" s="117">
        <v>52.218650122203435</v>
      </c>
      <c r="T24" s="118">
        <v>474.59226555780566</v>
      </c>
      <c r="U24" s="118">
        <v>471.87962962962985</v>
      </c>
      <c r="V24" s="119">
        <v>53.660736864017309</v>
      </c>
      <c r="W24" s="119">
        <v>54.0664120517717</v>
      </c>
      <c r="X24" s="118">
        <v>575.83840804183808</v>
      </c>
      <c r="Y24" s="118">
        <v>450.04650775363092</v>
      </c>
      <c r="Z24" s="119">
        <v>64.530071422247303</v>
      </c>
      <c r="AA24" s="119">
        <v>50.441454224735814</v>
      </c>
      <c r="AB24" s="120">
        <f t="shared" si="2"/>
        <v>-0.10469419083391029</v>
      </c>
      <c r="AC24" s="120">
        <f t="shared" si="2"/>
        <v>3.6643479185367145E-2</v>
      </c>
      <c r="AD24" s="14">
        <f t="shared" si="2"/>
        <v>-9.5058219414449807E-2</v>
      </c>
      <c r="AE24" s="14">
        <f t="shared" si="2"/>
        <v>6.2351374358190492E-2</v>
      </c>
      <c r="AF24" s="120">
        <f t="shared" si="3"/>
        <v>8.7454712768058052E-2</v>
      </c>
      <c r="AG24" s="120">
        <f t="shared" si="3"/>
        <v>-0.22375732818805971</v>
      </c>
      <c r="AH24" s="14">
        <f t="shared" si="3"/>
        <v>0.23278180608006505</v>
      </c>
      <c r="AI24" s="14">
        <f t="shared" si="3"/>
        <v>-0.12049013986559098</v>
      </c>
      <c r="AJ24" s="120">
        <f t="shared" si="3"/>
        <v>0.10654131761167274</v>
      </c>
      <c r="AK24" s="120">
        <f t="shared" si="3"/>
        <v>0.19402924644123565</v>
      </c>
      <c r="AL24" s="14">
        <f t="shared" si="3"/>
        <v>-0.16417237342660951</v>
      </c>
      <c r="AM24" s="14">
        <f t="shared" si="3"/>
        <v>-9.1382934828436513E-2</v>
      </c>
      <c r="AN24" s="120">
        <f t="shared" si="3"/>
        <v>-6.3591749702898381E-2</v>
      </c>
      <c r="AO24" s="120">
        <f t="shared" si="3"/>
        <v>-0.12335189112230438</v>
      </c>
      <c r="AP24" s="14">
        <f t="shared" si="3"/>
        <v>8.8546853759175592E-2</v>
      </c>
      <c r="AQ24" s="14">
        <f t="shared" si="3"/>
        <v>3.5385095655366072E-2</v>
      </c>
      <c r="AR24" s="120">
        <f t="shared" si="3"/>
        <v>0.2133328961124854</v>
      </c>
      <c r="AS24" s="120">
        <f t="shared" si="3"/>
        <v>-4.626841360610412E-2</v>
      </c>
      <c r="AT24" s="14">
        <f t="shared" si="3"/>
        <v>0.20255656544139855</v>
      </c>
      <c r="AU24" s="14">
        <f t="shared" si="3"/>
        <v>-6.7046391455841015E-2</v>
      </c>
    </row>
    <row r="25" spans="1:284" s="114" customFormat="1" ht="15" customHeight="1" x14ac:dyDescent="0.2">
      <c r="A25" s="125"/>
      <c r="B25" s="115"/>
      <c r="C25" s="123" t="s">
        <v>101</v>
      </c>
      <c r="D25" s="118" t="s">
        <v>98</v>
      </c>
      <c r="E25" s="118" t="s">
        <v>98</v>
      </c>
      <c r="F25" s="119" t="s">
        <v>98</v>
      </c>
      <c r="G25" s="119" t="s">
        <v>98</v>
      </c>
      <c r="H25" s="118">
        <v>129.27767390450717</v>
      </c>
      <c r="I25" s="118">
        <v>248.28796844181457</v>
      </c>
      <c r="J25" s="119">
        <v>38.57478979408684</v>
      </c>
      <c r="K25" s="119">
        <v>72.097365406643803</v>
      </c>
      <c r="L25" s="118">
        <v>141.36846441075389</v>
      </c>
      <c r="M25" s="118">
        <v>209.05707070707081</v>
      </c>
      <c r="N25" s="119">
        <v>46.324129580924982</v>
      </c>
      <c r="O25" s="119">
        <v>65.578738910012689</v>
      </c>
      <c r="P25" s="118">
        <v>147.27367743600163</v>
      </c>
      <c r="Q25" s="118">
        <v>217.09523809523807</v>
      </c>
      <c r="R25" s="119">
        <v>46.586571433837229</v>
      </c>
      <c r="S25" s="119">
        <v>70.201992753623173</v>
      </c>
      <c r="T25" s="118">
        <v>121.77432436994656</v>
      </c>
      <c r="U25" s="118">
        <v>189.48872180451136</v>
      </c>
      <c r="V25" s="119">
        <v>39.80172469679183</v>
      </c>
      <c r="W25" s="119">
        <v>61.860579283259696</v>
      </c>
      <c r="X25" s="118">
        <v>133.62946656825608</v>
      </c>
      <c r="Y25" s="118">
        <v>166.27135854341739</v>
      </c>
      <c r="Z25" s="119">
        <v>45.07982004712251</v>
      </c>
      <c r="AA25" s="119">
        <v>58.582654823587504</v>
      </c>
      <c r="AB25" s="120" t="s">
        <v>98</v>
      </c>
      <c r="AC25" s="120" t="s">
        <v>98</v>
      </c>
      <c r="AD25" s="14" t="s">
        <v>98</v>
      </c>
      <c r="AE25" s="14" t="s">
        <v>98</v>
      </c>
      <c r="AF25" s="120">
        <f t="shared" si="3"/>
        <v>9.3525743007858875E-2</v>
      </c>
      <c r="AG25" s="120">
        <f t="shared" si="3"/>
        <v>-0.15800563346240992</v>
      </c>
      <c r="AH25" s="14">
        <f t="shared" si="3"/>
        <v>0.20089130305581193</v>
      </c>
      <c r="AI25" s="14">
        <f t="shared" si="3"/>
        <v>-9.0414212223494328E-2</v>
      </c>
      <c r="AJ25" s="120">
        <f t="shared" si="3"/>
        <v>4.1771784463116246E-2</v>
      </c>
      <c r="AK25" s="120">
        <f t="shared" si="3"/>
        <v>3.8449631772705217E-2</v>
      </c>
      <c r="AL25" s="14">
        <f t="shared" si="3"/>
        <v>5.6653380276423526E-3</v>
      </c>
      <c r="AM25" s="14">
        <f t="shared" si="3"/>
        <v>7.0499279499023793E-2</v>
      </c>
      <c r="AN25" s="120">
        <f t="shared" si="3"/>
        <v>-0.1731426383179433</v>
      </c>
      <c r="AO25" s="120">
        <f t="shared" si="3"/>
        <v>-0.12716315904919084</v>
      </c>
      <c r="AP25" s="14">
        <f t="shared" si="3"/>
        <v>-0.14563953792309692</v>
      </c>
      <c r="AQ25" s="14">
        <f t="shared" si="3"/>
        <v>-0.11882018078372814</v>
      </c>
      <c r="AR25" s="120">
        <f t="shared" si="3"/>
        <v>9.7353381015639728E-2</v>
      </c>
      <c r="AS25" s="120">
        <f t="shared" si="3"/>
        <v>-0.1225263595637448</v>
      </c>
      <c r="AT25" s="14">
        <f t="shared" si="3"/>
        <v>0.13260971454224735</v>
      </c>
      <c r="AU25" s="14">
        <f t="shared" si="3"/>
        <v>-5.2988906629253707E-2</v>
      </c>
    </row>
    <row r="26" spans="1:284" ht="15" customHeight="1" x14ac:dyDescent="0.2">
      <c r="C26" s="297" t="s">
        <v>172</v>
      </c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</row>
    <row r="27" spans="1:284" ht="12.75" customHeight="1" x14ac:dyDescent="0.2"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</row>
    <row r="28" spans="1:284" x14ac:dyDescent="0.2"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</row>
    <row r="30" spans="1:284" ht="34.5" hidden="1" customHeight="1" x14ac:dyDescent="0.2">
      <c r="C30" s="303" t="s">
        <v>160</v>
      </c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AB30" s="108"/>
      <c r="AC30" s="108"/>
      <c r="AD30" s="108"/>
      <c r="AE30" s="108"/>
      <c r="AF30" s="108"/>
      <c r="AG30" s="108"/>
      <c r="AH30" s="108"/>
      <c r="AI30" s="108"/>
      <c r="AJ30" s="108"/>
    </row>
    <row r="31" spans="1:284" ht="12.75" hidden="1" customHeight="1" x14ac:dyDescent="0.2">
      <c r="C31" s="131"/>
      <c r="D31" s="301" t="s">
        <v>156</v>
      </c>
      <c r="E31" s="301"/>
      <c r="F31" s="301"/>
      <c r="G31" s="301"/>
      <c r="H31" s="301" t="s">
        <v>173</v>
      </c>
      <c r="I31" s="301"/>
      <c r="J31" s="301"/>
      <c r="K31" s="301"/>
      <c r="L31" s="301" t="e">
        <f>#REF!</f>
        <v>#REF!</v>
      </c>
      <c r="M31" s="301"/>
      <c r="N31" s="301"/>
      <c r="O31" s="301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</row>
    <row r="32" spans="1:284" ht="12.75" hidden="1" customHeight="1" x14ac:dyDescent="0.2">
      <c r="C32" s="112"/>
      <c r="D32" s="300" t="s">
        <v>174</v>
      </c>
      <c r="E32" s="300"/>
      <c r="F32" s="301" t="s">
        <v>175</v>
      </c>
      <c r="G32" s="301"/>
      <c r="H32" s="300" t="s">
        <v>174</v>
      </c>
      <c r="I32" s="300"/>
      <c r="J32" s="301" t="s">
        <v>175</v>
      </c>
      <c r="K32" s="301"/>
      <c r="L32" s="300" t="s">
        <v>174</v>
      </c>
      <c r="M32" s="300"/>
      <c r="N32" s="301" t="s">
        <v>175</v>
      </c>
      <c r="O32" s="301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</row>
    <row r="33" spans="3:37" hidden="1" x14ac:dyDescent="0.2">
      <c r="C33" s="112"/>
      <c r="D33" s="113" t="s">
        <v>168</v>
      </c>
      <c r="E33" s="113" t="s">
        <v>169</v>
      </c>
      <c r="F33" s="112" t="s">
        <v>168</v>
      </c>
      <c r="G33" s="112" t="s">
        <v>169</v>
      </c>
      <c r="H33" s="113" t="s">
        <v>168</v>
      </c>
      <c r="I33" s="113" t="s">
        <v>169</v>
      </c>
      <c r="J33" s="112" t="s">
        <v>168</v>
      </c>
      <c r="K33" s="112" t="s">
        <v>169</v>
      </c>
      <c r="L33" s="113" t="s">
        <v>168</v>
      </c>
      <c r="M33" s="113" t="s">
        <v>169</v>
      </c>
      <c r="N33" s="112" t="s">
        <v>168</v>
      </c>
      <c r="O33" s="112" t="s">
        <v>169</v>
      </c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</row>
    <row r="34" spans="3:37" hidden="1" x14ac:dyDescent="0.2">
      <c r="C34" s="132" t="s">
        <v>93</v>
      </c>
      <c r="D34" s="133">
        <v>979.1951271853593</v>
      </c>
      <c r="E34" s="133">
        <v>407.57417169968261</v>
      </c>
      <c r="F34" s="134">
        <v>86.161061915896028</v>
      </c>
      <c r="G34" s="134">
        <v>36.024027508913363</v>
      </c>
      <c r="H34" s="133">
        <v>918.17061630618616</v>
      </c>
      <c r="I34" s="133">
        <v>504.88012400565719</v>
      </c>
      <c r="J34" s="134">
        <v>73.199043934288696</v>
      </c>
      <c r="K34" s="134">
        <v>40.563018509856221</v>
      </c>
      <c r="L34" s="14">
        <f>H34/D34-1</f>
        <v>-6.2321093298926655E-2</v>
      </c>
      <c r="M34" s="14">
        <f>I34/E34-1</f>
        <v>0.23874415765892443</v>
      </c>
      <c r="N34" s="120">
        <f>J34/F34-1</f>
        <v>-0.15043939447101851</v>
      </c>
      <c r="O34" s="120">
        <f>K34/G34-1</f>
        <v>0.12599898775393115</v>
      </c>
      <c r="AB34" s="135"/>
      <c r="AC34" s="135"/>
      <c r="AD34" s="108"/>
      <c r="AE34" s="108"/>
      <c r="AF34" s="108"/>
      <c r="AG34" s="108"/>
      <c r="AH34" s="108"/>
      <c r="AI34" s="108"/>
      <c r="AJ34" s="108"/>
      <c r="AK34" s="108"/>
    </row>
    <row r="35" spans="3:37" hidden="1" x14ac:dyDescent="0.2">
      <c r="C35" s="132" t="s">
        <v>94</v>
      </c>
      <c r="D35" s="133">
        <v>443.90253052752922</v>
      </c>
      <c r="E35" s="133">
        <v>521.53346994535536</v>
      </c>
      <c r="F35" s="134">
        <v>59.023051150474764</v>
      </c>
      <c r="G35" s="134">
        <v>64.991913517194448</v>
      </c>
      <c r="H35" s="133">
        <v>523.42648033125727</v>
      </c>
      <c r="I35" s="133">
        <v>446.86011904761904</v>
      </c>
      <c r="J35" s="134">
        <v>65.274361076603824</v>
      </c>
      <c r="K35" s="134">
        <v>55.058672533920067</v>
      </c>
      <c r="L35" s="14">
        <f t="shared" ref="L35:O38" si="4">H35/D35-1</f>
        <v>0.179147322519704</v>
      </c>
      <c r="M35" s="14">
        <f t="shared" si="4"/>
        <v>-0.14318036176194093</v>
      </c>
      <c r="N35" s="120">
        <f t="shared" si="4"/>
        <v>0.10591302557693649</v>
      </c>
      <c r="O35" s="120">
        <f t="shared" si="4"/>
        <v>-0.15283810624603955</v>
      </c>
      <c r="AB35" s="135"/>
      <c r="AC35" s="135"/>
      <c r="AD35" s="108"/>
      <c r="AE35" s="108"/>
      <c r="AF35" s="108"/>
      <c r="AG35" s="108"/>
      <c r="AH35" s="108"/>
      <c r="AI35" s="108"/>
      <c r="AJ35" s="108"/>
      <c r="AK35" s="108"/>
    </row>
    <row r="36" spans="3:37" hidden="1" x14ac:dyDescent="0.2">
      <c r="C36" s="132" t="s">
        <v>95</v>
      </c>
      <c r="D36" s="133">
        <v>822.0057542493746</v>
      </c>
      <c r="E36" s="133">
        <v>509.72625448028691</v>
      </c>
      <c r="F36" s="134">
        <v>56.360650204198826</v>
      </c>
      <c r="G36" s="134">
        <v>35.075502528055246</v>
      </c>
      <c r="H36" s="133">
        <v>716.97558310059105</v>
      </c>
      <c r="I36" s="133">
        <v>374.83939393939403</v>
      </c>
      <c r="J36" s="134">
        <v>67.805046387796679</v>
      </c>
      <c r="K36" s="134">
        <v>34.678160919540225</v>
      </c>
      <c r="L36" s="14">
        <f t="shared" si="4"/>
        <v>-0.12777303638791826</v>
      </c>
      <c r="M36" s="14">
        <f t="shared" si="4"/>
        <v>-0.26462607989149489</v>
      </c>
      <c r="N36" s="120">
        <f t="shared" si="4"/>
        <v>0.20305649672482406</v>
      </c>
      <c r="O36" s="120">
        <f t="shared" si="4"/>
        <v>-1.1328180065195204E-2</v>
      </c>
      <c r="AB36" s="135"/>
      <c r="AC36" s="135"/>
      <c r="AD36" s="108"/>
      <c r="AE36" s="108"/>
      <c r="AF36" s="108"/>
      <c r="AG36" s="108"/>
      <c r="AH36" s="108"/>
      <c r="AI36" s="108"/>
      <c r="AJ36" s="108"/>
      <c r="AK36" s="108"/>
    </row>
    <row r="37" spans="3:37" hidden="1" x14ac:dyDescent="0.2">
      <c r="C37" s="132" t="s">
        <v>92</v>
      </c>
      <c r="D37" s="133">
        <v>804.26668709605076</v>
      </c>
      <c r="E37" s="133">
        <v>343.30374753451662</v>
      </c>
      <c r="F37" s="134">
        <v>70.499226596970431</v>
      </c>
      <c r="G37" s="134">
        <v>30.423876944590091</v>
      </c>
      <c r="H37" s="133">
        <v>744.49480972031517</v>
      </c>
      <c r="I37" s="133">
        <v>323.8104166666667</v>
      </c>
      <c r="J37" s="134">
        <v>74.142683660333617</v>
      </c>
      <c r="K37" s="134">
        <v>32.93685102776012</v>
      </c>
      <c r="L37" s="14">
        <f t="shared" si="4"/>
        <v>-7.4318479597299647E-2</v>
      </c>
      <c r="M37" s="14">
        <f t="shared" si="4"/>
        <v>-5.6781584843870747E-2</v>
      </c>
      <c r="N37" s="120">
        <f t="shared" si="4"/>
        <v>5.1680808985211657E-2</v>
      </c>
      <c r="O37" s="120">
        <f t="shared" si="4"/>
        <v>8.2598745970042575E-2</v>
      </c>
      <c r="AB37" s="135"/>
      <c r="AC37" s="135"/>
      <c r="AD37" s="108"/>
      <c r="AE37" s="108"/>
      <c r="AF37" s="108"/>
      <c r="AG37" s="108"/>
      <c r="AH37" s="108"/>
      <c r="AI37" s="108"/>
      <c r="AJ37" s="108"/>
      <c r="AK37" s="108"/>
    </row>
    <row r="38" spans="3:37" hidden="1" x14ac:dyDescent="0.2">
      <c r="C38" s="132" t="s">
        <v>99</v>
      </c>
      <c r="D38" s="133">
        <v>415.66037140377477</v>
      </c>
      <c r="E38" s="133">
        <v>331.60373341255723</v>
      </c>
      <c r="F38" s="134">
        <v>67.291315670791946</v>
      </c>
      <c r="G38" s="134">
        <v>55.079110124187899</v>
      </c>
      <c r="H38" s="133">
        <v>401.53551254392352</v>
      </c>
      <c r="I38" s="133">
        <v>324.68148977459271</v>
      </c>
      <c r="J38" s="134">
        <v>62.380421283826969</v>
      </c>
      <c r="K38" s="134">
        <v>50.197324821875014</v>
      </c>
      <c r="L38" s="14">
        <f t="shared" si="4"/>
        <v>-3.3981730835077162E-2</v>
      </c>
      <c r="M38" s="14">
        <f t="shared" si="4"/>
        <v>-2.0875047354645959E-2</v>
      </c>
      <c r="N38" s="120">
        <f t="shared" si="4"/>
        <v>-7.2979616136359282E-2</v>
      </c>
      <c r="O38" s="120">
        <f t="shared" si="4"/>
        <v>-8.8632247167861555E-2</v>
      </c>
      <c r="AB38" s="135"/>
      <c r="AC38" s="135"/>
      <c r="AD38" s="108"/>
      <c r="AE38" s="108"/>
      <c r="AF38" s="108"/>
      <c r="AG38" s="108"/>
      <c r="AH38" s="108"/>
      <c r="AI38" s="108"/>
      <c r="AJ38" s="108"/>
      <c r="AK38" s="108"/>
    </row>
    <row r="39" spans="3:37" hidden="1" x14ac:dyDescent="0.2">
      <c r="C39" s="136" t="s">
        <v>96</v>
      </c>
      <c r="D39" s="133">
        <v>443.3665272776347</v>
      </c>
      <c r="E39" s="133">
        <v>343.60704404603774</v>
      </c>
      <c r="F39" s="134">
        <v>68.759923463902425</v>
      </c>
      <c r="G39" s="134">
        <v>54.15721698935986</v>
      </c>
      <c r="H39" s="133">
        <v>413.71462626592819</v>
      </c>
      <c r="I39" s="133">
        <v>329.51171354450042</v>
      </c>
      <c r="J39" s="134">
        <v>62.780335197588769</v>
      </c>
      <c r="K39" s="134">
        <v>49.521470226096575</v>
      </c>
      <c r="L39" s="14">
        <f>H39/D39-1</f>
        <v>-6.6878979777240999E-2</v>
      </c>
      <c r="M39" s="14">
        <f>I39/E39-1</f>
        <v>-4.1021657575939452E-2</v>
      </c>
      <c r="N39" s="120">
        <f>J39/F39-1</f>
        <v>-8.6963276936351086E-2</v>
      </c>
      <c r="O39" s="120">
        <f>K39/G39-1</f>
        <v>-8.55979502080777E-2</v>
      </c>
      <c r="AB39" s="135"/>
      <c r="AC39" s="135"/>
      <c r="AD39" s="108"/>
      <c r="AE39" s="108"/>
      <c r="AF39" s="108"/>
      <c r="AG39" s="108"/>
      <c r="AH39" s="108"/>
      <c r="AI39" s="108"/>
      <c r="AJ39" s="108"/>
      <c r="AK39" s="108"/>
    </row>
    <row r="40" spans="3:37" hidden="1" x14ac:dyDescent="0.2">
      <c r="C40" s="136" t="s">
        <v>101</v>
      </c>
      <c r="D40" s="133">
        <v>126.58168481627142</v>
      </c>
      <c r="E40" s="133">
        <v>229.47387005649722</v>
      </c>
      <c r="F40" s="134">
        <v>37.792373524282461</v>
      </c>
      <c r="G40" s="134">
        <v>70.332251082251091</v>
      </c>
      <c r="H40" s="133">
        <v>145.24459769825907</v>
      </c>
      <c r="I40" s="133">
        <v>239.13978494623646</v>
      </c>
      <c r="J40" s="134">
        <v>45.143591176485913</v>
      </c>
      <c r="K40" s="134">
        <v>75.26226734348559</v>
      </c>
      <c r="L40" s="14">
        <f t="shared" ref="L40:O51" si="5">H40/D40-1</f>
        <v>0.14743770324337335</v>
      </c>
      <c r="M40" s="14">
        <f>I40/E40-1</f>
        <v>4.2122072057090731E-2</v>
      </c>
      <c r="N40" s="120">
        <f>J40/F40-1</f>
        <v>0.19451590272519215</v>
      </c>
      <c r="O40" s="120">
        <f>K40/G40-1</f>
        <v>7.0096096532855423E-2</v>
      </c>
      <c r="AB40" s="135"/>
      <c r="AC40" s="135"/>
      <c r="AD40" s="108"/>
      <c r="AE40" s="108"/>
      <c r="AF40" s="108"/>
      <c r="AG40" s="108"/>
      <c r="AH40" s="108"/>
      <c r="AI40" s="108"/>
      <c r="AJ40" s="108"/>
      <c r="AK40" s="108"/>
    </row>
    <row r="41" spans="3:37" hidden="1" x14ac:dyDescent="0.2">
      <c r="C41" s="132" t="s">
        <v>84</v>
      </c>
      <c r="D41" s="133">
        <v>739.04762211428942</v>
      </c>
      <c r="E41" s="133">
        <v>398.33291121122249</v>
      </c>
      <c r="F41" s="134">
        <v>69.782555577811792</v>
      </c>
      <c r="G41" s="134">
        <v>37.717435010762379</v>
      </c>
      <c r="H41" s="133">
        <v>799.19243972244249</v>
      </c>
      <c r="I41" s="133">
        <v>406.72480886035595</v>
      </c>
      <c r="J41" s="134">
        <v>73.725095564656414</v>
      </c>
      <c r="K41" s="134">
        <v>37.943171854450057</v>
      </c>
      <c r="L41" s="14">
        <f t="shared" si="5"/>
        <v>8.1381518333133895E-2</v>
      </c>
      <c r="M41" s="14">
        <f t="shared" si="5"/>
        <v>2.1067547804714426E-2</v>
      </c>
      <c r="N41" s="120">
        <f t="shared" si="5"/>
        <v>5.6497500760751773E-2</v>
      </c>
      <c r="O41" s="120">
        <f t="shared" si="5"/>
        <v>5.9849468454911126E-3</v>
      </c>
      <c r="AB41" s="135"/>
      <c r="AC41" s="135"/>
      <c r="AD41" s="108"/>
      <c r="AE41" s="108"/>
      <c r="AF41" s="108"/>
      <c r="AG41" s="108"/>
      <c r="AH41" s="108"/>
      <c r="AI41" s="108"/>
      <c r="AJ41" s="108"/>
      <c r="AK41" s="108"/>
    </row>
    <row r="42" spans="3:37" hidden="1" x14ac:dyDescent="0.2">
      <c r="C42" s="136" t="s">
        <v>83</v>
      </c>
      <c r="D42" s="133">
        <v>810.17096095108479</v>
      </c>
      <c r="E42" s="133">
        <v>509.22545051180634</v>
      </c>
      <c r="F42" s="134">
        <v>69.736234613511186</v>
      </c>
      <c r="G42" s="134">
        <v>42.621574622515958</v>
      </c>
      <c r="H42" s="133">
        <v>882.43771498505021</v>
      </c>
      <c r="I42" s="133">
        <v>480.48613451832819</v>
      </c>
      <c r="J42" s="134">
        <v>83.99623463351476</v>
      </c>
      <c r="K42" s="134">
        <v>45.238352180042313</v>
      </c>
      <c r="L42" s="14">
        <f t="shared" si="5"/>
        <v>8.9199388174971306E-2</v>
      </c>
      <c r="M42" s="14">
        <f t="shared" si="5"/>
        <v>-5.6437312715994836E-2</v>
      </c>
      <c r="N42" s="120">
        <f t="shared" si="5"/>
        <v>0.20448480046326933</v>
      </c>
      <c r="O42" s="120">
        <f t="shared" si="5"/>
        <v>6.1395609634374626E-2</v>
      </c>
      <c r="AB42" s="135"/>
      <c r="AC42" s="135"/>
      <c r="AD42" s="108"/>
      <c r="AE42" s="108"/>
      <c r="AF42" s="108"/>
      <c r="AG42" s="108"/>
      <c r="AH42" s="108"/>
      <c r="AI42" s="108"/>
      <c r="AJ42" s="108"/>
      <c r="AK42" s="108"/>
    </row>
    <row r="43" spans="3:37" hidden="1" x14ac:dyDescent="0.2">
      <c r="C43" s="136" t="s">
        <v>86</v>
      </c>
      <c r="D43" s="133">
        <v>757.02323696408735</v>
      </c>
      <c r="E43" s="133">
        <v>418.70950900348299</v>
      </c>
      <c r="F43" s="134">
        <v>67.98779070975128</v>
      </c>
      <c r="G43" s="134">
        <v>38.917293146857183</v>
      </c>
      <c r="H43" s="133">
        <v>774.83331041516021</v>
      </c>
      <c r="I43" s="133">
        <v>440.09954692400197</v>
      </c>
      <c r="J43" s="134">
        <v>61.340970407866806</v>
      </c>
      <c r="K43" s="134">
        <v>35.916588334575287</v>
      </c>
      <c r="L43" s="14">
        <f t="shared" si="5"/>
        <v>2.352645543946208E-2</v>
      </c>
      <c r="M43" s="14">
        <f t="shared" si="5"/>
        <v>5.1085627291882263E-2</v>
      </c>
      <c r="N43" s="120">
        <f t="shared" si="5"/>
        <v>-9.7764910912616854E-2</v>
      </c>
      <c r="O43" s="120">
        <f t="shared" si="5"/>
        <v>-7.7104664010380186E-2</v>
      </c>
      <c r="AB43" s="135"/>
      <c r="AC43" s="135"/>
      <c r="AD43" s="108"/>
      <c r="AE43" s="108"/>
      <c r="AF43" s="108"/>
      <c r="AG43" s="108"/>
      <c r="AH43" s="108"/>
      <c r="AI43" s="108"/>
      <c r="AJ43" s="108"/>
      <c r="AK43" s="108"/>
    </row>
    <row r="44" spans="3:37" hidden="1" x14ac:dyDescent="0.2">
      <c r="C44" s="136" t="s">
        <v>82</v>
      </c>
      <c r="D44" s="133">
        <v>653.95989790625913</v>
      </c>
      <c r="E44" s="133">
        <v>365.03725513871467</v>
      </c>
      <c r="F44" s="134">
        <v>62.14098577389796</v>
      </c>
      <c r="G44" s="134">
        <v>33.993300719366566</v>
      </c>
      <c r="H44" s="133">
        <v>819.17170478960895</v>
      </c>
      <c r="I44" s="133">
        <v>357.87200378457271</v>
      </c>
      <c r="J44" s="134">
        <v>75.311754166668351</v>
      </c>
      <c r="K44" s="134">
        <v>33.224460017361956</v>
      </c>
      <c r="L44" s="14">
        <f t="shared" si="5"/>
        <v>0.25263293271085541</v>
      </c>
      <c r="M44" s="14">
        <f t="shared" si="5"/>
        <v>-1.9628822136028679E-2</v>
      </c>
      <c r="N44" s="120">
        <f t="shared" si="5"/>
        <v>0.21194978207607895</v>
      </c>
      <c r="O44" s="120">
        <f t="shared" si="5"/>
        <v>-2.261741830697217E-2</v>
      </c>
      <c r="AB44" s="135"/>
      <c r="AC44" s="135"/>
      <c r="AD44" s="108"/>
      <c r="AE44" s="108"/>
      <c r="AF44" s="108"/>
      <c r="AG44" s="108"/>
      <c r="AH44" s="108"/>
      <c r="AI44" s="108"/>
      <c r="AJ44" s="108"/>
      <c r="AK44" s="108"/>
    </row>
    <row r="45" spans="3:37" ht="12.75" hidden="1" customHeight="1" x14ac:dyDescent="0.2">
      <c r="C45" s="136" t="s">
        <v>85</v>
      </c>
      <c r="D45" s="133">
        <v>777.34590543770071</v>
      </c>
      <c r="E45" s="133">
        <v>322.33624943536842</v>
      </c>
      <c r="F45" s="134">
        <v>86.093148666756136</v>
      </c>
      <c r="G45" s="134">
        <v>36.242235882000593</v>
      </c>
      <c r="H45" s="133">
        <v>730.99340685851075</v>
      </c>
      <c r="I45" s="133">
        <v>369.78181810812629</v>
      </c>
      <c r="J45" s="134">
        <v>83.267595085744915</v>
      </c>
      <c r="K45" s="134">
        <v>42.276603268477729</v>
      </c>
      <c r="L45" s="14">
        <f t="shared" si="5"/>
        <v>-5.9629179564649859E-2</v>
      </c>
      <c r="M45" s="14">
        <f t="shared" si="5"/>
        <v>0.14719278007319248</v>
      </c>
      <c r="N45" s="120">
        <f t="shared" si="5"/>
        <v>-3.2819726363455426E-2</v>
      </c>
      <c r="O45" s="120">
        <f t="shared" si="5"/>
        <v>0.16650096881782206</v>
      </c>
      <c r="AB45" s="135"/>
      <c r="AC45" s="135"/>
      <c r="AD45" s="108"/>
      <c r="AE45" s="108"/>
      <c r="AF45" s="108"/>
      <c r="AG45" s="108"/>
      <c r="AH45" s="108"/>
      <c r="AI45" s="108"/>
      <c r="AJ45" s="108"/>
      <c r="AK45" s="108"/>
    </row>
    <row r="46" spans="3:37" hidden="1" x14ac:dyDescent="0.2">
      <c r="C46" s="132" t="s">
        <v>88</v>
      </c>
      <c r="D46" s="133">
        <v>971.26677824266881</v>
      </c>
      <c r="E46" s="133">
        <v>320.91464646464635</v>
      </c>
      <c r="F46" s="134">
        <v>88.354352796604076</v>
      </c>
      <c r="G46" s="134">
        <v>28.808986216902422</v>
      </c>
      <c r="H46" s="133">
        <v>855.07126659640039</v>
      </c>
      <c r="I46" s="133">
        <v>366.51603498542278</v>
      </c>
      <c r="J46" s="134">
        <v>77.695571866568741</v>
      </c>
      <c r="K46" s="134">
        <v>33.506130063965877</v>
      </c>
      <c r="L46" s="14">
        <f t="shared" si="5"/>
        <v>-0.11963295177922495</v>
      </c>
      <c r="M46" s="14">
        <f t="shared" si="5"/>
        <v>0.14209818412198927</v>
      </c>
      <c r="N46" s="120">
        <f t="shared" si="5"/>
        <v>-0.12063673823260701</v>
      </c>
      <c r="O46" s="120">
        <f t="shared" si="5"/>
        <v>0.16304439912250746</v>
      </c>
      <c r="AB46" s="135"/>
      <c r="AC46" s="135"/>
      <c r="AD46" s="108"/>
      <c r="AE46" s="108"/>
      <c r="AF46" s="108"/>
      <c r="AG46" s="108"/>
      <c r="AH46" s="108"/>
      <c r="AI46" s="108"/>
      <c r="AJ46" s="108"/>
      <c r="AK46" s="108"/>
    </row>
    <row r="47" spans="3:37" hidden="1" x14ac:dyDescent="0.2">
      <c r="C47" s="137" t="s">
        <v>90</v>
      </c>
      <c r="D47" s="138">
        <v>647.18687516245416</v>
      </c>
      <c r="E47" s="138">
        <v>368.6297500970349</v>
      </c>
      <c r="F47" s="138">
        <v>65.09941098375333</v>
      </c>
      <c r="G47" s="138">
        <v>37.182187930313901</v>
      </c>
      <c r="H47" s="138">
        <v>646.39274393605513</v>
      </c>
      <c r="I47" s="138">
        <v>359.32228728728228</v>
      </c>
      <c r="J47" s="138">
        <v>64.301445686213071</v>
      </c>
      <c r="K47" s="138">
        <v>35.856282569163113</v>
      </c>
      <c r="L47" s="139">
        <f t="shared" si="5"/>
        <v>-1.2270508826367488E-3</v>
      </c>
      <c r="M47" s="139">
        <f t="shared" si="5"/>
        <v>-2.5248810784540887E-2</v>
      </c>
      <c r="N47" s="139">
        <f t="shared" si="5"/>
        <v>-1.2257642357768828E-2</v>
      </c>
      <c r="O47" s="139">
        <f t="shared" si="5"/>
        <v>-3.565969177595929E-2</v>
      </c>
      <c r="AB47" s="135"/>
      <c r="AC47" s="135"/>
      <c r="AD47" s="108"/>
      <c r="AE47" s="108"/>
      <c r="AF47" s="108"/>
      <c r="AG47" s="108"/>
      <c r="AH47" s="108"/>
      <c r="AI47" s="108"/>
      <c r="AJ47" s="108"/>
      <c r="AK47" s="108"/>
    </row>
    <row r="48" spans="3:37" hidden="1" x14ac:dyDescent="0.2">
      <c r="C48" s="132" t="s">
        <v>170</v>
      </c>
      <c r="D48" s="133">
        <v>897.78555186410449</v>
      </c>
      <c r="E48" s="133">
        <v>608.58259163432115</v>
      </c>
      <c r="F48" s="134">
        <v>97.851286306714428</v>
      </c>
      <c r="G48" s="134">
        <v>57.286682071330702</v>
      </c>
      <c r="H48" s="133">
        <v>743.25480694971668</v>
      </c>
      <c r="I48" s="133">
        <v>411.65723111880658</v>
      </c>
      <c r="J48" s="134">
        <v>70.888464246649278</v>
      </c>
      <c r="K48" s="134">
        <v>42.960654569939763</v>
      </c>
      <c r="L48" s="14">
        <f t="shared" si="5"/>
        <v>-0.17212433926290083</v>
      </c>
      <c r="M48" s="14">
        <f t="shared" si="5"/>
        <v>-0.32358033769365702</v>
      </c>
      <c r="N48" s="120">
        <f t="shared" si="5"/>
        <v>-0.27554897924949395</v>
      </c>
      <c r="O48" s="120">
        <f t="shared" si="5"/>
        <v>-0.25007605578470815</v>
      </c>
      <c r="AB48" s="135"/>
      <c r="AC48" s="135"/>
      <c r="AD48" s="108"/>
      <c r="AE48" s="108"/>
      <c r="AF48" s="108"/>
      <c r="AG48" s="108"/>
      <c r="AH48" s="108"/>
      <c r="AI48" s="108"/>
      <c r="AJ48" s="108"/>
      <c r="AK48" s="108"/>
    </row>
    <row r="49" spans="3:37" hidden="1" x14ac:dyDescent="0.2">
      <c r="C49" s="132" t="s">
        <v>91</v>
      </c>
      <c r="D49" s="133">
        <v>827.29914245573184</v>
      </c>
      <c r="E49" s="133">
        <v>316.19684628237286</v>
      </c>
      <c r="F49" s="134">
        <v>90.733033058980695</v>
      </c>
      <c r="G49" s="134">
        <v>34.477704903099479</v>
      </c>
      <c r="H49" s="133">
        <v>725.56655353510359</v>
      </c>
      <c r="I49" s="133">
        <v>340.69627457744036</v>
      </c>
      <c r="J49" s="134">
        <v>68.474520478811939</v>
      </c>
      <c r="K49" s="134">
        <v>32.371226770672841</v>
      </c>
      <c r="L49" s="14">
        <f t="shared" si="5"/>
        <v>-0.12296953266341848</v>
      </c>
      <c r="M49" s="14">
        <f t="shared" si="5"/>
        <v>7.7481570683310297E-2</v>
      </c>
      <c r="N49" s="120">
        <f t="shared" si="5"/>
        <v>-0.24531873155501904</v>
      </c>
      <c r="O49" s="120">
        <f t="shared" si="5"/>
        <v>-6.1096820056524948E-2</v>
      </c>
      <c r="AB49" s="135"/>
      <c r="AC49" s="135"/>
      <c r="AD49" s="108"/>
      <c r="AE49" s="108"/>
      <c r="AF49" s="108"/>
      <c r="AG49" s="108"/>
      <c r="AH49" s="108"/>
      <c r="AI49" s="108"/>
      <c r="AJ49" s="108"/>
      <c r="AK49" s="108"/>
    </row>
    <row r="50" spans="3:37" hidden="1" x14ac:dyDescent="0.2">
      <c r="C50" s="132" t="s">
        <v>89</v>
      </c>
      <c r="D50" s="133">
        <v>891.78770480625269</v>
      </c>
      <c r="E50" s="133">
        <v>342.44264116575579</v>
      </c>
      <c r="F50" s="134">
        <v>69.262715951950284</v>
      </c>
      <c r="G50" s="134">
        <v>26.486476472245705</v>
      </c>
      <c r="H50" s="133">
        <v>889.87997590412988</v>
      </c>
      <c r="I50" s="133">
        <v>372.15529086366774</v>
      </c>
      <c r="J50" s="134">
        <v>67.579024116157214</v>
      </c>
      <c r="K50" s="134">
        <v>27.729799893631178</v>
      </c>
      <c r="L50" s="14">
        <f t="shared" si="5"/>
        <v>-2.1392186636361998E-3</v>
      </c>
      <c r="M50" s="14">
        <f t="shared" si="5"/>
        <v>8.6766792817515537E-2</v>
      </c>
      <c r="N50" s="120">
        <f t="shared" si="5"/>
        <v>-2.4308775834910978E-2</v>
      </c>
      <c r="O50" s="120">
        <f t="shared" si="5"/>
        <v>4.6941820392316425E-2</v>
      </c>
      <c r="AB50" s="135"/>
      <c r="AC50" s="135"/>
      <c r="AD50" s="108"/>
      <c r="AE50" s="108"/>
      <c r="AF50" s="108"/>
      <c r="AG50" s="108"/>
      <c r="AH50" s="108"/>
      <c r="AI50" s="108"/>
      <c r="AJ50" s="108"/>
      <c r="AK50" s="108"/>
    </row>
    <row r="51" spans="3:37" hidden="1" x14ac:dyDescent="0.2">
      <c r="C51" s="132" t="s">
        <v>87</v>
      </c>
      <c r="D51" s="133">
        <v>514.05515924358713</v>
      </c>
      <c r="E51" s="133">
        <v>332.76342493717982</v>
      </c>
      <c r="F51" s="134">
        <v>52.43725686799263</v>
      </c>
      <c r="G51" s="134">
        <v>33.88232036437919</v>
      </c>
      <c r="H51" s="133">
        <v>544.8092630036997</v>
      </c>
      <c r="I51" s="133">
        <v>315.87522218336869</v>
      </c>
      <c r="J51" s="134">
        <v>54.955531575196403</v>
      </c>
      <c r="K51" s="134">
        <v>31.806601709320894</v>
      </c>
      <c r="L51" s="14">
        <f t="shared" si="5"/>
        <v>5.9826466493140718E-2</v>
      </c>
      <c r="M51" s="14">
        <f t="shared" si="5"/>
        <v>-5.0751379172754185E-2</v>
      </c>
      <c r="N51" s="120">
        <f t="shared" si="5"/>
        <v>4.8024531747405508E-2</v>
      </c>
      <c r="O51" s="120">
        <f t="shared" si="5"/>
        <v>-6.1262588652001515E-2</v>
      </c>
      <c r="AB51" s="135"/>
      <c r="AC51" s="135"/>
      <c r="AD51" s="108"/>
      <c r="AE51" s="108"/>
      <c r="AF51" s="108"/>
      <c r="AG51" s="108"/>
      <c r="AH51" s="108"/>
      <c r="AI51" s="108"/>
      <c r="AJ51" s="108"/>
      <c r="AK51" s="108"/>
    </row>
    <row r="52" spans="3:37" ht="12.75" hidden="1" customHeight="1" x14ac:dyDescent="0.2">
      <c r="C52" s="302" t="s">
        <v>176</v>
      </c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AB52" s="108"/>
      <c r="AC52" s="108"/>
      <c r="AD52" s="108"/>
      <c r="AE52" s="108"/>
      <c r="AF52" s="108"/>
      <c r="AG52" s="108"/>
      <c r="AH52" s="108"/>
      <c r="AI52" s="108"/>
      <c r="AJ52" s="108"/>
    </row>
    <row r="53" spans="3:37" hidden="1" x14ac:dyDescent="0.2">
      <c r="AB53" s="108"/>
      <c r="AC53" s="108"/>
      <c r="AD53" s="108"/>
      <c r="AE53" s="108"/>
      <c r="AF53" s="108"/>
      <c r="AG53" s="108"/>
      <c r="AH53" s="108"/>
      <c r="AI53" s="108"/>
      <c r="AJ53" s="108"/>
    </row>
    <row r="54" spans="3:37" hidden="1" x14ac:dyDescent="0.2"/>
    <row r="55" spans="3:37" hidden="1" x14ac:dyDescent="0.2"/>
    <row r="56" spans="3:37" hidden="1" x14ac:dyDescent="0.2"/>
    <row r="57" spans="3:37" ht="36" hidden="1" customHeight="1" x14ac:dyDescent="0.2">
      <c r="C57" s="303" t="s">
        <v>160</v>
      </c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</row>
    <row r="58" spans="3:37" ht="12.75" hidden="1" customHeight="1" x14ac:dyDescent="0.2">
      <c r="C58" s="131"/>
      <c r="D58" s="301" t="s">
        <v>155</v>
      </c>
      <c r="E58" s="301"/>
      <c r="F58" s="301"/>
      <c r="G58" s="301"/>
      <c r="H58" s="301" t="s">
        <v>157</v>
      </c>
      <c r="I58" s="301"/>
      <c r="J58" s="301"/>
      <c r="K58" s="301"/>
      <c r="L58" s="301" t="s">
        <v>177</v>
      </c>
      <c r="M58" s="301"/>
      <c r="N58" s="301"/>
      <c r="O58" s="301"/>
    </row>
    <row r="59" spans="3:37" hidden="1" x14ac:dyDescent="0.2">
      <c r="C59" s="112"/>
      <c r="D59" s="300" t="s">
        <v>174</v>
      </c>
      <c r="E59" s="300"/>
      <c r="F59" s="301" t="s">
        <v>175</v>
      </c>
      <c r="G59" s="301"/>
      <c r="H59" s="300" t="s">
        <v>174</v>
      </c>
      <c r="I59" s="300"/>
      <c r="J59" s="301" t="s">
        <v>175</v>
      </c>
      <c r="K59" s="301"/>
      <c r="L59" s="300" t="s">
        <v>174</v>
      </c>
      <c r="M59" s="300"/>
      <c r="N59" s="301" t="s">
        <v>175</v>
      </c>
      <c r="O59" s="301"/>
    </row>
    <row r="60" spans="3:37" hidden="1" x14ac:dyDescent="0.2">
      <c r="C60" s="112"/>
      <c r="D60" s="113" t="s">
        <v>168</v>
      </c>
      <c r="E60" s="113" t="s">
        <v>169</v>
      </c>
      <c r="F60" s="112" t="s">
        <v>168</v>
      </c>
      <c r="G60" s="112" t="s">
        <v>169</v>
      </c>
      <c r="H60" s="113" t="s">
        <v>168</v>
      </c>
      <c r="I60" s="113" t="s">
        <v>169</v>
      </c>
      <c r="J60" s="112" t="s">
        <v>168</v>
      </c>
      <c r="K60" s="112" t="s">
        <v>169</v>
      </c>
      <c r="L60" s="113" t="s">
        <v>168</v>
      </c>
      <c r="M60" s="113" t="s">
        <v>169</v>
      </c>
      <c r="N60" s="112" t="s">
        <v>168</v>
      </c>
      <c r="O60" s="112" t="s">
        <v>169</v>
      </c>
    </row>
    <row r="61" spans="3:37" hidden="1" x14ac:dyDescent="0.2">
      <c r="C61" s="132" t="s">
        <v>93</v>
      </c>
      <c r="D61" s="133">
        <v>887.60289258426781</v>
      </c>
      <c r="E61" s="133">
        <v>419.73454189560368</v>
      </c>
      <c r="F61" s="134">
        <v>82.8280126749506</v>
      </c>
      <c r="G61" s="134">
        <v>39.753455997492601</v>
      </c>
      <c r="H61" s="133">
        <v>874.99371909159152</v>
      </c>
      <c r="I61" s="133">
        <v>482.54345451887804</v>
      </c>
      <c r="J61" s="134">
        <v>70.41258469084697</v>
      </c>
      <c r="K61" s="134">
        <v>39.27679280967611</v>
      </c>
      <c r="L61" s="14">
        <f>H61/D61-1</f>
        <v>-1.4205872466193203E-2</v>
      </c>
      <c r="M61" s="14">
        <f>I61/E61-1</f>
        <v>0.14963960873845883</v>
      </c>
      <c r="N61" s="120">
        <f>J61/F61-1</f>
        <v>-0.14989407065489557</v>
      </c>
      <c r="O61" s="120">
        <f>K61/G61-1</f>
        <v>-1.1990484244855493E-2</v>
      </c>
    </row>
    <row r="62" spans="3:37" hidden="1" x14ac:dyDescent="0.2">
      <c r="C62" s="132" t="s">
        <v>94</v>
      </c>
      <c r="D62" s="133">
        <v>407.85299863470266</v>
      </c>
      <c r="E62" s="133">
        <v>450.66660564766732</v>
      </c>
      <c r="F62" s="134">
        <v>53.724606499190884</v>
      </c>
      <c r="G62" s="134">
        <v>58.061341831908081</v>
      </c>
      <c r="H62" s="133">
        <v>503.84312742273704</v>
      </c>
      <c r="I62" s="133">
        <v>486.97169811320759</v>
      </c>
      <c r="J62" s="134">
        <v>59.71474102787991</v>
      </c>
      <c r="K62" s="134">
        <v>55.864718614718612</v>
      </c>
      <c r="L62" s="14">
        <f t="shared" ref="L62:O78" si="6">H62/D62-1</f>
        <v>0.23535472120926793</v>
      </c>
      <c r="M62" s="14">
        <f t="shared" si="6"/>
        <v>8.0558648035092606E-2</v>
      </c>
      <c r="N62" s="120">
        <f t="shared" si="6"/>
        <v>0.11149703867592287</v>
      </c>
      <c r="O62" s="120">
        <f t="shared" si="6"/>
        <v>-3.7832801445561781E-2</v>
      </c>
    </row>
    <row r="63" spans="3:37" hidden="1" x14ac:dyDescent="0.2">
      <c r="C63" s="132" t="s">
        <v>95</v>
      </c>
      <c r="D63" s="133">
        <v>786.32879357709885</v>
      </c>
      <c r="E63" s="133">
        <v>508.47504708097949</v>
      </c>
      <c r="F63" s="134">
        <v>55.284886930718812</v>
      </c>
      <c r="G63" s="134">
        <v>35.84232709411922</v>
      </c>
      <c r="H63" s="133">
        <v>720.46180588608922</v>
      </c>
      <c r="I63" s="133">
        <v>442.35626911314989</v>
      </c>
      <c r="J63" s="134">
        <v>73.62885695301965</v>
      </c>
      <c r="K63" s="134">
        <v>44.073887873248005</v>
      </c>
      <c r="L63" s="14">
        <f t="shared" si="6"/>
        <v>-8.3765198768028348E-2</v>
      </c>
      <c r="M63" s="14">
        <f t="shared" si="6"/>
        <v>-0.13003347626869788</v>
      </c>
      <c r="N63" s="120">
        <f t="shared" si="6"/>
        <v>0.33180804087180094</v>
      </c>
      <c r="O63" s="120">
        <f t="shared" si="6"/>
        <v>0.22966033308923639</v>
      </c>
    </row>
    <row r="64" spans="3:37" hidden="1" x14ac:dyDescent="0.2">
      <c r="C64" s="132" t="s">
        <v>92</v>
      </c>
      <c r="D64" s="133">
        <v>831.40619991434016</v>
      </c>
      <c r="E64" s="133">
        <v>338.30536912751688</v>
      </c>
      <c r="F64" s="134">
        <v>72.343848641195066</v>
      </c>
      <c r="G64" s="134">
        <v>29.512587822014048</v>
      </c>
      <c r="H64" s="133">
        <v>729.27782004460607</v>
      </c>
      <c r="I64" s="133">
        <v>298.96162280701748</v>
      </c>
      <c r="J64" s="134">
        <v>73.191059195812471</v>
      </c>
      <c r="K64" s="134">
        <v>30.621406109613652</v>
      </c>
      <c r="L64" s="14">
        <f t="shared" si="6"/>
        <v>-0.12283812639388114</v>
      </c>
      <c r="M64" s="14">
        <f t="shared" si="6"/>
        <v>-0.116296547175607</v>
      </c>
      <c r="N64" s="120">
        <f t="shared" si="6"/>
        <v>1.1710885867011633E-2</v>
      </c>
      <c r="O64" s="120">
        <f t="shared" si="6"/>
        <v>3.7571028819523455E-2</v>
      </c>
    </row>
    <row r="65" spans="3:15" hidden="1" x14ac:dyDescent="0.2">
      <c r="C65" s="132" t="s">
        <v>99</v>
      </c>
      <c r="D65" s="133">
        <v>424.25210073137987</v>
      </c>
      <c r="E65" s="133">
        <v>312.04387795666901</v>
      </c>
      <c r="F65" s="134">
        <v>66.938962912275485</v>
      </c>
      <c r="G65" s="134">
        <v>50.906910193427059</v>
      </c>
      <c r="H65" s="133">
        <v>415.2594717495237</v>
      </c>
      <c r="I65" s="133">
        <v>307.28274821833509</v>
      </c>
      <c r="J65" s="134">
        <v>61.893406797042623</v>
      </c>
      <c r="K65" s="134">
        <v>46.424012320755615</v>
      </c>
      <c r="L65" s="14">
        <f t="shared" si="6"/>
        <v>-2.1196427705021503E-2</v>
      </c>
      <c r="M65" s="14">
        <f t="shared" si="6"/>
        <v>-1.5257885427878981E-2</v>
      </c>
      <c r="N65" s="120">
        <f t="shared" si="6"/>
        <v>-7.5375474846318458E-2</v>
      </c>
      <c r="O65" s="120">
        <f t="shared" si="6"/>
        <v>-8.8060694621577396E-2</v>
      </c>
    </row>
    <row r="66" spans="3:15" hidden="1" x14ac:dyDescent="0.2">
      <c r="C66" s="136" t="s">
        <v>96</v>
      </c>
      <c r="D66" s="133">
        <v>444.02889879688951</v>
      </c>
      <c r="E66" s="133">
        <v>323.7220863231135</v>
      </c>
      <c r="F66" s="134">
        <v>67.662271345634949</v>
      </c>
      <c r="G66" s="134">
        <v>50.448913117142752</v>
      </c>
      <c r="H66" s="133">
        <v>426.99722820006468</v>
      </c>
      <c r="I66" s="133">
        <v>310.49807610544229</v>
      </c>
      <c r="J66" s="134">
        <v>62.274384548519983</v>
      </c>
      <c r="K66" s="134">
        <v>45.739556127593772</v>
      </c>
      <c r="L66" s="14">
        <f t="shared" si="6"/>
        <v>-3.8357121896733903E-2</v>
      </c>
      <c r="M66" s="14">
        <f t="shared" si="6"/>
        <v>-4.0849885677778697E-2</v>
      </c>
      <c r="N66" s="120">
        <f t="shared" si="6"/>
        <v>-7.9629115162161201E-2</v>
      </c>
      <c r="O66" s="120">
        <f t="shared" si="6"/>
        <v>-9.3349027730564083E-2</v>
      </c>
    </row>
    <row r="67" spans="3:15" hidden="1" x14ac:dyDescent="0.2">
      <c r="C67" s="136" t="s">
        <v>101</v>
      </c>
      <c r="D67" s="133">
        <v>136.02958466189958</v>
      </c>
      <c r="E67" s="133">
        <v>187.71961805555563</v>
      </c>
      <c r="F67" s="134">
        <v>44.373286975272038</v>
      </c>
      <c r="G67" s="134">
        <v>61.088418079096058</v>
      </c>
      <c r="H67" s="133">
        <v>133.55331693653068</v>
      </c>
      <c r="I67" s="133">
        <v>242.97619047619042</v>
      </c>
      <c r="J67" s="134">
        <v>42.120661495367386</v>
      </c>
      <c r="K67" s="134">
        <v>75.174953959484355</v>
      </c>
      <c r="L67" s="14">
        <f t="shared" si="6"/>
        <v>-1.8203890951542956E-2</v>
      </c>
      <c r="M67" s="14">
        <f t="shared" si="6"/>
        <v>0.29435694038265958</v>
      </c>
      <c r="N67" s="120">
        <f t="shared" si="6"/>
        <v>-5.0765350810274112E-2</v>
      </c>
      <c r="O67" s="120">
        <f t="shared" si="6"/>
        <v>0.23059257913913123</v>
      </c>
    </row>
    <row r="68" spans="3:15" hidden="1" x14ac:dyDescent="0.2">
      <c r="C68" s="132" t="s">
        <v>84</v>
      </c>
      <c r="D68" s="133">
        <v>729.87651882780915</v>
      </c>
      <c r="E68" s="133">
        <v>403.76615575869278</v>
      </c>
      <c r="F68" s="134">
        <v>66.612086799720188</v>
      </c>
      <c r="G68" s="134">
        <v>36.686651894730296</v>
      </c>
      <c r="H68" s="133">
        <v>837.64087028077199</v>
      </c>
      <c r="I68" s="133">
        <v>410.93731921478275</v>
      </c>
      <c r="J68" s="134">
        <v>72.989453426955109</v>
      </c>
      <c r="K68" s="134">
        <v>36.320068230585377</v>
      </c>
      <c r="L68" s="14">
        <f t="shared" si="6"/>
        <v>0.14764737414218199</v>
      </c>
      <c r="M68" s="14">
        <f t="shared" si="6"/>
        <v>1.7760684876163113E-2</v>
      </c>
      <c r="N68" s="120">
        <f t="shared" si="6"/>
        <v>9.5738880639027135E-2</v>
      </c>
      <c r="O68" s="120">
        <f t="shared" si="6"/>
        <v>-9.9922899804758547E-3</v>
      </c>
    </row>
    <row r="69" spans="3:15" hidden="1" x14ac:dyDescent="0.2">
      <c r="C69" s="136" t="s">
        <v>83</v>
      </c>
      <c r="D69" s="133">
        <v>818.42302603568294</v>
      </c>
      <c r="E69" s="133">
        <v>507.38282946383123</v>
      </c>
      <c r="F69" s="134">
        <v>64.548244612933345</v>
      </c>
      <c r="G69" s="134">
        <v>38.486687443527003</v>
      </c>
      <c r="H69" s="133">
        <v>928.35522816397452</v>
      </c>
      <c r="I69" s="133">
        <v>451.76242403698785</v>
      </c>
      <c r="J69" s="134">
        <v>89.722694635176993</v>
      </c>
      <c r="K69" s="134">
        <v>42.859512024021917</v>
      </c>
      <c r="L69" s="14">
        <f t="shared" si="6"/>
        <v>0.13432198096965386</v>
      </c>
      <c r="M69" s="14">
        <f t="shared" si="6"/>
        <v>-0.10962216732012664</v>
      </c>
      <c r="N69" s="120">
        <f t="shared" si="6"/>
        <v>0.39000983176542525</v>
      </c>
      <c r="O69" s="120">
        <f t="shared" si="6"/>
        <v>0.11361914654025052</v>
      </c>
    </row>
    <row r="70" spans="3:15" hidden="1" x14ac:dyDescent="0.2">
      <c r="C70" s="136" t="s">
        <v>86</v>
      </c>
      <c r="D70" s="133">
        <v>753.55418585011012</v>
      </c>
      <c r="E70" s="133">
        <v>409.89713064713067</v>
      </c>
      <c r="F70" s="134">
        <v>66.210142633727401</v>
      </c>
      <c r="G70" s="134">
        <v>37.073256250552177</v>
      </c>
      <c r="H70" s="133">
        <v>778.55655440448731</v>
      </c>
      <c r="I70" s="133">
        <v>464.8672643946058</v>
      </c>
      <c r="J70" s="134">
        <v>55.777185987187131</v>
      </c>
      <c r="K70" s="134">
        <v>34.697826389165712</v>
      </c>
      <c r="L70" s="14">
        <f t="shared" si="6"/>
        <v>3.3179257741327683E-2</v>
      </c>
      <c r="M70" s="14">
        <f t="shared" si="6"/>
        <v>0.13410714454304729</v>
      </c>
      <c r="N70" s="120">
        <f t="shared" si="6"/>
        <v>-0.15757339029240702</v>
      </c>
      <c r="O70" s="120">
        <f t="shared" si="6"/>
        <v>-6.4073947142182397E-2</v>
      </c>
    </row>
    <row r="71" spans="3:15" hidden="1" x14ac:dyDescent="0.2">
      <c r="C71" s="136" t="s">
        <v>82</v>
      </c>
      <c r="D71" s="133">
        <v>596.34565992717455</v>
      </c>
      <c r="E71" s="133">
        <v>398.10221443074283</v>
      </c>
      <c r="F71" s="134">
        <v>54.017929051560905</v>
      </c>
      <c r="G71" s="134">
        <v>34.881667437044165</v>
      </c>
      <c r="H71" s="133">
        <v>864.44476099874714</v>
      </c>
      <c r="I71" s="133">
        <v>363.08689558146284</v>
      </c>
      <c r="J71" s="134">
        <v>74.5354586795644</v>
      </c>
      <c r="K71" s="134">
        <v>31.810267842977701</v>
      </c>
      <c r="L71" s="14">
        <f t="shared" si="6"/>
        <v>0.44956997105388963</v>
      </c>
      <c r="M71" s="14">
        <f t="shared" si="6"/>
        <v>-8.7955599290873931E-2</v>
      </c>
      <c r="N71" s="120">
        <f t="shared" si="6"/>
        <v>0.37982814203075455</v>
      </c>
      <c r="O71" s="120">
        <f t="shared" si="6"/>
        <v>-8.8051971701463172E-2</v>
      </c>
    </row>
    <row r="72" spans="3:15" hidden="1" x14ac:dyDescent="0.2">
      <c r="C72" s="136" t="s">
        <v>85</v>
      </c>
      <c r="D72" s="133">
        <v>803.11818321723388</v>
      </c>
      <c r="E72" s="133">
        <v>331.56333066653269</v>
      </c>
      <c r="F72" s="134">
        <v>88.468487370023396</v>
      </c>
      <c r="G72" s="134">
        <v>36.982886012450173</v>
      </c>
      <c r="H72" s="133">
        <v>796.20277408167999</v>
      </c>
      <c r="I72" s="133">
        <v>382.09146557652429</v>
      </c>
      <c r="J72" s="134">
        <v>85.356215060214481</v>
      </c>
      <c r="K72" s="134">
        <v>41.075571318744679</v>
      </c>
      <c r="L72" s="14">
        <f t="shared" si="6"/>
        <v>-8.6106992470912358E-3</v>
      </c>
      <c r="M72" s="14">
        <f t="shared" si="6"/>
        <v>0.15239361605041268</v>
      </c>
      <c r="N72" s="120">
        <f t="shared" si="6"/>
        <v>-3.5179445272887966E-2</v>
      </c>
      <c r="O72" s="120">
        <f t="shared" si="6"/>
        <v>0.11066430307566355</v>
      </c>
    </row>
    <row r="73" spans="3:15" hidden="1" x14ac:dyDescent="0.2">
      <c r="C73" s="132" t="s">
        <v>88</v>
      </c>
      <c r="D73" s="133">
        <v>934.2856529391039</v>
      </c>
      <c r="E73" s="133">
        <v>323.13310961968699</v>
      </c>
      <c r="F73" s="134">
        <v>92.342186627702134</v>
      </c>
      <c r="G73" s="134">
        <v>31.780088008800874</v>
      </c>
      <c r="H73" s="133">
        <v>801.82846585017592</v>
      </c>
      <c r="I73" s="133">
        <v>388.08503401360542</v>
      </c>
      <c r="J73" s="134">
        <v>74.94213765789226</v>
      </c>
      <c r="K73" s="134">
        <v>36.553575069171394</v>
      </c>
      <c r="L73" s="14">
        <f t="shared" si="6"/>
        <v>-0.14177375695777861</v>
      </c>
      <c r="M73" s="14">
        <f t="shared" si="6"/>
        <v>0.20100671351927968</v>
      </c>
      <c r="N73" s="120">
        <f t="shared" si="6"/>
        <v>-0.18843011634500273</v>
      </c>
      <c r="O73" s="120">
        <f t="shared" si="6"/>
        <v>0.15020370802776251</v>
      </c>
    </row>
    <row r="74" spans="3:15" hidden="1" x14ac:dyDescent="0.2">
      <c r="C74" s="137" t="s">
        <v>90</v>
      </c>
      <c r="D74" s="138">
        <v>619.50112204586367</v>
      </c>
      <c r="E74" s="138">
        <v>353.32309931673603</v>
      </c>
      <c r="F74" s="138">
        <v>62.431329898946792</v>
      </c>
      <c r="G74" s="138">
        <v>35.931389038883296</v>
      </c>
      <c r="H74" s="138">
        <v>632.96484255954954</v>
      </c>
      <c r="I74" s="138">
        <v>358.57791727140909</v>
      </c>
      <c r="J74" s="138">
        <v>63.178953647546869</v>
      </c>
      <c r="K74" s="138">
        <v>36.061272260270961</v>
      </c>
      <c r="L74" s="139">
        <f t="shared" si="6"/>
        <v>2.1733165662755738E-2</v>
      </c>
      <c r="M74" s="139">
        <f t="shared" si="6"/>
        <v>1.487255705849666E-2</v>
      </c>
      <c r="N74" s="139">
        <f t="shared" si="6"/>
        <v>1.1975137319839346E-2</v>
      </c>
      <c r="O74" s="139">
        <f>K74/G74-1</f>
        <v>3.6147564806667809E-3</v>
      </c>
    </row>
    <row r="75" spans="3:15" hidden="1" x14ac:dyDescent="0.2">
      <c r="C75" s="132" t="s">
        <v>170</v>
      </c>
      <c r="D75" s="133">
        <v>788.75194846162287</v>
      </c>
      <c r="E75" s="133">
        <v>524.15316704695135</v>
      </c>
      <c r="F75" s="134">
        <v>85.984117986803554</v>
      </c>
      <c r="G75" s="134">
        <v>58.461952984841616</v>
      </c>
      <c r="H75" s="133">
        <v>743.2274739735235</v>
      </c>
      <c r="I75" s="133">
        <v>462.82685772400544</v>
      </c>
      <c r="J75" s="134">
        <v>67.986172130793008</v>
      </c>
      <c r="K75" s="134">
        <v>46.91944973306353</v>
      </c>
      <c r="L75" s="14">
        <f t="shared" si="6"/>
        <v>-5.7717099243799086E-2</v>
      </c>
      <c r="M75" s="14">
        <f t="shared" si="6"/>
        <v>-0.11700074172680253</v>
      </c>
      <c r="N75" s="120">
        <f t="shared" si="6"/>
        <v>-0.20931709573124646</v>
      </c>
      <c r="O75" s="120">
        <f t="shared" si="6"/>
        <v>-0.19743615569549822</v>
      </c>
    </row>
    <row r="76" spans="3:15" hidden="1" x14ac:dyDescent="0.2">
      <c r="C76" s="132" t="s">
        <v>91</v>
      </c>
      <c r="D76" s="133">
        <v>804.64738307264099</v>
      </c>
      <c r="E76" s="133">
        <v>322.92407407407427</v>
      </c>
      <c r="F76" s="134">
        <v>80.994111585601331</v>
      </c>
      <c r="G76" s="134">
        <v>32.673599400412208</v>
      </c>
      <c r="H76" s="133">
        <v>695.62457649626117</v>
      </c>
      <c r="I76" s="133">
        <v>339.90872668997685</v>
      </c>
      <c r="J76" s="134">
        <v>67.279751785476023</v>
      </c>
      <c r="K76" s="134">
        <v>33.051898285876177</v>
      </c>
      <c r="L76" s="14">
        <f t="shared" si="6"/>
        <v>-0.1354914076276037</v>
      </c>
      <c r="M76" s="14">
        <f t="shared" si="6"/>
        <v>5.2596427394281386E-2</v>
      </c>
      <c r="N76" s="120">
        <f t="shared" si="6"/>
        <v>-0.16932539331122642</v>
      </c>
      <c r="O76" s="120">
        <f t="shared" si="6"/>
        <v>1.1578120941863501E-2</v>
      </c>
    </row>
    <row r="77" spans="3:15" hidden="1" x14ac:dyDescent="0.2">
      <c r="C77" s="132" t="s">
        <v>89</v>
      </c>
      <c r="D77" s="133">
        <v>847.94923241955667</v>
      </c>
      <c r="E77" s="133">
        <v>333.3635828625234</v>
      </c>
      <c r="F77" s="134">
        <v>65.137522362557021</v>
      </c>
      <c r="G77" s="134">
        <v>25.34322094563155</v>
      </c>
      <c r="H77" s="133">
        <v>826.66588007862231</v>
      </c>
      <c r="I77" s="133">
        <v>354.78422206832875</v>
      </c>
      <c r="J77" s="134">
        <v>63.722350698934058</v>
      </c>
      <c r="K77" s="134">
        <v>26.791570791060945</v>
      </c>
      <c r="L77" s="14">
        <f t="shared" si="6"/>
        <v>-2.5099795515120649E-2</v>
      </c>
      <c r="M77" s="14">
        <f t="shared" si="6"/>
        <v>6.4256086468326146E-2</v>
      </c>
      <c r="N77" s="120">
        <f t="shared" si="6"/>
        <v>-2.1725905626960862E-2</v>
      </c>
      <c r="O77" s="120">
        <f t="shared" si="6"/>
        <v>5.7149398986676481E-2</v>
      </c>
    </row>
    <row r="78" spans="3:15" hidden="1" x14ac:dyDescent="0.2">
      <c r="C78" s="132" t="s">
        <v>87</v>
      </c>
      <c r="D78" s="133">
        <v>497.83081041676871</v>
      </c>
      <c r="E78" s="133">
        <v>317.25212304073267</v>
      </c>
      <c r="F78" s="134">
        <v>50.023896297375359</v>
      </c>
      <c r="G78" s="134">
        <v>31.842892559183252</v>
      </c>
      <c r="H78" s="133">
        <v>568.63408550434724</v>
      </c>
      <c r="I78" s="133">
        <v>323.45493398535928</v>
      </c>
      <c r="J78" s="134">
        <v>56.240182236888096</v>
      </c>
      <c r="K78" s="134">
        <v>31.937496066585798</v>
      </c>
      <c r="L78" s="14">
        <f t="shared" si="6"/>
        <v>0.14222356994799945</v>
      </c>
      <c r="M78" s="14">
        <f t="shared" si="6"/>
        <v>1.9551676708023935E-2</v>
      </c>
      <c r="N78" s="120">
        <f t="shared" si="6"/>
        <v>0.12426632868737353</v>
      </c>
      <c r="O78" s="120">
        <f t="shared" si="6"/>
        <v>2.9709457841091691E-3</v>
      </c>
    </row>
    <row r="79" spans="3:15" hidden="1" x14ac:dyDescent="0.2">
      <c r="C79" s="302" t="s">
        <v>176</v>
      </c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</row>
    <row r="80" spans="3:15" hidden="1" x14ac:dyDescent="0.2"/>
    <row r="81" spans="3:15" hidden="1" x14ac:dyDescent="0.2"/>
    <row r="82" spans="3:15" hidden="1" x14ac:dyDescent="0.2"/>
    <row r="83" spans="3:15" ht="36" hidden="1" customHeight="1" x14ac:dyDescent="0.2">
      <c r="C83" s="303" t="s">
        <v>160</v>
      </c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</row>
    <row r="84" spans="3:15" ht="15" hidden="1" customHeight="1" x14ac:dyDescent="0.2">
      <c r="C84" s="109"/>
      <c r="D84" s="299" t="e">
        <f>#REF!</f>
        <v>#REF!</v>
      </c>
      <c r="E84" s="299"/>
      <c r="F84" s="299"/>
      <c r="G84" s="299"/>
      <c r="H84" s="301" t="e">
        <f>#REF!</f>
        <v>#REF!</v>
      </c>
      <c r="I84" s="301"/>
      <c r="J84" s="301"/>
      <c r="K84" s="301"/>
      <c r="L84" s="304" t="e">
        <f>#REF!</f>
        <v>#REF!</v>
      </c>
      <c r="M84" s="304"/>
      <c r="N84" s="304"/>
      <c r="O84" s="304"/>
    </row>
    <row r="85" spans="3:15" ht="30" hidden="1" customHeight="1" x14ac:dyDescent="0.2">
      <c r="C85" s="97"/>
      <c r="D85" s="298" t="s">
        <v>174</v>
      </c>
      <c r="E85" s="298"/>
      <c r="F85" s="299" t="s">
        <v>175</v>
      </c>
      <c r="G85" s="299"/>
      <c r="H85" s="298" t="s">
        <v>174</v>
      </c>
      <c r="I85" s="298"/>
      <c r="J85" s="299" t="s">
        <v>175</v>
      </c>
      <c r="K85" s="299"/>
      <c r="L85" s="300" t="s">
        <v>174</v>
      </c>
      <c r="M85" s="300"/>
      <c r="N85" s="301" t="s">
        <v>175</v>
      </c>
      <c r="O85" s="301"/>
    </row>
    <row r="86" spans="3:15" ht="15" hidden="1" customHeight="1" x14ac:dyDescent="0.2">
      <c r="C86" s="97"/>
      <c r="D86" s="111" t="s">
        <v>168</v>
      </c>
      <c r="E86" s="111" t="s">
        <v>169</v>
      </c>
      <c r="F86" s="97" t="s">
        <v>168</v>
      </c>
      <c r="G86" s="97" t="s">
        <v>169</v>
      </c>
      <c r="H86" s="111" t="s">
        <v>168</v>
      </c>
      <c r="I86" s="111" t="s">
        <v>169</v>
      </c>
      <c r="J86" s="97" t="s">
        <v>168</v>
      </c>
      <c r="K86" s="97" t="s">
        <v>169</v>
      </c>
      <c r="L86" s="113" t="s">
        <v>168</v>
      </c>
      <c r="M86" s="113" t="s">
        <v>169</v>
      </c>
      <c r="N86" s="112" t="s">
        <v>168</v>
      </c>
      <c r="O86" s="112" t="s">
        <v>169</v>
      </c>
    </row>
    <row r="87" spans="3:15" ht="15" hidden="1" customHeight="1" x14ac:dyDescent="0.2">
      <c r="C87" s="35" t="s">
        <v>93</v>
      </c>
      <c r="D87" s="118">
        <v>912.52158968111962</v>
      </c>
      <c r="E87" s="118">
        <v>415.40829218062544</v>
      </c>
      <c r="F87" s="119">
        <v>89.70274786856406</v>
      </c>
      <c r="G87" s="119">
        <v>40.363558754392734</v>
      </c>
      <c r="H87" s="118">
        <v>898.7529853742468</v>
      </c>
      <c r="I87" s="118">
        <v>434.43749929249537</v>
      </c>
      <c r="J87" s="119">
        <v>80.441682987117332</v>
      </c>
      <c r="K87" s="119">
        <v>39.144810877521678</v>
      </c>
      <c r="L87" s="14">
        <f>H87/D87-1</f>
        <v>-1.5088524438840123E-2</v>
      </c>
      <c r="M87" s="14">
        <f>I87/E87-1</f>
        <v>4.5808443090961992E-2</v>
      </c>
      <c r="N87" s="120">
        <f>J87/F87-1</f>
        <v>-0.10324170776815444</v>
      </c>
      <c r="O87" s="120">
        <f>K87/G87-1</f>
        <v>-3.019426221277921E-2</v>
      </c>
    </row>
    <row r="88" spans="3:15" ht="15" hidden="1" customHeight="1" x14ac:dyDescent="0.2">
      <c r="C88" s="35" t="s">
        <v>94</v>
      </c>
      <c r="D88" s="118">
        <v>437.12296055952868</v>
      </c>
      <c r="E88" s="118">
        <v>466.25888280717908</v>
      </c>
      <c r="F88" s="119">
        <v>56.128629176904461</v>
      </c>
      <c r="G88" s="119">
        <v>59.073523613579276</v>
      </c>
      <c r="H88" s="118">
        <v>516.18619737763925</v>
      </c>
      <c r="I88" s="118">
        <v>518.35386473429958</v>
      </c>
      <c r="J88" s="119">
        <v>53.866595782218702</v>
      </c>
      <c r="K88" s="119">
        <v>53.462506228201292</v>
      </c>
      <c r="L88" s="14">
        <f t="shared" ref="L88:O104" si="7">H88/D88-1</f>
        <v>0.18087184602910722</v>
      </c>
      <c r="M88" s="14">
        <f t="shared" si="7"/>
        <v>0.11172973609312309</v>
      </c>
      <c r="N88" s="120">
        <f t="shared" si="7"/>
        <v>-4.030088437678303E-2</v>
      </c>
      <c r="O88" s="120">
        <f t="shared" si="7"/>
        <v>-9.4983624509714759E-2</v>
      </c>
    </row>
    <row r="89" spans="3:15" ht="15" hidden="1" customHeight="1" x14ac:dyDescent="0.2">
      <c r="C89" s="35" t="s">
        <v>95</v>
      </c>
      <c r="D89" s="118">
        <v>807.04819729289477</v>
      </c>
      <c r="E89" s="118">
        <v>457.33696259073156</v>
      </c>
      <c r="F89" s="119">
        <v>65.645068679326329</v>
      </c>
      <c r="G89" s="119">
        <v>36.920915032679765</v>
      </c>
      <c r="H89" s="118">
        <v>707.40260389066259</v>
      </c>
      <c r="I89" s="118">
        <v>455.83573883161517</v>
      </c>
      <c r="J89" s="119">
        <v>70.499919753542827</v>
      </c>
      <c r="K89" s="119">
        <v>43.691765480895924</v>
      </c>
      <c r="L89" s="14">
        <f t="shared" si="7"/>
        <v>-0.12346919767180731</v>
      </c>
      <c r="M89" s="14">
        <f t="shared" si="7"/>
        <v>-3.2825331908713506E-3</v>
      </c>
      <c r="N89" s="120">
        <f t="shared" si="7"/>
        <v>7.3956066645801899E-2</v>
      </c>
      <c r="O89" s="120">
        <f t="shared" si="7"/>
        <v>0.18338793722265767</v>
      </c>
    </row>
    <row r="90" spans="3:15" ht="15" hidden="1" customHeight="1" x14ac:dyDescent="0.2">
      <c r="C90" s="35" t="s">
        <v>92</v>
      </c>
      <c r="D90" s="118">
        <v>803.23932643457795</v>
      </c>
      <c r="E90" s="118">
        <v>344.66622162883874</v>
      </c>
      <c r="F90" s="119">
        <v>72.226915297004226</v>
      </c>
      <c r="G90" s="119">
        <v>31.030109982571069</v>
      </c>
      <c r="H90" s="118">
        <v>756.77250623120688</v>
      </c>
      <c r="I90" s="118">
        <v>364.49610591900279</v>
      </c>
      <c r="J90" s="119">
        <v>73.964391041115903</v>
      </c>
      <c r="K90" s="119">
        <v>36.078707986432335</v>
      </c>
      <c r="L90" s="14">
        <f t="shared" si="7"/>
        <v>-5.7849284359156261E-2</v>
      </c>
      <c r="M90" s="14">
        <f t="shared" si="7"/>
        <v>5.7533587702476741E-2</v>
      </c>
      <c r="N90" s="120">
        <f t="shared" si="7"/>
        <v>2.4055793286574811E-2</v>
      </c>
      <c r="O90" s="120">
        <f t="shared" si="7"/>
        <v>0.16269997130841474</v>
      </c>
    </row>
    <row r="91" spans="3:15" ht="15" hidden="1" customHeight="1" x14ac:dyDescent="0.2">
      <c r="C91" s="124" t="s">
        <v>99</v>
      </c>
      <c r="D91" s="118">
        <v>463.99515144674507</v>
      </c>
      <c r="E91" s="118">
        <v>326.61419080501025</v>
      </c>
      <c r="F91" s="119">
        <v>69.862906325788202</v>
      </c>
      <c r="G91" s="119">
        <v>49.772459554444055</v>
      </c>
      <c r="H91" s="118">
        <v>480.05842170787668</v>
      </c>
      <c r="I91" s="118">
        <v>314.70347263615696</v>
      </c>
      <c r="J91" s="119">
        <v>68.397184642843442</v>
      </c>
      <c r="K91" s="119">
        <v>45.050132099561324</v>
      </c>
      <c r="L91" s="14">
        <f t="shared" si="7"/>
        <v>3.4619478697236472E-2</v>
      </c>
      <c r="M91" s="14">
        <f t="shared" si="7"/>
        <v>-3.646724026135173E-2</v>
      </c>
      <c r="N91" s="120">
        <f t="shared" si="7"/>
        <v>-2.0979970058928488E-2</v>
      </c>
      <c r="O91" s="120">
        <f t="shared" si="7"/>
        <v>-9.4878322211848332E-2</v>
      </c>
    </row>
    <row r="92" spans="3:15" ht="15" hidden="1" customHeight="1" x14ac:dyDescent="0.2">
      <c r="C92" s="124" t="s">
        <v>96</v>
      </c>
      <c r="D92" s="118">
        <v>481.9472761547587</v>
      </c>
      <c r="E92" s="118">
        <v>335.61027785778242</v>
      </c>
      <c r="F92" s="119">
        <v>70.509327184736051</v>
      </c>
      <c r="G92" s="119">
        <v>49.36982214501667</v>
      </c>
      <c r="H92" s="118">
        <v>493.86187174388499</v>
      </c>
      <c r="I92" s="118">
        <v>318.7436361534904</v>
      </c>
      <c r="J92" s="119">
        <v>68.808209746526671</v>
      </c>
      <c r="K92" s="119">
        <v>44.507008098433595</v>
      </c>
      <c r="L92" s="14">
        <f t="shared" si="7"/>
        <v>2.4721782192001385E-2</v>
      </c>
      <c r="M92" s="14">
        <f t="shared" si="7"/>
        <v>-5.0256630434421301E-2</v>
      </c>
      <c r="N92" s="120">
        <f t="shared" si="7"/>
        <v>-2.4126133465327437E-2</v>
      </c>
      <c r="O92" s="120">
        <f t="shared" si="7"/>
        <v>-9.8497702347382754E-2</v>
      </c>
    </row>
    <row r="93" spans="3:15" ht="15" hidden="1" customHeight="1" x14ac:dyDescent="0.2">
      <c r="C93" s="35" t="s">
        <v>101</v>
      </c>
      <c r="D93" s="118">
        <v>131.40842001407432</v>
      </c>
      <c r="E93" s="118">
        <v>199.12678571428577</v>
      </c>
      <c r="F93" s="119">
        <v>43.047585866679484</v>
      </c>
      <c r="G93" s="119">
        <v>61.813192904656333</v>
      </c>
      <c r="H93" s="118">
        <v>152.22648335268519</v>
      </c>
      <c r="I93" s="118">
        <v>228.90206185567013</v>
      </c>
      <c r="J93" s="119">
        <v>46.838917954672354</v>
      </c>
      <c r="K93" s="119">
        <v>70.487301587301602</v>
      </c>
      <c r="L93" s="14">
        <f t="shared" si="7"/>
        <v>0.15842259831128924</v>
      </c>
      <c r="M93" s="14">
        <f t="shared" si="7"/>
        <v>0.14952923603209767</v>
      </c>
      <c r="N93" s="120">
        <f t="shared" si="7"/>
        <v>8.8073047806555671E-2</v>
      </c>
      <c r="O93" s="120">
        <f t="shared" si="7"/>
        <v>0.14032778885932395</v>
      </c>
    </row>
    <row r="94" spans="3:15" ht="15" hidden="1" customHeight="1" x14ac:dyDescent="0.2">
      <c r="C94" s="35" t="s">
        <v>84</v>
      </c>
      <c r="D94" s="118">
        <v>724.69884931782758</v>
      </c>
      <c r="E94" s="118">
        <v>403.03380487257209</v>
      </c>
      <c r="F94" s="119">
        <v>66.631490488341683</v>
      </c>
      <c r="G94" s="119">
        <v>36.865634665174227</v>
      </c>
      <c r="H94" s="118">
        <v>830.09968400419905</v>
      </c>
      <c r="I94" s="118">
        <v>414.86035925565579</v>
      </c>
      <c r="J94" s="119">
        <v>72.325517022147906</v>
      </c>
      <c r="K94" s="119">
        <v>36.640576508753746</v>
      </c>
      <c r="L94" s="14">
        <f t="shared" si="7"/>
        <v>0.14544087490353719</v>
      </c>
      <c r="M94" s="14">
        <f t="shared" si="7"/>
        <v>2.9343827341785644E-2</v>
      </c>
      <c r="N94" s="120">
        <f t="shared" si="7"/>
        <v>8.545548796934832E-2</v>
      </c>
      <c r="O94" s="120">
        <f t="shared" si="7"/>
        <v>-6.1048225119283428E-3</v>
      </c>
    </row>
    <row r="95" spans="3:15" ht="15" hidden="1" customHeight="1" x14ac:dyDescent="0.2">
      <c r="C95" s="35" t="s">
        <v>83</v>
      </c>
      <c r="D95" s="118">
        <v>819.01448285924505</v>
      </c>
      <c r="E95" s="118">
        <v>509.10942106195449</v>
      </c>
      <c r="F95" s="119">
        <v>64.351137938940695</v>
      </c>
      <c r="G95" s="119">
        <v>38.359661020340141</v>
      </c>
      <c r="H95" s="118">
        <v>917.60071030246718</v>
      </c>
      <c r="I95" s="118">
        <v>462.42745140204556</v>
      </c>
      <c r="J95" s="119">
        <v>89.152772953310233</v>
      </c>
      <c r="K95" s="119">
        <v>43.936099895681281</v>
      </c>
      <c r="L95" s="14">
        <f t="shared" si="7"/>
        <v>0.12037177547709499</v>
      </c>
      <c r="M95" s="14">
        <f t="shared" si="7"/>
        <v>-9.1693391889183129E-2</v>
      </c>
      <c r="N95" s="120">
        <f t="shared" si="7"/>
        <v>0.385410978091832</v>
      </c>
      <c r="O95" s="120">
        <f t="shared" si="7"/>
        <v>0.14537247532985864</v>
      </c>
    </row>
    <row r="96" spans="3:15" ht="15" hidden="1" customHeight="1" x14ac:dyDescent="0.2">
      <c r="C96" s="124" t="s">
        <v>86</v>
      </c>
      <c r="D96" s="118">
        <v>751.31258013787215</v>
      </c>
      <c r="E96" s="118">
        <v>411.9594998803542</v>
      </c>
      <c r="F96" s="119">
        <v>65.925769471701983</v>
      </c>
      <c r="G96" s="119">
        <v>37.195980252355035</v>
      </c>
      <c r="H96" s="118">
        <v>778.55655440448731</v>
      </c>
      <c r="I96" s="118">
        <v>464.8672643946058</v>
      </c>
      <c r="J96" s="119">
        <v>55.777185987187131</v>
      </c>
      <c r="K96" s="119">
        <v>34.697826389165712</v>
      </c>
      <c r="L96" s="14">
        <f t="shared" si="7"/>
        <v>3.6261836932925728E-2</v>
      </c>
      <c r="M96" s="14">
        <f t="shared" si="7"/>
        <v>0.12842952894548532</v>
      </c>
      <c r="N96" s="120">
        <f t="shared" si="7"/>
        <v>-0.15393955301304496</v>
      </c>
      <c r="O96" s="120">
        <f t="shared" si="7"/>
        <v>-6.7161931107627026E-2</v>
      </c>
    </row>
    <row r="97" spans="3:15" ht="15" hidden="1" customHeight="1" x14ac:dyDescent="0.2">
      <c r="C97" s="124" t="s">
        <v>82</v>
      </c>
      <c r="D97" s="118">
        <v>598.85526608818645</v>
      </c>
      <c r="E97" s="118">
        <v>392.2852585329357</v>
      </c>
      <c r="F97" s="119">
        <v>55.177450656097371</v>
      </c>
      <c r="G97" s="119">
        <v>34.980851079370076</v>
      </c>
      <c r="H97" s="118">
        <v>856.03762308654814</v>
      </c>
      <c r="I97" s="118">
        <v>372.69497707700083</v>
      </c>
      <c r="J97" s="119">
        <v>72.862555993256478</v>
      </c>
      <c r="K97" s="119">
        <v>32.244924518211732</v>
      </c>
      <c r="L97" s="14">
        <f t="shared" si="7"/>
        <v>0.42945661758694365</v>
      </c>
      <c r="M97" s="14">
        <f t="shared" si="7"/>
        <v>-4.99388672651081E-2</v>
      </c>
      <c r="N97" s="120">
        <f t="shared" si="7"/>
        <v>0.32051327357228709</v>
      </c>
      <c r="O97" s="120">
        <f t="shared" si="7"/>
        <v>-7.8212121110222355E-2</v>
      </c>
    </row>
    <row r="98" spans="3:15" ht="15" hidden="1" customHeight="1" x14ac:dyDescent="0.2">
      <c r="C98" s="124" t="s">
        <v>85</v>
      </c>
      <c r="D98" s="118">
        <v>778.64659143456186</v>
      </c>
      <c r="E98" s="118">
        <v>336.47927050331481</v>
      </c>
      <c r="F98" s="119">
        <v>86.02611066840764</v>
      </c>
      <c r="G98" s="119">
        <v>37.582326897403433</v>
      </c>
      <c r="H98" s="118">
        <v>780.44566375488648</v>
      </c>
      <c r="I98" s="118">
        <v>379.37283537679224</v>
      </c>
      <c r="J98" s="119">
        <v>83.157193849178981</v>
      </c>
      <c r="K98" s="119">
        <v>40.618076592804314</v>
      </c>
      <c r="L98" s="14">
        <f t="shared" si="7"/>
        <v>2.310512034747525E-3</v>
      </c>
      <c r="M98" s="14">
        <f t="shared" si="7"/>
        <v>0.12747758519957575</v>
      </c>
      <c r="N98" s="120">
        <f t="shared" si="7"/>
        <v>-3.3349372614171258E-2</v>
      </c>
      <c r="O98" s="120">
        <f t="shared" si="7"/>
        <v>8.0775990898281025E-2</v>
      </c>
    </row>
    <row r="99" spans="3:15" ht="15" hidden="1" customHeight="1" x14ac:dyDescent="0.2">
      <c r="C99" s="124" t="s">
        <v>88</v>
      </c>
      <c r="D99" s="118">
        <v>947.38505469974405</v>
      </c>
      <c r="E99" s="118">
        <v>311.81185185185194</v>
      </c>
      <c r="F99" s="119">
        <v>93.030695599073539</v>
      </c>
      <c r="G99" s="119">
        <v>30.503333333333341</v>
      </c>
      <c r="H99" s="118">
        <v>781.46503147273859</v>
      </c>
      <c r="I99" s="118">
        <v>381.48458049886608</v>
      </c>
      <c r="J99" s="119">
        <v>74.804961710461413</v>
      </c>
      <c r="K99" s="119">
        <v>36.731665247483676</v>
      </c>
      <c r="L99" s="14">
        <f t="shared" si="7"/>
        <v>-0.17513472732540702</v>
      </c>
      <c r="M99" s="14">
        <f t="shared" si="7"/>
        <v>0.22344477361340664</v>
      </c>
      <c r="N99" s="120">
        <f t="shared" si="7"/>
        <v>-0.19591097079568254</v>
      </c>
      <c r="O99" s="120">
        <f t="shared" si="7"/>
        <v>0.20418528841056705</v>
      </c>
    </row>
    <row r="100" spans="3:15" ht="15" hidden="1" customHeight="1" x14ac:dyDescent="0.2">
      <c r="C100" s="36" t="s">
        <v>90</v>
      </c>
      <c r="D100" s="140">
        <v>626.5962040470049</v>
      </c>
      <c r="E100" s="140">
        <v>358.49496500043227</v>
      </c>
      <c r="F100" s="140">
        <v>64.633349515594702</v>
      </c>
      <c r="G100" s="140">
        <v>37.18072566228809</v>
      </c>
      <c r="H100" s="140">
        <v>643.49693516063758</v>
      </c>
      <c r="I100" s="140">
        <v>360.7571754844401</v>
      </c>
      <c r="J100" s="140">
        <v>66.032695993682154</v>
      </c>
      <c r="K100" s="140">
        <v>37.128078215142395</v>
      </c>
      <c r="L100" s="129">
        <f t="shared" si="7"/>
        <v>2.697228455020273E-2</v>
      </c>
      <c r="M100" s="129">
        <f t="shared" si="7"/>
        <v>6.3102991809245168E-3</v>
      </c>
      <c r="N100" s="129">
        <f t="shared" si="7"/>
        <v>2.165053317791954E-2</v>
      </c>
      <c r="O100" s="129">
        <f>K100/G100-1</f>
        <v>-1.41598761745243E-3</v>
      </c>
    </row>
    <row r="101" spans="3:15" ht="15" hidden="1" customHeight="1" x14ac:dyDescent="0.2">
      <c r="C101" s="124" t="s">
        <v>170</v>
      </c>
      <c r="D101" s="118">
        <v>779.55506892079177</v>
      </c>
      <c r="E101" s="118">
        <v>529.59256051318471</v>
      </c>
      <c r="F101" s="119">
        <v>86.666867261108109</v>
      </c>
      <c r="G101" s="119">
        <v>60.538067563025493</v>
      </c>
      <c r="H101" s="118">
        <v>776.57642015025658</v>
      </c>
      <c r="I101" s="118">
        <v>475.48995532925568</v>
      </c>
      <c r="J101" s="119">
        <v>72.103274905110425</v>
      </c>
      <c r="K101" s="119">
        <v>47.316875013988962</v>
      </c>
      <c r="L101" s="14">
        <f t="shared" si="7"/>
        <v>-3.8209600441169167E-3</v>
      </c>
      <c r="M101" s="14">
        <f t="shared" si="7"/>
        <v>-0.10215892219388922</v>
      </c>
      <c r="N101" s="120">
        <f t="shared" si="7"/>
        <v>-0.16804106132186369</v>
      </c>
      <c r="O101" s="120">
        <f>K101/G101-1</f>
        <v>-0.21839469083270779</v>
      </c>
    </row>
    <row r="102" spans="3:15" ht="15" hidden="1" customHeight="1" x14ac:dyDescent="0.2">
      <c r="C102" s="35" t="s">
        <v>91</v>
      </c>
      <c r="D102" s="118">
        <v>796.53333129906582</v>
      </c>
      <c r="E102" s="118">
        <v>343.61955241460561</v>
      </c>
      <c r="F102" s="119">
        <v>78.693654417498024</v>
      </c>
      <c r="G102" s="119">
        <v>33.954027001862215</v>
      </c>
      <c r="H102" s="118">
        <v>700.0937403941324</v>
      </c>
      <c r="I102" s="118">
        <v>348.7428316494254</v>
      </c>
      <c r="J102" s="119">
        <v>68.625789572231128</v>
      </c>
      <c r="K102" s="119">
        <v>34.48272113013148</v>
      </c>
      <c r="L102" s="14">
        <f t="shared" si="7"/>
        <v>-0.12107414356113655</v>
      </c>
      <c r="M102" s="14">
        <f t="shared" si="7"/>
        <v>1.4909743053963753E-2</v>
      </c>
      <c r="N102" s="120">
        <f t="shared" si="7"/>
        <v>-0.1279374419677255</v>
      </c>
      <c r="O102" s="120">
        <f>K102/G102-1</f>
        <v>1.5570881422703353E-2</v>
      </c>
    </row>
    <row r="103" spans="3:15" ht="15" hidden="1" customHeight="1" x14ac:dyDescent="0.2">
      <c r="C103" s="35" t="s">
        <v>89</v>
      </c>
      <c r="D103" s="118">
        <v>868.22093997906381</v>
      </c>
      <c r="E103" s="118">
        <v>329.92152351738241</v>
      </c>
      <c r="F103" s="119">
        <v>68.204814233014773</v>
      </c>
      <c r="G103" s="119">
        <v>25.780061521252804</v>
      </c>
      <c r="H103" s="118">
        <v>845.04074786228625</v>
      </c>
      <c r="I103" s="118">
        <v>338.26329522862784</v>
      </c>
      <c r="J103" s="119">
        <v>68.748126590157625</v>
      </c>
      <c r="K103" s="119">
        <v>27.138757077916946</v>
      </c>
      <c r="L103" s="14">
        <f t="shared" si="7"/>
        <v>-2.6698494645080229E-2</v>
      </c>
      <c r="M103" s="14">
        <f t="shared" si="7"/>
        <v>2.5284108845981201E-2</v>
      </c>
      <c r="N103" s="120">
        <f t="shared" si="7"/>
        <v>7.9658945376888113E-3</v>
      </c>
      <c r="O103" s="120">
        <f>K103/G103-1</f>
        <v>5.2703348110478609E-2</v>
      </c>
    </row>
    <row r="104" spans="3:15" ht="15" hidden="1" customHeight="1" x14ac:dyDescent="0.2">
      <c r="C104" s="35" t="s">
        <v>87</v>
      </c>
      <c r="D104" s="118">
        <v>531.87546358210409</v>
      </c>
      <c r="E104" s="118">
        <v>331.8131864668137</v>
      </c>
      <c r="F104" s="119">
        <v>52.673235108988528</v>
      </c>
      <c r="G104" s="119">
        <v>32.866339726829814</v>
      </c>
      <c r="H104" s="118">
        <v>598.18965464722066</v>
      </c>
      <c r="I104" s="118">
        <v>332.37326948269953</v>
      </c>
      <c r="J104" s="119">
        <v>59.340413741004376</v>
      </c>
      <c r="K104" s="119">
        <v>32.92043357795589</v>
      </c>
      <c r="L104" s="14">
        <f t="shared" si="7"/>
        <v>0.12467992153369911</v>
      </c>
      <c r="M104" s="14">
        <f t="shared" si="7"/>
        <v>1.6879468289059396E-3</v>
      </c>
      <c r="N104" s="120">
        <f t="shared" si="7"/>
        <v>0.12657621310368516</v>
      </c>
      <c r="O104" s="120">
        <f>K104/G104-1</f>
        <v>1.6458739115969845E-3</v>
      </c>
    </row>
    <row r="105" spans="3:15" ht="15" hidden="1" customHeight="1" x14ac:dyDescent="0.2">
      <c r="C105" s="297" t="s">
        <v>172</v>
      </c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</row>
    <row r="106" spans="3:15" hidden="1" x14ac:dyDescent="0.2"/>
    <row r="114" spans="12:12" x14ac:dyDescent="0.2">
      <c r="L114" s="105" t="s">
        <v>178</v>
      </c>
    </row>
  </sheetData>
  <mergeCells count="68">
    <mergeCell ref="C3:AU3"/>
    <mergeCell ref="D4:G4"/>
    <mergeCell ref="H4:K4"/>
    <mergeCell ref="L4:O4"/>
    <mergeCell ref="P4:S4"/>
    <mergeCell ref="T4:W4"/>
    <mergeCell ref="X4:AA4"/>
    <mergeCell ref="AB4:AE4"/>
    <mergeCell ref="AF4:AI4"/>
    <mergeCell ref="AJ4:AM4"/>
    <mergeCell ref="AR4:AU4"/>
    <mergeCell ref="D5:E5"/>
    <mergeCell ref="F5:G5"/>
    <mergeCell ref="H5:I5"/>
    <mergeCell ref="J5:K5"/>
    <mergeCell ref="L5:M5"/>
    <mergeCell ref="AN4:AQ4"/>
    <mergeCell ref="N32:O32"/>
    <mergeCell ref="AR5:AS5"/>
    <mergeCell ref="N5:O5"/>
    <mergeCell ref="P5:Q5"/>
    <mergeCell ref="R5:S5"/>
    <mergeCell ref="X5:Y5"/>
    <mergeCell ref="Z5:AA5"/>
    <mergeCell ref="AT5:AU5"/>
    <mergeCell ref="C26:AU26"/>
    <mergeCell ref="C30:O30"/>
    <mergeCell ref="D31:G31"/>
    <mergeCell ref="H31:K31"/>
    <mergeCell ref="L31:O31"/>
    <mergeCell ref="AF5:AG5"/>
    <mergeCell ref="AH5:AI5"/>
    <mergeCell ref="AJ5:AK5"/>
    <mergeCell ref="AL5:AM5"/>
    <mergeCell ref="AN5:AO5"/>
    <mergeCell ref="AP5:AQ5"/>
    <mergeCell ref="T5:U5"/>
    <mergeCell ref="V5:W5"/>
    <mergeCell ref="AB5:AC5"/>
    <mergeCell ref="AD5:AE5"/>
    <mergeCell ref="D32:E32"/>
    <mergeCell ref="F32:G32"/>
    <mergeCell ref="H32:I32"/>
    <mergeCell ref="J32:K32"/>
    <mergeCell ref="L32:M32"/>
    <mergeCell ref="C52:O52"/>
    <mergeCell ref="C57:O57"/>
    <mergeCell ref="D58:G58"/>
    <mergeCell ref="H58:K58"/>
    <mergeCell ref="L58:O58"/>
    <mergeCell ref="N59:O59"/>
    <mergeCell ref="C79:O79"/>
    <mergeCell ref="C83:O83"/>
    <mergeCell ref="D84:G84"/>
    <mergeCell ref="H84:K84"/>
    <mergeCell ref="L84:O84"/>
    <mergeCell ref="D59:E59"/>
    <mergeCell ref="F59:G59"/>
    <mergeCell ref="H59:I59"/>
    <mergeCell ref="J59:K59"/>
    <mergeCell ref="L59:M59"/>
    <mergeCell ref="C105:O105"/>
    <mergeCell ref="D85:E85"/>
    <mergeCell ref="F85:G85"/>
    <mergeCell ref="H85:I85"/>
    <mergeCell ref="J85:K85"/>
    <mergeCell ref="L85:M85"/>
    <mergeCell ref="N85:O8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5" fitToWidth="2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47"/>
  <sheetViews>
    <sheetView showGridLines="0" topLeftCell="A34" zoomScaleNormal="100" workbookViewId="0">
      <selection activeCell="L59" sqref="L59"/>
    </sheetView>
  </sheetViews>
  <sheetFormatPr baseColWidth="10" defaultRowHeight="12.75" x14ac:dyDescent="0.2"/>
  <cols>
    <col min="3" max="3" width="33.140625" customWidth="1"/>
    <col min="4" max="6" width="7.7109375" customWidth="1"/>
    <col min="7" max="7" width="9" customWidth="1"/>
    <col min="8" max="9" width="7.7109375" customWidth="1"/>
    <col min="10" max="13" width="7.7109375" hidden="1" customWidth="1"/>
    <col min="14" max="14" width="7.7109375" customWidth="1"/>
    <col min="15" max="15" width="9.7109375" hidden="1" customWidth="1"/>
    <col min="16" max="16" width="8.85546875" hidden="1" customWidth="1"/>
    <col min="17" max="17" width="8.85546875" customWidth="1"/>
    <col min="18" max="18" width="10.140625" customWidth="1"/>
    <col min="19" max="25" width="8.5703125" customWidth="1"/>
    <col min="26" max="37" width="8.42578125" customWidth="1"/>
    <col min="38" max="46" width="8.5703125" customWidth="1"/>
    <col min="254" max="254" width="34.85546875" bestFit="1" customWidth="1"/>
    <col min="255" max="255" width="10.42578125" customWidth="1"/>
    <col min="256" max="258" width="10.7109375" customWidth="1"/>
    <col min="259" max="266" width="8.7109375" customWidth="1"/>
    <col min="267" max="281" width="8.5703125" customWidth="1"/>
    <col min="282" max="293" width="8.42578125" customWidth="1"/>
    <col min="294" max="302" width="8.5703125" customWidth="1"/>
    <col min="510" max="510" width="34.85546875" bestFit="1" customWidth="1"/>
    <col min="511" max="511" width="10.42578125" customWidth="1"/>
    <col min="512" max="514" width="10.7109375" customWidth="1"/>
    <col min="515" max="522" width="8.7109375" customWidth="1"/>
    <col min="523" max="537" width="8.5703125" customWidth="1"/>
    <col min="538" max="549" width="8.42578125" customWidth="1"/>
    <col min="550" max="558" width="8.5703125" customWidth="1"/>
    <col min="766" max="766" width="34.85546875" bestFit="1" customWidth="1"/>
    <col min="767" max="767" width="10.42578125" customWidth="1"/>
    <col min="768" max="770" width="10.7109375" customWidth="1"/>
    <col min="771" max="778" width="8.7109375" customWidth="1"/>
    <col min="779" max="793" width="8.5703125" customWidth="1"/>
    <col min="794" max="805" width="8.42578125" customWidth="1"/>
    <col min="806" max="814" width="8.5703125" customWidth="1"/>
    <col min="1022" max="1022" width="34.85546875" bestFit="1" customWidth="1"/>
    <col min="1023" max="1023" width="10.42578125" customWidth="1"/>
    <col min="1024" max="1026" width="10.7109375" customWidth="1"/>
    <col min="1027" max="1034" width="8.7109375" customWidth="1"/>
    <col min="1035" max="1049" width="8.5703125" customWidth="1"/>
    <col min="1050" max="1061" width="8.42578125" customWidth="1"/>
    <col min="1062" max="1070" width="8.5703125" customWidth="1"/>
    <col min="1278" max="1278" width="34.85546875" bestFit="1" customWidth="1"/>
    <col min="1279" max="1279" width="10.42578125" customWidth="1"/>
    <col min="1280" max="1282" width="10.7109375" customWidth="1"/>
    <col min="1283" max="1290" width="8.7109375" customWidth="1"/>
    <col min="1291" max="1305" width="8.5703125" customWidth="1"/>
    <col min="1306" max="1317" width="8.42578125" customWidth="1"/>
    <col min="1318" max="1326" width="8.5703125" customWidth="1"/>
    <col min="1534" max="1534" width="34.85546875" bestFit="1" customWidth="1"/>
    <col min="1535" max="1535" width="10.42578125" customWidth="1"/>
    <col min="1536" max="1538" width="10.7109375" customWidth="1"/>
    <col min="1539" max="1546" width="8.7109375" customWidth="1"/>
    <col min="1547" max="1561" width="8.5703125" customWidth="1"/>
    <col min="1562" max="1573" width="8.42578125" customWidth="1"/>
    <col min="1574" max="1582" width="8.5703125" customWidth="1"/>
    <col min="1790" max="1790" width="34.85546875" bestFit="1" customWidth="1"/>
    <col min="1791" max="1791" width="10.42578125" customWidth="1"/>
    <col min="1792" max="1794" width="10.7109375" customWidth="1"/>
    <col min="1795" max="1802" width="8.7109375" customWidth="1"/>
    <col min="1803" max="1817" width="8.5703125" customWidth="1"/>
    <col min="1818" max="1829" width="8.42578125" customWidth="1"/>
    <col min="1830" max="1838" width="8.5703125" customWidth="1"/>
    <col min="2046" max="2046" width="34.85546875" bestFit="1" customWidth="1"/>
    <col min="2047" max="2047" width="10.42578125" customWidth="1"/>
    <col min="2048" max="2050" width="10.7109375" customWidth="1"/>
    <col min="2051" max="2058" width="8.7109375" customWidth="1"/>
    <col min="2059" max="2073" width="8.5703125" customWidth="1"/>
    <col min="2074" max="2085" width="8.42578125" customWidth="1"/>
    <col min="2086" max="2094" width="8.5703125" customWidth="1"/>
    <col min="2302" max="2302" width="34.85546875" bestFit="1" customWidth="1"/>
    <col min="2303" max="2303" width="10.42578125" customWidth="1"/>
    <col min="2304" max="2306" width="10.7109375" customWidth="1"/>
    <col min="2307" max="2314" width="8.7109375" customWidth="1"/>
    <col min="2315" max="2329" width="8.5703125" customWidth="1"/>
    <col min="2330" max="2341" width="8.42578125" customWidth="1"/>
    <col min="2342" max="2350" width="8.5703125" customWidth="1"/>
    <col min="2558" max="2558" width="34.85546875" bestFit="1" customWidth="1"/>
    <col min="2559" max="2559" width="10.42578125" customWidth="1"/>
    <col min="2560" max="2562" width="10.7109375" customWidth="1"/>
    <col min="2563" max="2570" width="8.7109375" customWidth="1"/>
    <col min="2571" max="2585" width="8.5703125" customWidth="1"/>
    <col min="2586" max="2597" width="8.42578125" customWidth="1"/>
    <col min="2598" max="2606" width="8.5703125" customWidth="1"/>
    <col min="2814" max="2814" width="34.85546875" bestFit="1" customWidth="1"/>
    <col min="2815" max="2815" width="10.42578125" customWidth="1"/>
    <col min="2816" max="2818" width="10.7109375" customWidth="1"/>
    <col min="2819" max="2826" width="8.7109375" customWidth="1"/>
    <col min="2827" max="2841" width="8.5703125" customWidth="1"/>
    <col min="2842" max="2853" width="8.42578125" customWidth="1"/>
    <col min="2854" max="2862" width="8.5703125" customWidth="1"/>
    <col min="3070" max="3070" width="34.85546875" bestFit="1" customWidth="1"/>
    <col min="3071" max="3071" width="10.42578125" customWidth="1"/>
    <col min="3072" max="3074" width="10.7109375" customWidth="1"/>
    <col min="3075" max="3082" width="8.7109375" customWidth="1"/>
    <col min="3083" max="3097" width="8.5703125" customWidth="1"/>
    <col min="3098" max="3109" width="8.42578125" customWidth="1"/>
    <col min="3110" max="3118" width="8.5703125" customWidth="1"/>
    <col min="3326" max="3326" width="34.85546875" bestFit="1" customWidth="1"/>
    <col min="3327" max="3327" width="10.42578125" customWidth="1"/>
    <col min="3328" max="3330" width="10.7109375" customWidth="1"/>
    <col min="3331" max="3338" width="8.7109375" customWidth="1"/>
    <col min="3339" max="3353" width="8.5703125" customWidth="1"/>
    <col min="3354" max="3365" width="8.42578125" customWidth="1"/>
    <col min="3366" max="3374" width="8.5703125" customWidth="1"/>
    <col min="3582" max="3582" width="34.85546875" bestFit="1" customWidth="1"/>
    <col min="3583" max="3583" width="10.42578125" customWidth="1"/>
    <col min="3584" max="3586" width="10.7109375" customWidth="1"/>
    <col min="3587" max="3594" width="8.7109375" customWidth="1"/>
    <col min="3595" max="3609" width="8.5703125" customWidth="1"/>
    <col min="3610" max="3621" width="8.42578125" customWidth="1"/>
    <col min="3622" max="3630" width="8.5703125" customWidth="1"/>
    <col min="3838" max="3838" width="34.85546875" bestFit="1" customWidth="1"/>
    <col min="3839" max="3839" width="10.42578125" customWidth="1"/>
    <col min="3840" max="3842" width="10.7109375" customWidth="1"/>
    <col min="3843" max="3850" width="8.7109375" customWidth="1"/>
    <col min="3851" max="3865" width="8.5703125" customWidth="1"/>
    <col min="3866" max="3877" width="8.42578125" customWidth="1"/>
    <col min="3878" max="3886" width="8.5703125" customWidth="1"/>
    <col min="4094" max="4094" width="34.85546875" bestFit="1" customWidth="1"/>
    <col min="4095" max="4095" width="10.42578125" customWidth="1"/>
    <col min="4096" max="4098" width="10.7109375" customWidth="1"/>
    <col min="4099" max="4106" width="8.7109375" customWidth="1"/>
    <col min="4107" max="4121" width="8.5703125" customWidth="1"/>
    <col min="4122" max="4133" width="8.42578125" customWidth="1"/>
    <col min="4134" max="4142" width="8.5703125" customWidth="1"/>
    <col min="4350" max="4350" width="34.85546875" bestFit="1" customWidth="1"/>
    <col min="4351" max="4351" width="10.42578125" customWidth="1"/>
    <col min="4352" max="4354" width="10.7109375" customWidth="1"/>
    <col min="4355" max="4362" width="8.7109375" customWidth="1"/>
    <col min="4363" max="4377" width="8.5703125" customWidth="1"/>
    <col min="4378" max="4389" width="8.42578125" customWidth="1"/>
    <col min="4390" max="4398" width="8.5703125" customWidth="1"/>
    <col min="4606" max="4606" width="34.85546875" bestFit="1" customWidth="1"/>
    <col min="4607" max="4607" width="10.42578125" customWidth="1"/>
    <col min="4608" max="4610" width="10.7109375" customWidth="1"/>
    <col min="4611" max="4618" width="8.7109375" customWidth="1"/>
    <col min="4619" max="4633" width="8.5703125" customWidth="1"/>
    <col min="4634" max="4645" width="8.42578125" customWidth="1"/>
    <col min="4646" max="4654" width="8.5703125" customWidth="1"/>
    <col min="4862" max="4862" width="34.85546875" bestFit="1" customWidth="1"/>
    <col min="4863" max="4863" width="10.42578125" customWidth="1"/>
    <col min="4864" max="4866" width="10.7109375" customWidth="1"/>
    <col min="4867" max="4874" width="8.7109375" customWidth="1"/>
    <col min="4875" max="4889" width="8.5703125" customWidth="1"/>
    <col min="4890" max="4901" width="8.42578125" customWidth="1"/>
    <col min="4902" max="4910" width="8.5703125" customWidth="1"/>
    <col min="5118" max="5118" width="34.85546875" bestFit="1" customWidth="1"/>
    <col min="5119" max="5119" width="10.42578125" customWidth="1"/>
    <col min="5120" max="5122" width="10.7109375" customWidth="1"/>
    <col min="5123" max="5130" width="8.7109375" customWidth="1"/>
    <col min="5131" max="5145" width="8.5703125" customWidth="1"/>
    <col min="5146" max="5157" width="8.42578125" customWidth="1"/>
    <col min="5158" max="5166" width="8.5703125" customWidth="1"/>
    <col min="5374" max="5374" width="34.85546875" bestFit="1" customWidth="1"/>
    <col min="5375" max="5375" width="10.42578125" customWidth="1"/>
    <col min="5376" max="5378" width="10.7109375" customWidth="1"/>
    <col min="5379" max="5386" width="8.7109375" customWidth="1"/>
    <col min="5387" max="5401" width="8.5703125" customWidth="1"/>
    <col min="5402" max="5413" width="8.42578125" customWidth="1"/>
    <col min="5414" max="5422" width="8.5703125" customWidth="1"/>
    <col min="5630" max="5630" width="34.85546875" bestFit="1" customWidth="1"/>
    <col min="5631" max="5631" width="10.42578125" customWidth="1"/>
    <col min="5632" max="5634" width="10.7109375" customWidth="1"/>
    <col min="5635" max="5642" width="8.7109375" customWidth="1"/>
    <col min="5643" max="5657" width="8.5703125" customWidth="1"/>
    <col min="5658" max="5669" width="8.42578125" customWidth="1"/>
    <col min="5670" max="5678" width="8.5703125" customWidth="1"/>
    <col min="5886" max="5886" width="34.85546875" bestFit="1" customWidth="1"/>
    <col min="5887" max="5887" width="10.42578125" customWidth="1"/>
    <col min="5888" max="5890" width="10.7109375" customWidth="1"/>
    <col min="5891" max="5898" width="8.7109375" customWidth="1"/>
    <col min="5899" max="5913" width="8.5703125" customWidth="1"/>
    <col min="5914" max="5925" width="8.42578125" customWidth="1"/>
    <col min="5926" max="5934" width="8.5703125" customWidth="1"/>
    <col min="6142" max="6142" width="34.85546875" bestFit="1" customWidth="1"/>
    <col min="6143" max="6143" width="10.42578125" customWidth="1"/>
    <col min="6144" max="6146" width="10.7109375" customWidth="1"/>
    <col min="6147" max="6154" width="8.7109375" customWidth="1"/>
    <col min="6155" max="6169" width="8.5703125" customWidth="1"/>
    <col min="6170" max="6181" width="8.42578125" customWidth="1"/>
    <col min="6182" max="6190" width="8.5703125" customWidth="1"/>
    <col min="6398" max="6398" width="34.85546875" bestFit="1" customWidth="1"/>
    <col min="6399" max="6399" width="10.42578125" customWidth="1"/>
    <col min="6400" max="6402" width="10.7109375" customWidth="1"/>
    <col min="6403" max="6410" width="8.7109375" customWidth="1"/>
    <col min="6411" max="6425" width="8.5703125" customWidth="1"/>
    <col min="6426" max="6437" width="8.42578125" customWidth="1"/>
    <col min="6438" max="6446" width="8.5703125" customWidth="1"/>
    <col min="6654" max="6654" width="34.85546875" bestFit="1" customWidth="1"/>
    <col min="6655" max="6655" width="10.42578125" customWidth="1"/>
    <col min="6656" max="6658" width="10.7109375" customWidth="1"/>
    <col min="6659" max="6666" width="8.7109375" customWidth="1"/>
    <col min="6667" max="6681" width="8.5703125" customWidth="1"/>
    <col min="6682" max="6693" width="8.42578125" customWidth="1"/>
    <col min="6694" max="6702" width="8.5703125" customWidth="1"/>
    <col min="6910" max="6910" width="34.85546875" bestFit="1" customWidth="1"/>
    <col min="6911" max="6911" width="10.42578125" customWidth="1"/>
    <col min="6912" max="6914" width="10.7109375" customWidth="1"/>
    <col min="6915" max="6922" width="8.7109375" customWidth="1"/>
    <col min="6923" max="6937" width="8.5703125" customWidth="1"/>
    <col min="6938" max="6949" width="8.42578125" customWidth="1"/>
    <col min="6950" max="6958" width="8.5703125" customWidth="1"/>
    <col min="7166" max="7166" width="34.85546875" bestFit="1" customWidth="1"/>
    <col min="7167" max="7167" width="10.42578125" customWidth="1"/>
    <col min="7168" max="7170" width="10.7109375" customWidth="1"/>
    <col min="7171" max="7178" width="8.7109375" customWidth="1"/>
    <col min="7179" max="7193" width="8.5703125" customWidth="1"/>
    <col min="7194" max="7205" width="8.42578125" customWidth="1"/>
    <col min="7206" max="7214" width="8.5703125" customWidth="1"/>
    <col min="7422" max="7422" width="34.85546875" bestFit="1" customWidth="1"/>
    <col min="7423" max="7423" width="10.42578125" customWidth="1"/>
    <col min="7424" max="7426" width="10.7109375" customWidth="1"/>
    <col min="7427" max="7434" width="8.7109375" customWidth="1"/>
    <col min="7435" max="7449" width="8.5703125" customWidth="1"/>
    <col min="7450" max="7461" width="8.42578125" customWidth="1"/>
    <col min="7462" max="7470" width="8.5703125" customWidth="1"/>
    <col min="7678" max="7678" width="34.85546875" bestFit="1" customWidth="1"/>
    <col min="7679" max="7679" width="10.42578125" customWidth="1"/>
    <col min="7680" max="7682" width="10.7109375" customWidth="1"/>
    <col min="7683" max="7690" width="8.7109375" customWidth="1"/>
    <col min="7691" max="7705" width="8.5703125" customWidth="1"/>
    <col min="7706" max="7717" width="8.42578125" customWidth="1"/>
    <col min="7718" max="7726" width="8.5703125" customWidth="1"/>
    <col min="7934" max="7934" width="34.85546875" bestFit="1" customWidth="1"/>
    <col min="7935" max="7935" width="10.42578125" customWidth="1"/>
    <col min="7936" max="7938" width="10.7109375" customWidth="1"/>
    <col min="7939" max="7946" width="8.7109375" customWidth="1"/>
    <col min="7947" max="7961" width="8.5703125" customWidth="1"/>
    <col min="7962" max="7973" width="8.42578125" customWidth="1"/>
    <col min="7974" max="7982" width="8.5703125" customWidth="1"/>
    <col min="8190" max="8190" width="34.85546875" bestFit="1" customWidth="1"/>
    <col min="8191" max="8191" width="10.42578125" customWidth="1"/>
    <col min="8192" max="8194" width="10.7109375" customWidth="1"/>
    <col min="8195" max="8202" width="8.7109375" customWidth="1"/>
    <col min="8203" max="8217" width="8.5703125" customWidth="1"/>
    <col min="8218" max="8229" width="8.42578125" customWidth="1"/>
    <col min="8230" max="8238" width="8.5703125" customWidth="1"/>
    <col min="8446" max="8446" width="34.85546875" bestFit="1" customWidth="1"/>
    <col min="8447" max="8447" width="10.42578125" customWidth="1"/>
    <col min="8448" max="8450" width="10.7109375" customWidth="1"/>
    <col min="8451" max="8458" width="8.7109375" customWidth="1"/>
    <col min="8459" max="8473" width="8.5703125" customWidth="1"/>
    <col min="8474" max="8485" width="8.42578125" customWidth="1"/>
    <col min="8486" max="8494" width="8.5703125" customWidth="1"/>
    <col min="8702" max="8702" width="34.85546875" bestFit="1" customWidth="1"/>
    <col min="8703" max="8703" width="10.42578125" customWidth="1"/>
    <col min="8704" max="8706" width="10.7109375" customWidth="1"/>
    <col min="8707" max="8714" width="8.7109375" customWidth="1"/>
    <col min="8715" max="8729" width="8.5703125" customWidth="1"/>
    <col min="8730" max="8741" width="8.42578125" customWidth="1"/>
    <col min="8742" max="8750" width="8.5703125" customWidth="1"/>
    <col min="8958" max="8958" width="34.85546875" bestFit="1" customWidth="1"/>
    <col min="8959" max="8959" width="10.42578125" customWidth="1"/>
    <col min="8960" max="8962" width="10.7109375" customWidth="1"/>
    <col min="8963" max="8970" width="8.7109375" customWidth="1"/>
    <col min="8971" max="8985" width="8.5703125" customWidth="1"/>
    <col min="8986" max="8997" width="8.42578125" customWidth="1"/>
    <col min="8998" max="9006" width="8.5703125" customWidth="1"/>
    <col min="9214" max="9214" width="34.85546875" bestFit="1" customWidth="1"/>
    <col min="9215" max="9215" width="10.42578125" customWidth="1"/>
    <col min="9216" max="9218" width="10.7109375" customWidth="1"/>
    <col min="9219" max="9226" width="8.7109375" customWidth="1"/>
    <col min="9227" max="9241" width="8.5703125" customWidth="1"/>
    <col min="9242" max="9253" width="8.42578125" customWidth="1"/>
    <col min="9254" max="9262" width="8.5703125" customWidth="1"/>
    <col min="9470" max="9470" width="34.85546875" bestFit="1" customWidth="1"/>
    <col min="9471" max="9471" width="10.42578125" customWidth="1"/>
    <col min="9472" max="9474" width="10.7109375" customWidth="1"/>
    <col min="9475" max="9482" width="8.7109375" customWidth="1"/>
    <col min="9483" max="9497" width="8.5703125" customWidth="1"/>
    <col min="9498" max="9509" width="8.42578125" customWidth="1"/>
    <col min="9510" max="9518" width="8.5703125" customWidth="1"/>
    <col min="9726" max="9726" width="34.85546875" bestFit="1" customWidth="1"/>
    <col min="9727" max="9727" width="10.42578125" customWidth="1"/>
    <col min="9728" max="9730" width="10.7109375" customWidth="1"/>
    <col min="9731" max="9738" width="8.7109375" customWidth="1"/>
    <col min="9739" max="9753" width="8.5703125" customWidth="1"/>
    <col min="9754" max="9765" width="8.42578125" customWidth="1"/>
    <col min="9766" max="9774" width="8.5703125" customWidth="1"/>
    <col min="9982" max="9982" width="34.85546875" bestFit="1" customWidth="1"/>
    <col min="9983" max="9983" width="10.42578125" customWidth="1"/>
    <col min="9984" max="9986" width="10.7109375" customWidth="1"/>
    <col min="9987" max="9994" width="8.7109375" customWidth="1"/>
    <col min="9995" max="10009" width="8.5703125" customWidth="1"/>
    <col min="10010" max="10021" width="8.42578125" customWidth="1"/>
    <col min="10022" max="10030" width="8.5703125" customWidth="1"/>
    <col min="10238" max="10238" width="34.85546875" bestFit="1" customWidth="1"/>
    <col min="10239" max="10239" width="10.42578125" customWidth="1"/>
    <col min="10240" max="10242" width="10.7109375" customWidth="1"/>
    <col min="10243" max="10250" width="8.7109375" customWidth="1"/>
    <col min="10251" max="10265" width="8.5703125" customWidth="1"/>
    <col min="10266" max="10277" width="8.42578125" customWidth="1"/>
    <col min="10278" max="10286" width="8.5703125" customWidth="1"/>
    <col min="10494" max="10494" width="34.85546875" bestFit="1" customWidth="1"/>
    <col min="10495" max="10495" width="10.42578125" customWidth="1"/>
    <col min="10496" max="10498" width="10.7109375" customWidth="1"/>
    <col min="10499" max="10506" width="8.7109375" customWidth="1"/>
    <col min="10507" max="10521" width="8.5703125" customWidth="1"/>
    <col min="10522" max="10533" width="8.42578125" customWidth="1"/>
    <col min="10534" max="10542" width="8.5703125" customWidth="1"/>
    <col min="10750" max="10750" width="34.85546875" bestFit="1" customWidth="1"/>
    <col min="10751" max="10751" width="10.42578125" customWidth="1"/>
    <col min="10752" max="10754" width="10.7109375" customWidth="1"/>
    <col min="10755" max="10762" width="8.7109375" customWidth="1"/>
    <col min="10763" max="10777" width="8.5703125" customWidth="1"/>
    <col min="10778" max="10789" width="8.42578125" customWidth="1"/>
    <col min="10790" max="10798" width="8.5703125" customWidth="1"/>
    <col min="11006" max="11006" width="34.85546875" bestFit="1" customWidth="1"/>
    <col min="11007" max="11007" width="10.42578125" customWidth="1"/>
    <col min="11008" max="11010" width="10.7109375" customWidth="1"/>
    <col min="11011" max="11018" width="8.7109375" customWidth="1"/>
    <col min="11019" max="11033" width="8.5703125" customWidth="1"/>
    <col min="11034" max="11045" width="8.42578125" customWidth="1"/>
    <col min="11046" max="11054" width="8.5703125" customWidth="1"/>
    <col min="11262" max="11262" width="34.85546875" bestFit="1" customWidth="1"/>
    <col min="11263" max="11263" width="10.42578125" customWidth="1"/>
    <col min="11264" max="11266" width="10.7109375" customWidth="1"/>
    <col min="11267" max="11274" width="8.7109375" customWidth="1"/>
    <col min="11275" max="11289" width="8.5703125" customWidth="1"/>
    <col min="11290" max="11301" width="8.42578125" customWidth="1"/>
    <col min="11302" max="11310" width="8.5703125" customWidth="1"/>
    <col min="11518" max="11518" width="34.85546875" bestFit="1" customWidth="1"/>
    <col min="11519" max="11519" width="10.42578125" customWidth="1"/>
    <col min="11520" max="11522" width="10.7109375" customWidth="1"/>
    <col min="11523" max="11530" width="8.7109375" customWidth="1"/>
    <col min="11531" max="11545" width="8.5703125" customWidth="1"/>
    <col min="11546" max="11557" width="8.42578125" customWidth="1"/>
    <col min="11558" max="11566" width="8.5703125" customWidth="1"/>
    <col min="11774" max="11774" width="34.85546875" bestFit="1" customWidth="1"/>
    <col min="11775" max="11775" width="10.42578125" customWidth="1"/>
    <col min="11776" max="11778" width="10.7109375" customWidth="1"/>
    <col min="11779" max="11786" width="8.7109375" customWidth="1"/>
    <col min="11787" max="11801" width="8.5703125" customWidth="1"/>
    <col min="11802" max="11813" width="8.42578125" customWidth="1"/>
    <col min="11814" max="11822" width="8.5703125" customWidth="1"/>
    <col min="12030" max="12030" width="34.85546875" bestFit="1" customWidth="1"/>
    <col min="12031" max="12031" width="10.42578125" customWidth="1"/>
    <col min="12032" max="12034" width="10.7109375" customWidth="1"/>
    <col min="12035" max="12042" width="8.7109375" customWidth="1"/>
    <col min="12043" max="12057" width="8.5703125" customWidth="1"/>
    <col min="12058" max="12069" width="8.42578125" customWidth="1"/>
    <col min="12070" max="12078" width="8.5703125" customWidth="1"/>
    <col min="12286" max="12286" width="34.85546875" bestFit="1" customWidth="1"/>
    <col min="12287" max="12287" width="10.42578125" customWidth="1"/>
    <col min="12288" max="12290" width="10.7109375" customWidth="1"/>
    <col min="12291" max="12298" width="8.7109375" customWidth="1"/>
    <col min="12299" max="12313" width="8.5703125" customWidth="1"/>
    <col min="12314" max="12325" width="8.42578125" customWidth="1"/>
    <col min="12326" max="12334" width="8.5703125" customWidth="1"/>
    <col min="12542" max="12542" width="34.85546875" bestFit="1" customWidth="1"/>
    <col min="12543" max="12543" width="10.42578125" customWidth="1"/>
    <col min="12544" max="12546" width="10.7109375" customWidth="1"/>
    <col min="12547" max="12554" width="8.7109375" customWidth="1"/>
    <col min="12555" max="12569" width="8.5703125" customWidth="1"/>
    <col min="12570" max="12581" width="8.42578125" customWidth="1"/>
    <col min="12582" max="12590" width="8.5703125" customWidth="1"/>
    <col min="12798" max="12798" width="34.85546875" bestFit="1" customWidth="1"/>
    <col min="12799" max="12799" width="10.42578125" customWidth="1"/>
    <col min="12800" max="12802" width="10.7109375" customWidth="1"/>
    <col min="12803" max="12810" width="8.7109375" customWidth="1"/>
    <col min="12811" max="12825" width="8.5703125" customWidth="1"/>
    <col min="12826" max="12837" width="8.42578125" customWidth="1"/>
    <col min="12838" max="12846" width="8.5703125" customWidth="1"/>
    <col min="13054" max="13054" width="34.85546875" bestFit="1" customWidth="1"/>
    <col min="13055" max="13055" width="10.42578125" customWidth="1"/>
    <col min="13056" max="13058" width="10.7109375" customWidth="1"/>
    <col min="13059" max="13066" width="8.7109375" customWidth="1"/>
    <col min="13067" max="13081" width="8.5703125" customWidth="1"/>
    <col min="13082" max="13093" width="8.42578125" customWidth="1"/>
    <col min="13094" max="13102" width="8.5703125" customWidth="1"/>
    <col min="13310" max="13310" width="34.85546875" bestFit="1" customWidth="1"/>
    <col min="13311" max="13311" width="10.42578125" customWidth="1"/>
    <col min="13312" max="13314" width="10.7109375" customWidth="1"/>
    <col min="13315" max="13322" width="8.7109375" customWidth="1"/>
    <col min="13323" max="13337" width="8.5703125" customWidth="1"/>
    <col min="13338" max="13349" width="8.42578125" customWidth="1"/>
    <col min="13350" max="13358" width="8.5703125" customWidth="1"/>
    <col min="13566" max="13566" width="34.85546875" bestFit="1" customWidth="1"/>
    <col min="13567" max="13567" width="10.42578125" customWidth="1"/>
    <col min="13568" max="13570" width="10.7109375" customWidth="1"/>
    <col min="13571" max="13578" width="8.7109375" customWidth="1"/>
    <col min="13579" max="13593" width="8.5703125" customWidth="1"/>
    <col min="13594" max="13605" width="8.42578125" customWidth="1"/>
    <col min="13606" max="13614" width="8.5703125" customWidth="1"/>
    <col min="13822" max="13822" width="34.85546875" bestFit="1" customWidth="1"/>
    <col min="13823" max="13823" width="10.42578125" customWidth="1"/>
    <col min="13824" max="13826" width="10.7109375" customWidth="1"/>
    <col min="13827" max="13834" width="8.7109375" customWidth="1"/>
    <col min="13835" max="13849" width="8.5703125" customWidth="1"/>
    <col min="13850" max="13861" width="8.42578125" customWidth="1"/>
    <col min="13862" max="13870" width="8.5703125" customWidth="1"/>
    <col min="14078" max="14078" width="34.85546875" bestFit="1" customWidth="1"/>
    <col min="14079" max="14079" width="10.42578125" customWidth="1"/>
    <col min="14080" max="14082" width="10.7109375" customWidth="1"/>
    <col min="14083" max="14090" width="8.7109375" customWidth="1"/>
    <col min="14091" max="14105" width="8.5703125" customWidth="1"/>
    <col min="14106" max="14117" width="8.42578125" customWidth="1"/>
    <col min="14118" max="14126" width="8.5703125" customWidth="1"/>
    <col min="14334" max="14334" width="34.85546875" bestFit="1" customWidth="1"/>
    <col min="14335" max="14335" width="10.42578125" customWidth="1"/>
    <col min="14336" max="14338" width="10.7109375" customWidth="1"/>
    <col min="14339" max="14346" width="8.7109375" customWidth="1"/>
    <col min="14347" max="14361" width="8.5703125" customWidth="1"/>
    <col min="14362" max="14373" width="8.42578125" customWidth="1"/>
    <col min="14374" max="14382" width="8.5703125" customWidth="1"/>
    <col min="14590" max="14590" width="34.85546875" bestFit="1" customWidth="1"/>
    <col min="14591" max="14591" width="10.42578125" customWidth="1"/>
    <col min="14592" max="14594" width="10.7109375" customWidth="1"/>
    <col min="14595" max="14602" width="8.7109375" customWidth="1"/>
    <col min="14603" max="14617" width="8.5703125" customWidth="1"/>
    <col min="14618" max="14629" width="8.42578125" customWidth="1"/>
    <col min="14630" max="14638" width="8.5703125" customWidth="1"/>
    <col min="14846" max="14846" width="34.85546875" bestFit="1" customWidth="1"/>
    <col min="14847" max="14847" width="10.42578125" customWidth="1"/>
    <col min="14848" max="14850" width="10.7109375" customWidth="1"/>
    <col min="14851" max="14858" width="8.7109375" customWidth="1"/>
    <col min="14859" max="14873" width="8.5703125" customWidth="1"/>
    <col min="14874" max="14885" width="8.42578125" customWidth="1"/>
    <col min="14886" max="14894" width="8.5703125" customWidth="1"/>
    <col min="15102" max="15102" width="34.85546875" bestFit="1" customWidth="1"/>
    <col min="15103" max="15103" width="10.42578125" customWidth="1"/>
    <col min="15104" max="15106" width="10.7109375" customWidth="1"/>
    <col min="15107" max="15114" width="8.7109375" customWidth="1"/>
    <col min="15115" max="15129" width="8.5703125" customWidth="1"/>
    <col min="15130" max="15141" width="8.42578125" customWidth="1"/>
    <col min="15142" max="15150" width="8.5703125" customWidth="1"/>
    <col min="15358" max="15358" width="34.85546875" bestFit="1" customWidth="1"/>
    <col min="15359" max="15359" width="10.42578125" customWidth="1"/>
    <col min="15360" max="15362" width="10.7109375" customWidth="1"/>
    <col min="15363" max="15370" width="8.7109375" customWidth="1"/>
    <col min="15371" max="15385" width="8.5703125" customWidth="1"/>
    <col min="15386" max="15397" width="8.42578125" customWidth="1"/>
    <col min="15398" max="15406" width="8.5703125" customWidth="1"/>
    <col min="15614" max="15614" width="34.85546875" bestFit="1" customWidth="1"/>
    <col min="15615" max="15615" width="10.42578125" customWidth="1"/>
    <col min="15616" max="15618" width="10.7109375" customWidth="1"/>
    <col min="15619" max="15626" width="8.7109375" customWidth="1"/>
    <col min="15627" max="15641" width="8.5703125" customWidth="1"/>
    <col min="15642" max="15653" width="8.42578125" customWidth="1"/>
    <col min="15654" max="15662" width="8.5703125" customWidth="1"/>
    <col min="15870" max="15870" width="34.85546875" bestFit="1" customWidth="1"/>
    <col min="15871" max="15871" width="10.42578125" customWidth="1"/>
    <col min="15872" max="15874" width="10.7109375" customWidth="1"/>
    <col min="15875" max="15882" width="8.7109375" customWidth="1"/>
    <col min="15883" max="15897" width="8.5703125" customWidth="1"/>
    <col min="15898" max="15909" width="8.42578125" customWidth="1"/>
    <col min="15910" max="15918" width="8.5703125" customWidth="1"/>
    <col min="16126" max="16126" width="34.85546875" bestFit="1" customWidth="1"/>
    <col min="16127" max="16127" width="10.42578125" customWidth="1"/>
    <col min="16128" max="16130" width="10.7109375" customWidth="1"/>
    <col min="16131" max="16138" width="8.7109375" customWidth="1"/>
    <col min="16139" max="16153" width="8.5703125" customWidth="1"/>
    <col min="16154" max="16165" width="8.42578125" customWidth="1"/>
    <col min="16166" max="16174" width="8.5703125" customWidth="1"/>
  </cols>
  <sheetData>
    <row r="2" spans="3:17" ht="29.25" customHeight="1" x14ac:dyDescent="0.2"/>
    <row r="3" spans="3:17" ht="24.95" customHeight="1" x14ac:dyDescent="0.2">
      <c r="C3" s="305" t="s">
        <v>179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3:17" ht="16.5" customHeight="1" x14ac:dyDescent="0.2">
      <c r="C4" s="109"/>
      <c r="D4" s="306" t="s">
        <v>180</v>
      </c>
      <c r="E4" s="306"/>
      <c r="F4" s="306"/>
      <c r="G4" s="306"/>
      <c r="H4" s="306"/>
      <c r="I4" s="141"/>
      <c r="J4" s="142"/>
      <c r="K4" s="142"/>
      <c r="L4" s="142"/>
      <c r="M4" s="142"/>
      <c r="N4" s="142"/>
      <c r="O4" s="307" t="s">
        <v>181</v>
      </c>
      <c r="P4" s="307" t="s">
        <v>182</v>
      </c>
      <c r="Q4" s="307" t="s">
        <v>183</v>
      </c>
    </row>
    <row r="5" spans="3:17" ht="25.5" x14ac:dyDescent="0.2">
      <c r="C5" s="109"/>
      <c r="D5" s="10">
        <v>2007</v>
      </c>
      <c r="E5" s="10">
        <v>2008</v>
      </c>
      <c r="F5" s="10">
        <v>2009</v>
      </c>
      <c r="G5" s="10">
        <v>2010</v>
      </c>
      <c r="H5" s="10">
        <v>2011</v>
      </c>
      <c r="I5" s="10">
        <v>2012</v>
      </c>
      <c r="J5" s="11" t="s">
        <v>58</v>
      </c>
      <c r="K5" s="11" t="s">
        <v>59</v>
      </c>
      <c r="L5" s="11" t="s">
        <v>60</v>
      </c>
      <c r="M5" s="11" t="s">
        <v>61</v>
      </c>
      <c r="N5" s="11" t="s">
        <v>62</v>
      </c>
      <c r="O5" s="307"/>
      <c r="P5" s="307"/>
      <c r="Q5" s="307"/>
    </row>
    <row r="6" spans="3:17" ht="15" customHeight="1" x14ac:dyDescent="0.2">
      <c r="C6" s="43" t="s">
        <v>184</v>
      </c>
      <c r="D6" s="144">
        <v>11.6394471914973</v>
      </c>
      <c r="E6" s="144">
        <v>11.752746614016731</v>
      </c>
      <c r="F6" s="144">
        <v>11.077030139515688</v>
      </c>
      <c r="G6" s="144">
        <v>10.981650220699178</v>
      </c>
      <c r="H6" s="144">
        <v>11.856015979183194</v>
      </c>
      <c r="I6" s="144">
        <v>12.019116355595271</v>
      </c>
      <c r="J6" s="14">
        <f t="shared" ref="J6:N21" si="0">E6/D6-1</f>
        <v>9.7340896569553248E-3</v>
      </c>
      <c r="K6" s="14">
        <f t="shared" si="0"/>
        <v>-5.7494345508577571E-2</v>
      </c>
      <c r="L6" s="14">
        <f t="shared" si="0"/>
        <v>-8.6106038906815785E-3</v>
      </c>
      <c r="M6" s="14">
        <f t="shared" si="0"/>
        <v>7.9620616292798596E-2</v>
      </c>
      <c r="N6" s="14">
        <f t="shared" si="0"/>
        <v>1.3756760846008298E-2</v>
      </c>
      <c r="O6" s="120">
        <f t="shared" ref="O6:O22" si="1">G6/$G$22</f>
        <v>0.29430340262486293</v>
      </c>
      <c r="P6" s="120">
        <f t="shared" ref="P6:P22" si="2">H6/$H$22</f>
        <v>0.31567349989245969</v>
      </c>
      <c r="Q6" s="120">
        <f t="shared" ref="Q6:Q22" si="3">I6/$I$22</f>
        <v>0.32017258041404617</v>
      </c>
    </row>
    <row r="7" spans="3:17" ht="15" customHeight="1" x14ac:dyDescent="0.2">
      <c r="C7" s="145" t="s">
        <v>185</v>
      </c>
      <c r="D7" s="144">
        <v>7.7103995896104598</v>
      </c>
      <c r="E7" s="144">
        <v>7.4869103367410741</v>
      </c>
      <c r="F7" s="144">
        <v>6.5187255426017003</v>
      </c>
      <c r="G7" s="144">
        <v>6.7779362891713024</v>
      </c>
      <c r="H7" s="144">
        <v>6.9951127728148448</v>
      </c>
      <c r="I7" s="144">
        <v>7.042916456625318</v>
      </c>
      <c r="J7" s="14">
        <f t="shared" si="0"/>
        <v>-2.8985430686436886E-2</v>
      </c>
      <c r="K7" s="14">
        <f t="shared" si="0"/>
        <v>-0.12931700135209689</v>
      </c>
      <c r="L7" s="14">
        <f t="shared" si="0"/>
        <v>3.9764022104564312E-2</v>
      </c>
      <c r="M7" s="14">
        <f t="shared" si="0"/>
        <v>3.2041682656491099E-2</v>
      </c>
      <c r="N7" s="14">
        <f t="shared" si="0"/>
        <v>6.8338689257809726E-3</v>
      </c>
      <c r="O7" s="120">
        <f t="shared" si="1"/>
        <v>0.18164571558814849</v>
      </c>
      <c r="P7" s="120">
        <f t="shared" si="2"/>
        <v>0.18624905153755028</v>
      </c>
      <c r="Q7" s="120">
        <f t="shared" si="3"/>
        <v>0.18761352073179074</v>
      </c>
    </row>
    <row r="8" spans="3:17" ht="15" customHeight="1" x14ac:dyDescent="0.2">
      <c r="C8" s="43" t="s">
        <v>186</v>
      </c>
      <c r="D8" s="144">
        <v>5.2613435261237997</v>
      </c>
      <c r="E8" s="144">
        <v>5.008186634617096</v>
      </c>
      <c r="F8" s="144">
        <v>4.6898892052855032</v>
      </c>
      <c r="G8" s="144">
        <v>4.4499706877553962</v>
      </c>
      <c r="H8" s="144">
        <v>3.5821197429302822</v>
      </c>
      <c r="I8" s="144">
        <v>3.8907391101668063</v>
      </c>
      <c r="J8" s="14">
        <f t="shared" si="0"/>
        <v>-4.811639655341271E-2</v>
      </c>
      <c r="K8" s="14">
        <f t="shared" si="0"/>
        <v>-6.3555424858069087E-2</v>
      </c>
      <c r="L8" s="14">
        <f t="shared" si="0"/>
        <v>-5.1156542730203314E-2</v>
      </c>
      <c r="M8" s="14">
        <f t="shared" si="0"/>
        <v>-0.19502396885739159</v>
      </c>
      <c r="N8" s="14">
        <f t="shared" si="0"/>
        <v>8.615551388130438E-2</v>
      </c>
      <c r="O8" s="120">
        <f t="shared" si="1"/>
        <v>0.1192572599443012</v>
      </c>
      <c r="P8" s="120">
        <f t="shared" si="2"/>
        <v>9.5376075594879886E-2</v>
      </c>
      <c r="Q8" s="120">
        <f t="shared" si="3"/>
        <v>0.1036438905960038</v>
      </c>
    </row>
    <row r="9" spans="3:17" ht="15" customHeight="1" x14ac:dyDescent="0.2">
      <c r="C9" s="43" t="s">
        <v>187</v>
      </c>
      <c r="D9" s="144">
        <v>3.23736993816931</v>
      </c>
      <c r="E9" s="144">
        <v>3.1414157587317484</v>
      </c>
      <c r="F9" s="144">
        <v>3.0312313414341583</v>
      </c>
      <c r="G9" s="144">
        <v>3.0462557403598609</v>
      </c>
      <c r="H9" s="144">
        <v>2.8571138178099891</v>
      </c>
      <c r="I9" s="144">
        <v>2.8899265570354533</v>
      </c>
      <c r="J9" s="14">
        <f t="shared" si="0"/>
        <v>-2.9639547308523695E-2</v>
      </c>
      <c r="K9" s="14">
        <f t="shared" si="0"/>
        <v>-3.5074764297379657E-2</v>
      </c>
      <c r="L9" s="14">
        <f t="shared" si="0"/>
        <v>4.9565332478365143E-3</v>
      </c>
      <c r="M9" s="14">
        <f t="shared" si="0"/>
        <v>-6.2089968364746673E-2</v>
      </c>
      <c r="N9" s="14">
        <f t="shared" si="0"/>
        <v>1.1484575455455781E-2</v>
      </c>
      <c r="O9" s="120">
        <f t="shared" si="1"/>
        <v>8.1638315884764015E-2</v>
      </c>
      <c r="P9" s="120">
        <f t="shared" si="2"/>
        <v>7.6072360229841984E-2</v>
      </c>
      <c r="Q9" s="120">
        <f t="shared" si="3"/>
        <v>7.6983633039077529E-2</v>
      </c>
    </row>
    <row r="10" spans="3:17" ht="15" customHeight="1" x14ac:dyDescent="0.2">
      <c r="C10" s="43" t="s">
        <v>188</v>
      </c>
      <c r="D10" s="144">
        <v>2.9240048079954799</v>
      </c>
      <c r="E10" s="144">
        <v>2.9932349123437856</v>
      </c>
      <c r="F10" s="144">
        <v>2.4752262372060456</v>
      </c>
      <c r="G10" s="144">
        <v>2.574593597914542</v>
      </c>
      <c r="H10" s="144">
        <v>2.6023207168275611</v>
      </c>
      <c r="I10" s="144">
        <v>2.5738283271620968</v>
      </c>
      <c r="J10" s="14">
        <f t="shared" si="0"/>
        <v>2.3676467343350716E-2</v>
      </c>
      <c r="K10" s="14">
        <f t="shared" si="0"/>
        <v>-0.17305981331486098</v>
      </c>
      <c r="L10" s="14">
        <f t="shared" si="0"/>
        <v>4.0144758977934458E-2</v>
      </c>
      <c r="M10" s="14">
        <f t="shared" si="0"/>
        <v>1.0769512879810872E-2</v>
      </c>
      <c r="N10" s="14">
        <f t="shared" si="0"/>
        <v>-1.0948838658210724E-2</v>
      </c>
      <c r="O10" s="120">
        <f t="shared" si="1"/>
        <v>6.8997977627646201E-2</v>
      </c>
      <c r="P10" s="120">
        <f t="shared" si="2"/>
        <v>6.9288341881958718E-2</v>
      </c>
      <c r="Q10" s="120">
        <f t="shared" si="3"/>
        <v>6.8563214854528515E-2</v>
      </c>
    </row>
    <row r="11" spans="3:17" ht="15" customHeight="1" x14ac:dyDescent="0.2">
      <c r="C11" s="43" t="s">
        <v>189</v>
      </c>
      <c r="D11" s="144">
        <v>2.0477649943313798</v>
      </c>
      <c r="E11" s="144">
        <v>2.1692602448238771</v>
      </c>
      <c r="F11" s="144">
        <v>2.1000686072635335</v>
      </c>
      <c r="G11" s="144">
        <v>2.17467362831538</v>
      </c>
      <c r="H11" s="144">
        <v>2.1020140442783495</v>
      </c>
      <c r="I11" s="144">
        <v>2.0762375062035292</v>
      </c>
      <c r="J11" s="14">
        <f t="shared" si="0"/>
        <v>5.9330660905338339E-2</v>
      </c>
      <c r="K11" s="14">
        <f t="shared" si="0"/>
        <v>-3.1896420784663038E-2</v>
      </c>
      <c r="L11" s="14">
        <f t="shared" si="0"/>
        <v>3.5525039893367971E-2</v>
      </c>
      <c r="M11" s="14">
        <f t="shared" si="0"/>
        <v>-3.3411718931505408E-2</v>
      </c>
      <c r="N11" s="14">
        <f t="shared" si="0"/>
        <v>-1.2262781090822683E-2</v>
      </c>
      <c r="O11" s="120">
        <f t="shared" si="1"/>
        <v>5.8280298092669033E-2</v>
      </c>
      <c r="P11" s="120">
        <f t="shared" si="2"/>
        <v>5.596737819394916E-2</v>
      </c>
      <c r="Q11" s="120">
        <f t="shared" si="3"/>
        <v>5.5308085906344055E-2</v>
      </c>
    </row>
    <row r="12" spans="3:17" ht="15" customHeight="1" x14ac:dyDescent="0.2">
      <c r="C12" s="43" t="s">
        <v>190</v>
      </c>
      <c r="D12" s="144">
        <v>1.5607950301495199</v>
      </c>
      <c r="E12" s="144">
        <v>1.5464300924895871</v>
      </c>
      <c r="F12" s="144">
        <v>1.5001189315111809</v>
      </c>
      <c r="G12" s="144">
        <v>1.5044797123631255</v>
      </c>
      <c r="H12" s="144">
        <v>1.8422903903882148</v>
      </c>
      <c r="I12" s="144">
        <v>1.8721163666831531</v>
      </c>
      <c r="J12" s="14">
        <f t="shared" si="0"/>
        <v>-9.2036028962475536E-3</v>
      </c>
      <c r="K12" s="14">
        <f t="shared" si="0"/>
        <v>-2.9947141615596862E-2</v>
      </c>
      <c r="L12" s="14">
        <f t="shared" si="0"/>
        <v>2.9069567487902681E-3</v>
      </c>
      <c r="M12" s="14">
        <f t="shared" si="0"/>
        <v>0.22453654592289674</v>
      </c>
      <c r="N12" s="14">
        <f t="shared" si="0"/>
        <v>1.6189617256079369E-2</v>
      </c>
      <c r="O12" s="120">
        <f t="shared" si="1"/>
        <v>4.0319395503415734E-2</v>
      </c>
      <c r="P12" s="120">
        <f t="shared" si="2"/>
        <v>4.9052080932853105E-2</v>
      </c>
      <c r="Q12" s="120">
        <f t="shared" si="3"/>
        <v>4.9870582014731414E-2</v>
      </c>
    </row>
    <row r="13" spans="3:17" ht="15" customHeight="1" x14ac:dyDescent="0.2">
      <c r="C13" s="43" t="s">
        <v>191</v>
      </c>
      <c r="D13" s="144">
        <v>1.20142695404921</v>
      </c>
      <c r="E13" s="144">
        <v>1.3925131363209649</v>
      </c>
      <c r="F13" s="144">
        <v>1.642434162585839</v>
      </c>
      <c r="G13" s="144">
        <v>1.7483659127712834</v>
      </c>
      <c r="H13" s="144">
        <v>1.3498998278129248</v>
      </c>
      <c r="I13" s="144">
        <v>1.440011946818716</v>
      </c>
      <c r="J13" s="14">
        <f t="shared" si="0"/>
        <v>0.159049355125362</v>
      </c>
      <c r="K13" s="14">
        <f t="shared" si="0"/>
        <v>0.17947480691289441</v>
      </c>
      <c r="L13" s="14">
        <f t="shared" si="0"/>
        <v>6.4496801514811519E-2</v>
      </c>
      <c r="M13" s="14">
        <f t="shared" si="0"/>
        <v>-0.22790771774242713</v>
      </c>
      <c r="N13" s="14">
        <f t="shared" si="0"/>
        <v>6.6754671086808548E-2</v>
      </c>
      <c r="O13" s="120">
        <f t="shared" si="1"/>
        <v>4.68554385562239E-2</v>
      </c>
      <c r="P13" s="120">
        <f t="shared" si="2"/>
        <v>3.5941888396416641E-2</v>
      </c>
      <c r="Q13" s="120">
        <f t="shared" si="3"/>
        <v>3.8359919914193054E-2</v>
      </c>
    </row>
    <row r="14" spans="3:17" ht="15" customHeight="1" x14ac:dyDescent="0.2">
      <c r="C14" s="43" t="s">
        <v>192</v>
      </c>
      <c r="D14" s="144">
        <v>1.21031335717358</v>
      </c>
      <c r="E14" s="144">
        <v>1.0956404017882289</v>
      </c>
      <c r="F14" s="144">
        <v>1.0171909807413144</v>
      </c>
      <c r="G14" s="144">
        <v>0.95026856188348829</v>
      </c>
      <c r="H14" s="144">
        <v>1.0247457486111904</v>
      </c>
      <c r="I14" s="144">
        <v>1.0073547288317115</v>
      </c>
      <c r="J14" s="14">
        <f t="shared" si="0"/>
        <v>-9.4746500735267913E-2</v>
      </c>
      <c r="K14" s="14">
        <f t="shared" si="0"/>
        <v>-7.1601431381021263E-2</v>
      </c>
      <c r="L14" s="14">
        <f t="shared" si="0"/>
        <v>-6.5791400164651459E-2</v>
      </c>
      <c r="M14" s="14">
        <f t="shared" si="0"/>
        <v>7.8374882338613672E-2</v>
      </c>
      <c r="N14" s="14">
        <f t="shared" si="0"/>
        <v>-1.6971058238639647E-2</v>
      </c>
      <c r="O14" s="120">
        <f t="shared" si="1"/>
        <v>2.5466780087623288E-2</v>
      </c>
      <c r="P14" s="120">
        <f t="shared" si="2"/>
        <v>2.7284467019274315E-2</v>
      </c>
      <c r="Q14" s="120">
        <f t="shared" si="3"/>
        <v>2.6834532038804527E-2</v>
      </c>
    </row>
    <row r="15" spans="3:17" ht="15" customHeight="1" x14ac:dyDescent="0.2">
      <c r="C15" s="43" t="s">
        <v>193</v>
      </c>
      <c r="D15" s="144">
        <v>1.2844545763158901</v>
      </c>
      <c r="E15" s="144">
        <v>1.1664354464256979</v>
      </c>
      <c r="F15" s="144">
        <v>1.0905172422319274</v>
      </c>
      <c r="G15" s="144">
        <v>0.88610374271559866</v>
      </c>
      <c r="H15" s="144">
        <v>0.97197634759297036</v>
      </c>
      <c r="I15" s="144">
        <v>0.68537631740873606</v>
      </c>
      <c r="J15" s="14">
        <f t="shared" si="0"/>
        <v>-9.1882680840842279E-2</v>
      </c>
      <c r="K15" s="14">
        <f t="shared" si="0"/>
        <v>-6.5085645696387417E-2</v>
      </c>
      <c r="L15" s="14">
        <f t="shared" si="0"/>
        <v>-0.18744637095142302</v>
      </c>
      <c r="M15" s="14">
        <f t="shared" si="0"/>
        <v>9.691032859674209E-2</v>
      </c>
      <c r="N15" s="14">
        <f t="shared" si="0"/>
        <v>-0.29486317325928635</v>
      </c>
      <c r="O15" s="120">
        <f t="shared" si="1"/>
        <v>2.3747191115983592E-2</v>
      </c>
      <c r="P15" s="120">
        <f t="shared" si="2"/>
        <v>2.5879450229831874E-2</v>
      </c>
      <c r="Q15" s="120">
        <f t="shared" si="3"/>
        <v>1.8257473977883229E-2</v>
      </c>
    </row>
    <row r="16" spans="3:17" ht="15" customHeight="1" x14ac:dyDescent="0.2">
      <c r="C16" s="43" t="s">
        <v>194</v>
      </c>
      <c r="D16" s="144">
        <v>0.60163689407503096</v>
      </c>
      <c r="E16" s="144">
        <v>0.60237015404228056</v>
      </c>
      <c r="F16" s="144">
        <v>0.48834930990009495</v>
      </c>
      <c r="G16" s="144">
        <v>0.50529559658113832</v>
      </c>
      <c r="H16" s="144">
        <v>0.57640304227989281</v>
      </c>
      <c r="I16" s="144">
        <v>0.53050114726756292</v>
      </c>
      <c r="J16" s="14">
        <f t="shared" si="0"/>
        <v>1.2187749362959632E-3</v>
      </c>
      <c r="K16" s="14">
        <f t="shared" si="0"/>
        <v>-0.18928700795853581</v>
      </c>
      <c r="L16" s="14">
        <f t="shared" si="0"/>
        <v>3.4701158243696906E-2</v>
      </c>
      <c r="M16" s="14">
        <f t="shared" si="0"/>
        <v>0.14072445154850333</v>
      </c>
      <c r="N16" s="14">
        <f t="shared" si="0"/>
        <v>-7.9635067210558907E-2</v>
      </c>
      <c r="O16" s="120">
        <f t="shared" si="1"/>
        <v>1.3541700055688078E-2</v>
      </c>
      <c r="P16" s="120">
        <f t="shared" si="2"/>
        <v>1.5347074938548689E-2</v>
      </c>
      <c r="Q16" s="120">
        <f t="shared" si="3"/>
        <v>1.4131814370379749E-2</v>
      </c>
    </row>
    <row r="17" spans="3:18" ht="15" customHeight="1" x14ac:dyDescent="0.2">
      <c r="C17" s="145" t="s">
        <v>195</v>
      </c>
      <c r="D17" s="144">
        <v>0.41760205896798502</v>
      </c>
      <c r="E17" s="144">
        <v>0.37078557740137341</v>
      </c>
      <c r="F17" s="144">
        <v>0.31247864147086113</v>
      </c>
      <c r="G17" s="144">
        <v>0.40444386898093015</v>
      </c>
      <c r="H17" s="144">
        <v>0.43094184508002786</v>
      </c>
      <c r="I17" s="144">
        <v>0.45816051908107563</v>
      </c>
      <c r="J17" s="14">
        <f t="shared" si="0"/>
        <v>-0.11210788012470208</v>
      </c>
      <c r="K17" s="14">
        <f t="shared" si="0"/>
        <v>-0.15725243775432862</v>
      </c>
      <c r="L17" s="14">
        <f t="shared" si="0"/>
        <v>0.29430884324503448</v>
      </c>
      <c r="M17" s="14">
        <f t="shared" si="0"/>
        <v>6.5517067092311754E-2</v>
      </c>
      <c r="N17" s="14">
        <f t="shared" si="0"/>
        <v>6.3160898185677716E-2</v>
      </c>
      <c r="O17" s="120">
        <f t="shared" si="1"/>
        <v>1.0838918051450527E-2</v>
      </c>
      <c r="P17" s="120">
        <f t="shared" si="2"/>
        <v>1.1474083766872475E-2</v>
      </c>
      <c r="Q17" s="120">
        <f t="shared" si="3"/>
        <v>1.2204760424815912E-2</v>
      </c>
    </row>
    <row r="18" spans="3:18" ht="15" customHeight="1" x14ac:dyDescent="0.2">
      <c r="C18" s="43" t="s">
        <v>196</v>
      </c>
      <c r="D18" s="146">
        <v>0.70580267349700898</v>
      </c>
      <c r="E18" s="146">
        <v>0.26047995323643619</v>
      </c>
      <c r="F18" s="146">
        <v>0.27248017667335511</v>
      </c>
      <c r="G18" s="146">
        <v>0.34881783635656011</v>
      </c>
      <c r="H18" s="146">
        <v>0.24277111080542493</v>
      </c>
      <c r="I18" s="146">
        <v>0.3755864697865593</v>
      </c>
      <c r="J18" s="147">
        <f t="shared" si="0"/>
        <v>-0.63094507428563884</v>
      </c>
      <c r="K18" s="147">
        <f t="shared" si="0"/>
        <v>4.6069662128764177E-2</v>
      </c>
      <c r="L18" s="147">
        <f t="shared" si="0"/>
        <v>0.28015858113127012</v>
      </c>
      <c r="M18" s="147">
        <f t="shared" si="0"/>
        <v>-0.30401749709477199</v>
      </c>
      <c r="N18" s="147">
        <f t="shared" si="0"/>
        <v>0.54708057536377375</v>
      </c>
      <c r="O18" s="120">
        <f t="shared" si="1"/>
        <v>9.3481648088261753E-3</v>
      </c>
      <c r="P18" s="120">
        <f t="shared" si="2"/>
        <v>6.463925685937579E-3</v>
      </c>
      <c r="Q18" s="120">
        <f t="shared" si="3"/>
        <v>1.0005102342168741E-2</v>
      </c>
    </row>
    <row r="19" spans="3:18" ht="15" customHeight="1" x14ac:dyDescent="0.2">
      <c r="C19" s="43" t="s">
        <v>197</v>
      </c>
      <c r="D19" s="144">
        <v>0.57280925584714604</v>
      </c>
      <c r="E19" s="144">
        <v>0.52695037865422556</v>
      </c>
      <c r="F19" s="144">
        <v>0.51066519355843643</v>
      </c>
      <c r="G19" s="144">
        <v>0.53379576594469791</v>
      </c>
      <c r="H19" s="144">
        <v>0.44334079611488941</v>
      </c>
      <c r="I19" s="144">
        <v>0.37233811536371181</v>
      </c>
      <c r="J19" s="14">
        <f t="shared" si="0"/>
        <v>-8.0059595275041917E-2</v>
      </c>
      <c r="K19" s="14">
        <f t="shared" si="0"/>
        <v>-3.0904589417659722E-2</v>
      </c>
      <c r="L19" s="14">
        <f t="shared" si="0"/>
        <v>4.5294985203675475E-2</v>
      </c>
      <c r="M19" s="14">
        <f t="shared" si="0"/>
        <v>-0.16945613959624362</v>
      </c>
      <c r="N19" s="14">
        <f t="shared" si="0"/>
        <v>-0.16015372682458406</v>
      </c>
      <c r="O19" s="120">
        <f t="shared" si="1"/>
        <v>1.4305492076970143E-2</v>
      </c>
      <c r="P19" s="120">
        <f t="shared" si="2"/>
        <v>1.1804213236589978E-2</v>
      </c>
      <c r="Q19" s="120">
        <f t="shared" si="3"/>
        <v>9.9185706881858519E-3</v>
      </c>
    </row>
    <row r="20" spans="3:18" ht="15" customHeight="1" x14ac:dyDescent="0.2">
      <c r="C20" s="43" t="s">
        <v>198</v>
      </c>
      <c r="D20" s="144">
        <v>0.267469084381179</v>
      </c>
      <c r="E20" s="144">
        <v>0.2666397910835806</v>
      </c>
      <c r="F20" s="144">
        <v>0.26688494578526628</v>
      </c>
      <c r="G20" s="144">
        <v>0.24871521737228341</v>
      </c>
      <c r="H20" s="144">
        <v>0.41853236955212714</v>
      </c>
      <c r="I20" s="144">
        <v>0.20697168882021832</v>
      </c>
      <c r="J20" s="14">
        <f t="shared" si="0"/>
        <v>-3.1005201947621464E-3</v>
      </c>
      <c r="K20" s="14">
        <f t="shared" si="0"/>
        <v>9.1942279391021842E-4</v>
      </c>
      <c r="L20" s="14">
        <f t="shared" si="0"/>
        <v>-6.8080754272300203E-2</v>
      </c>
      <c r="M20" s="14">
        <f t="shared" si="0"/>
        <v>0.68277749135734211</v>
      </c>
      <c r="N20" s="14">
        <f t="shared" si="0"/>
        <v>-0.50548224252833918</v>
      </c>
      <c r="O20" s="120">
        <f t="shared" si="1"/>
        <v>6.665458586476913E-3</v>
      </c>
      <c r="P20" s="120">
        <f t="shared" si="2"/>
        <v>1.1143674076247874E-2</v>
      </c>
      <c r="Q20" s="120">
        <f t="shared" si="3"/>
        <v>5.5134385691651203E-3</v>
      </c>
    </row>
    <row r="21" spans="3:18" ht="15" customHeight="1" x14ac:dyDescent="0.2">
      <c r="C21" s="43" t="s">
        <v>199</v>
      </c>
      <c r="D21" s="144">
        <v>0</v>
      </c>
      <c r="E21" s="144">
        <v>0.28291809529277617</v>
      </c>
      <c r="F21" s="144">
        <v>0.18537990304449337</v>
      </c>
      <c r="G21" s="144">
        <v>0.17867798032594964</v>
      </c>
      <c r="H21" s="144">
        <v>0.26224517956550036</v>
      </c>
      <c r="I21" s="144">
        <v>9.8311431970184188E-2</v>
      </c>
      <c r="J21" s="14" t="s">
        <v>98</v>
      </c>
      <c r="K21" s="14">
        <f t="shared" si="0"/>
        <v>-0.34475770150843821</v>
      </c>
      <c r="L21" s="14">
        <f t="shared" si="0"/>
        <v>-3.6152369315541111E-2</v>
      </c>
      <c r="M21" s="14">
        <f t="shared" si="0"/>
        <v>0.46769724555373293</v>
      </c>
      <c r="N21" s="14">
        <f t="shared" si="0"/>
        <v>-0.62511634290830054</v>
      </c>
      <c r="O21" s="120">
        <f t="shared" si="1"/>
        <v>4.7884913949405757E-3</v>
      </c>
      <c r="P21" s="120">
        <f t="shared" si="2"/>
        <v>6.9824343867889542E-3</v>
      </c>
      <c r="Q21" s="120">
        <f t="shared" si="3"/>
        <v>2.6188801178749286E-3</v>
      </c>
    </row>
    <row r="22" spans="3:18" ht="15" customHeight="1" x14ac:dyDescent="0.2">
      <c r="C22" s="65" t="s">
        <v>200</v>
      </c>
      <c r="D22" s="104">
        <v>40.642639932184302</v>
      </c>
      <c r="E22" s="104">
        <v>40.062917528009486</v>
      </c>
      <c r="F22" s="104">
        <v>37.178670560809259</v>
      </c>
      <c r="G22" s="104">
        <v>37.314044359511058</v>
      </c>
      <c r="H22" s="104">
        <v>37.557843731647338</v>
      </c>
      <c r="I22" s="104">
        <v>37.539493044820354</v>
      </c>
      <c r="J22" s="103">
        <f>E22/D22-1</f>
        <v>-1.4263896369481222E-2</v>
      </c>
      <c r="K22" s="103">
        <f t="shared" ref="K22:N22" si="4">F22/E22-1</f>
        <v>-7.199293374437199E-2</v>
      </c>
      <c r="L22" s="103">
        <f t="shared" si="4"/>
        <v>3.6411683543224882E-3</v>
      </c>
      <c r="M22" s="103">
        <f t="shared" si="4"/>
        <v>6.5337160932579241E-3</v>
      </c>
      <c r="N22" s="103">
        <f t="shared" si="4"/>
        <v>-4.8859798656442077E-4</v>
      </c>
      <c r="O22" s="103">
        <f t="shared" si="1"/>
        <v>1</v>
      </c>
      <c r="P22" s="103">
        <f t="shared" si="2"/>
        <v>1</v>
      </c>
      <c r="Q22" s="103">
        <f t="shared" si="3"/>
        <v>1</v>
      </c>
    </row>
    <row r="23" spans="3:18" ht="15" customHeight="1" x14ac:dyDescent="0.2">
      <c r="C23" s="297" t="s">
        <v>201</v>
      </c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</row>
    <row r="24" spans="3:18" x14ac:dyDescent="0.2">
      <c r="C24" s="15"/>
      <c r="D24" s="15"/>
      <c r="E24" s="15"/>
      <c r="F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3:18" x14ac:dyDescent="0.2">
      <c r="C25" s="15"/>
      <c r="D25" s="15"/>
      <c r="E25" s="15"/>
      <c r="F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296" t="s">
        <v>102</v>
      </c>
    </row>
    <row r="26" spans="3:18" x14ac:dyDescent="0.2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296"/>
    </row>
    <row r="27" spans="3:18" ht="24.95" customHeight="1" x14ac:dyDescent="0.2">
      <c r="C27" s="305" t="s">
        <v>202</v>
      </c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</row>
    <row r="28" spans="3:18" ht="12.75" customHeight="1" x14ac:dyDescent="0.2">
      <c r="C28" s="109"/>
      <c r="D28" s="306" t="s">
        <v>203</v>
      </c>
      <c r="E28" s="306"/>
      <c r="F28" s="306"/>
      <c r="G28" s="306"/>
      <c r="H28" s="306"/>
      <c r="I28" s="141"/>
      <c r="J28" s="148"/>
      <c r="K28" s="148"/>
      <c r="L28" s="148"/>
      <c r="M28" s="148"/>
      <c r="N28" s="148"/>
      <c r="O28" s="307" t="s">
        <v>181</v>
      </c>
      <c r="P28" s="307" t="s">
        <v>204</v>
      </c>
      <c r="Q28" s="307" t="s">
        <v>205</v>
      </c>
    </row>
    <row r="29" spans="3:18" ht="25.5" x14ac:dyDescent="0.2">
      <c r="C29" s="109"/>
      <c r="D29" s="10">
        <v>2007</v>
      </c>
      <c r="E29" s="10">
        <v>2008</v>
      </c>
      <c r="F29" s="10">
        <v>2009</v>
      </c>
      <c r="G29" s="10">
        <v>2010</v>
      </c>
      <c r="H29" s="10">
        <v>2011</v>
      </c>
      <c r="I29" s="10">
        <v>2012</v>
      </c>
      <c r="J29" s="11" t="s">
        <v>58</v>
      </c>
      <c r="K29" s="11" t="s">
        <v>59</v>
      </c>
      <c r="L29" s="11" t="s">
        <v>60</v>
      </c>
      <c r="M29" s="11" t="s">
        <v>61</v>
      </c>
      <c r="N29" s="11" t="s">
        <v>62</v>
      </c>
      <c r="O29" s="307"/>
      <c r="P29" s="307"/>
      <c r="Q29" s="307"/>
    </row>
    <row r="30" spans="3:18" ht="15" customHeight="1" x14ac:dyDescent="0.2">
      <c r="C30" s="43" t="s">
        <v>184</v>
      </c>
      <c r="D30" s="144">
        <v>111.158840796685</v>
      </c>
      <c r="E30" s="144">
        <v>110.50488743682094</v>
      </c>
      <c r="F30" s="144">
        <v>106.64920229498232</v>
      </c>
      <c r="G30" s="144">
        <v>105.91553394429451</v>
      </c>
      <c r="H30" s="144">
        <v>111.49163175330187</v>
      </c>
      <c r="I30" s="144">
        <v>113.02390098046727</v>
      </c>
      <c r="J30" s="14">
        <f t="shared" ref="J30:N45" si="5">E30/D30-1</f>
        <v>-5.8830530723164021E-3</v>
      </c>
      <c r="K30" s="14">
        <f t="shared" si="5"/>
        <v>-3.4891534947203429E-2</v>
      </c>
      <c r="L30" s="14">
        <f t="shared" si="5"/>
        <v>-6.8792671196784561E-3</v>
      </c>
      <c r="M30" s="14">
        <f t="shared" si="5"/>
        <v>5.2646647770666632E-2</v>
      </c>
      <c r="N30" s="14">
        <f t="shared" si="5"/>
        <v>1.3743356367371673E-2</v>
      </c>
      <c r="O30" s="120">
        <f t="shared" ref="O30:O46" si="6">G30/$G$46</f>
        <v>0.29430340262486421</v>
      </c>
      <c r="P30" s="120">
        <f t="shared" ref="P30:P46" si="7">H30/$H$46</f>
        <v>0.31567349989246196</v>
      </c>
      <c r="Q30" s="120">
        <f t="shared" ref="Q30:Q46" si="8">I30/$I$46</f>
        <v>0.32017258041404878</v>
      </c>
    </row>
    <row r="31" spans="3:18" ht="15" customHeight="1" x14ac:dyDescent="0.2">
      <c r="C31" s="145" t="s">
        <v>185</v>
      </c>
      <c r="D31" s="144">
        <v>73.635720525149694</v>
      </c>
      <c r="E31" s="144">
        <v>70.39547530314573</v>
      </c>
      <c r="F31" s="144">
        <v>62.762028300195041</v>
      </c>
      <c r="G31" s="144">
        <v>65.371663336612684</v>
      </c>
      <c r="H31" s="144">
        <v>65.780658419221794</v>
      </c>
      <c r="I31" s="144">
        <v>66.229319082741995</v>
      </c>
      <c r="J31" s="14">
        <f t="shared" si="5"/>
        <v>-4.4003714486602785E-2</v>
      </c>
      <c r="K31" s="14">
        <f t="shared" si="5"/>
        <v>-0.10843661428633866</v>
      </c>
      <c r="L31" s="14">
        <f t="shared" si="5"/>
        <v>4.1579839069820768E-2</v>
      </c>
      <c r="M31" s="14">
        <f t="shared" si="5"/>
        <v>6.2564582532205204E-3</v>
      </c>
      <c r="N31" s="14">
        <f t="shared" si="5"/>
        <v>6.8205559856344689E-3</v>
      </c>
      <c r="O31" s="120">
        <f t="shared" si="6"/>
        <v>0.18164571558814838</v>
      </c>
      <c r="P31" s="120">
        <f t="shared" si="7"/>
        <v>0.1862490515375502</v>
      </c>
      <c r="Q31" s="120">
        <f t="shared" si="8"/>
        <v>0.18761352073179202</v>
      </c>
    </row>
    <row r="32" spans="3:18" ht="15" customHeight="1" x14ac:dyDescent="0.2">
      <c r="C32" s="43" t="s">
        <v>186</v>
      </c>
      <c r="D32" s="144">
        <v>50.246789024851502</v>
      </c>
      <c r="E32" s="144">
        <v>47.089341623422484</v>
      </c>
      <c r="F32" s="144">
        <v>45.154065331216671</v>
      </c>
      <c r="G32" s="144">
        <v>42.918961354431346</v>
      </c>
      <c r="H32" s="144">
        <v>33.685546306300452</v>
      </c>
      <c r="I32" s="144">
        <v>36.58725807439312</v>
      </c>
      <c r="J32" s="14">
        <f t="shared" si="5"/>
        <v>-6.2838789556629804E-2</v>
      </c>
      <c r="K32" s="14">
        <f t="shared" si="5"/>
        <v>-4.109796878627836E-2</v>
      </c>
      <c r="L32" s="14">
        <f t="shared" si="5"/>
        <v>-4.9499507085137617E-2</v>
      </c>
      <c r="M32" s="14">
        <f t="shared" si="5"/>
        <v>-0.21513603211130716</v>
      </c>
      <c r="N32" s="14">
        <f t="shared" si="5"/>
        <v>8.6141152104454388E-2</v>
      </c>
      <c r="O32" s="120">
        <f t="shared" si="6"/>
        <v>0.11925725994430127</v>
      </c>
      <c r="P32" s="120">
        <f t="shared" si="7"/>
        <v>9.5376075594880136E-2</v>
      </c>
      <c r="Q32" s="120">
        <f t="shared" si="8"/>
        <v>0.10364389059600441</v>
      </c>
    </row>
    <row r="33" spans="3:17" ht="15" customHeight="1" x14ac:dyDescent="0.2">
      <c r="C33" s="43" t="s">
        <v>187</v>
      </c>
      <c r="D33" s="144">
        <v>30.917472594387402</v>
      </c>
      <c r="E33" s="144">
        <v>29.53707811558667</v>
      </c>
      <c r="F33" s="144">
        <v>29.184573885219965</v>
      </c>
      <c r="G33" s="144">
        <v>29.380448000696223</v>
      </c>
      <c r="H33" s="144">
        <v>26.867733833341905</v>
      </c>
      <c r="I33" s="144">
        <v>27.175939009122025</v>
      </c>
      <c r="J33" s="14">
        <f t="shared" si="5"/>
        <v>-4.4647714155371165E-2</v>
      </c>
      <c r="K33" s="14">
        <f t="shared" si="5"/>
        <v>-1.1934295903855419E-2</v>
      </c>
      <c r="L33" s="14">
        <f t="shared" si="5"/>
        <v>6.7115633158330024E-3</v>
      </c>
      <c r="M33" s="14">
        <f t="shared" si="5"/>
        <v>-8.552334420818819E-2</v>
      </c>
      <c r="N33" s="14">
        <f t="shared" si="5"/>
        <v>1.1471201020967658E-2</v>
      </c>
      <c r="O33" s="120">
        <f t="shared" si="6"/>
        <v>8.1638315884764265E-2</v>
      </c>
      <c r="P33" s="120">
        <f t="shared" si="7"/>
        <v>7.6072360229842734E-2</v>
      </c>
      <c r="Q33" s="120">
        <f t="shared" si="8"/>
        <v>7.6983633039078223E-2</v>
      </c>
    </row>
    <row r="34" spans="3:17" ht="15" customHeight="1" x14ac:dyDescent="0.2">
      <c r="C34" s="43" t="s">
        <v>188</v>
      </c>
      <c r="D34" s="144">
        <v>27.924778521968602</v>
      </c>
      <c r="E34" s="144">
        <v>28.143811648762</v>
      </c>
      <c r="F34" s="144">
        <v>23.831379022425992</v>
      </c>
      <c r="G34" s="144">
        <v>24.831373257426705</v>
      </c>
      <c r="H34" s="144">
        <v>24.471709853795016</v>
      </c>
      <c r="I34" s="144">
        <v>24.203453014619033</v>
      </c>
      <c r="J34" s="14">
        <f t="shared" si="5"/>
        <v>7.8436835809130301E-3</v>
      </c>
      <c r="K34" s="14">
        <f t="shared" si="5"/>
        <v>-0.15322844965549309</v>
      </c>
      <c r="L34" s="14">
        <f t="shared" si="5"/>
        <v>4.1961240852226522E-2</v>
      </c>
      <c r="M34" s="14">
        <f t="shared" si="5"/>
        <v>-1.4484233308527106E-2</v>
      </c>
      <c r="N34" s="14">
        <f t="shared" si="5"/>
        <v>-1.0961916465121124E-2</v>
      </c>
      <c r="O34" s="120">
        <f t="shared" si="6"/>
        <v>6.8997977627647172E-2</v>
      </c>
      <c r="P34" s="120">
        <f t="shared" si="7"/>
        <v>6.9288341881959578E-2</v>
      </c>
      <c r="Q34" s="120">
        <f t="shared" si="8"/>
        <v>6.8563214854528778E-2</v>
      </c>
    </row>
    <row r="35" spans="3:17" ht="15" customHeight="1" x14ac:dyDescent="0.2">
      <c r="C35" s="43" t="s">
        <v>206</v>
      </c>
      <c r="D35" s="144">
        <v>19.556528694952998</v>
      </c>
      <c r="E35" s="144">
        <v>20.396411753618594</v>
      </c>
      <c r="F35" s="144">
        <v>20.219376394978681</v>
      </c>
      <c r="G35" s="144">
        <v>20.974235553728594</v>
      </c>
      <c r="H35" s="144">
        <v>19.766924755873735</v>
      </c>
      <c r="I35" s="144">
        <v>19.524269120153594</v>
      </c>
      <c r="J35" s="14">
        <f t="shared" si="5"/>
        <v>4.2946428364986078E-2</v>
      </c>
      <c r="K35" s="14">
        <f t="shared" si="5"/>
        <v>-8.6797305711630024E-3</v>
      </c>
      <c r="L35" s="14">
        <f t="shared" si="5"/>
        <v>3.7333454009856437E-2</v>
      </c>
      <c r="M35" s="14">
        <f t="shared" si="5"/>
        <v>-5.7561611471471985E-2</v>
      </c>
      <c r="N35" s="14">
        <f t="shared" si="5"/>
        <v>-1.2275841524010178E-2</v>
      </c>
      <c r="O35" s="120">
        <f t="shared" si="6"/>
        <v>5.8280298092669394E-2</v>
      </c>
      <c r="P35" s="120">
        <f t="shared" si="7"/>
        <v>5.5967378193949646E-2</v>
      </c>
      <c r="Q35" s="120">
        <f t="shared" si="8"/>
        <v>5.5308085906344923E-2</v>
      </c>
    </row>
    <row r="36" spans="3:17" ht="15" customHeight="1" x14ac:dyDescent="0.2">
      <c r="C36" s="43" t="s">
        <v>190</v>
      </c>
      <c r="D36" s="144">
        <v>14.905876835747501</v>
      </c>
      <c r="E36" s="144">
        <v>14.540267812433424</v>
      </c>
      <c r="F36" s="144">
        <v>14.443084958534099</v>
      </c>
      <c r="G36" s="144">
        <v>14.510366733675948</v>
      </c>
      <c r="H36" s="144">
        <v>17.324534830962719</v>
      </c>
      <c r="I36" s="144">
        <v>17.604779635351903</v>
      </c>
      <c r="J36" s="14">
        <f t="shared" si="5"/>
        <v>-2.4527844107585017E-2</v>
      </c>
      <c r="K36" s="14">
        <f t="shared" si="5"/>
        <v>-6.6837045337103662E-3</v>
      </c>
      <c r="L36" s="14">
        <f t="shared" si="5"/>
        <v>4.6584074894673311E-3</v>
      </c>
      <c r="M36" s="14">
        <f t="shared" si="5"/>
        <v>0.19394190022472646</v>
      </c>
      <c r="N36" s="14">
        <f t="shared" si="5"/>
        <v>1.6176180608804991E-2</v>
      </c>
      <c r="O36" s="120">
        <f t="shared" si="6"/>
        <v>4.0319395503415768E-2</v>
      </c>
      <c r="P36" s="120">
        <f t="shared" si="7"/>
        <v>4.9052080932853508E-2</v>
      </c>
      <c r="Q36" s="120">
        <f t="shared" si="8"/>
        <v>4.9870582014731768E-2</v>
      </c>
    </row>
    <row r="37" spans="3:17" ht="15" customHeight="1" x14ac:dyDescent="0.2">
      <c r="C37" s="43" t="s">
        <v>191</v>
      </c>
      <c r="D37" s="144">
        <v>11.473846250323801</v>
      </c>
      <c r="E37" s="144">
        <v>13.093067725966309</v>
      </c>
      <c r="F37" s="144">
        <v>15.81329030034259</v>
      </c>
      <c r="G37" s="144">
        <v>16.8625940054194</v>
      </c>
      <c r="H37" s="144">
        <v>12.694191267169122</v>
      </c>
      <c r="I37" s="144">
        <v>13.541408775210067</v>
      </c>
      <c r="J37" s="14">
        <f t="shared" si="5"/>
        <v>0.14112281447006603</v>
      </c>
      <c r="K37" s="14">
        <f t="shared" si="5"/>
        <v>0.2077605211635396</v>
      </c>
      <c r="L37" s="14">
        <f t="shared" si="5"/>
        <v>6.6355811165629275E-2</v>
      </c>
      <c r="M37" s="14">
        <f t="shared" si="5"/>
        <v>-0.24719819126942222</v>
      </c>
      <c r="N37" s="14">
        <f t="shared" si="5"/>
        <v>6.674056583912491E-2</v>
      </c>
      <c r="O37" s="120">
        <f t="shared" si="6"/>
        <v>4.685543855622417E-2</v>
      </c>
      <c r="P37" s="120">
        <f t="shared" si="7"/>
        <v>3.594188839641705E-2</v>
      </c>
      <c r="Q37" s="120">
        <f t="shared" si="8"/>
        <v>3.8359919914193415E-2</v>
      </c>
    </row>
    <row r="38" spans="3:17" ht="15" customHeight="1" x14ac:dyDescent="0.2">
      <c r="C38" s="43" t="s">
        <v>207</v>
      </c>
      <c r="D38" s="144">
        <v>11.558713018814</v>
      </c>
      <c r="E38" s="144">
        <v>10.301729735791728</v>
      </c>
      <c r="F38" s="144">
        <v>9.7934740008258654</v>
      </c>
      <c r="G38" s="144">
        <v>9.1651254683613548</v>
      </c>
      <c r="H38" s="144">
        <v>9.6365065503893153</v>
      </c>
      <c r="I38" s="144">
        <v>9.4728395794819065</v>
      </c>
      <c r="J38" s="14">
        <f t="shared" si="5"/>
        <v>-0.10874768505596544</v>
      </c>
      <c r="K38" s="14">
        <f t="shared" si="5"/>
        <v>-4.9336931564027409E-2</v>
      </c>
      <c r="L38" s="14">
        <f t="shared" si="5"/>
        <v>-6.4159922455660046E-2</v>
      </c>
      <c r="M38" s="14">
        <f t="shared" si="5"/>
        <v>5.1432038072495523E-2</v>
      </c>
      <c r="N38" s="14">
        <f t="shared" si="5"/>
        <v>-1.6984056416253557E-2</v>
      </c>
      <c r="O38" s="120">
        <f t="shared" si="6"/>
        <v>2.5466780087623295E-2</v>
      </c>
      <c r="P38" s="120">
        <f t="shared" si="7"/>
        <v>2.728446701927421E-2</v>
      </c>
      <c r="Q38" s="120">
        <f t="shared" si="8"/>
        <v>2.6834532038804839E-2</v>
      </c>
    </row>
    <row r="39" spans="3:17" ht="15" customHeight="1" x14ac:dyDescent="0.2">
      <c r="C39" s="43" t="s">
        <v>208</v>
      </c>
      <c r="D39" s="144">
        <v>12.266775166398901</v>
      </c>
      <c r="E39" s="144">
        <v>10.967378259977421</v>
      </c>
      <c r="F39" s="144">
        <v>10.499456308064547</v>
      </c>
      <c r="G39" s="144">
        <v>8.5462702921332578</v>
      </c>
      <c r="H39" s="144">
        <v>9.1402735294070361</v>
      </c>
      <c r="I39" s="144">
        <v>6.4450582506508693</v>
      </c>
      <c r="J39" s="14">
        <f t="shared" si="5"/>
        <v>-0.10592815868842065</v>
      </c>
      <c r="K39" s="14">
        <f t="shared" si="5"/>
        <v>-4.2664886796184742E-2</v>
      </c>
      <c r="L39" s="14">
        <f t="shared" si="5"/>
        <v>-0.18602734833336676</v>
      </c>
      <c r="M39" s="14">
        <f t="shared" si="5"/>
        <v>6.950438225907174E-2</v>
      </c>
      <c r="N39" s="14">
        <f t="shared" si="5"/>
        <v>-0.29487249698653339</v>
      </c>
      <c r="O39" s="120">
        <f t="shared" si="6"/>
        <v>2.3747191115983599E-2</v>
      </c>
      <c r="P39" s="120">
        <f t="shared" si="7"/>
        <v>2.5879450229832106E-2</v>
      </c>
      <c r="Q39" s="120">
        <f t="shared" si="8"/>
        <v>1.8257473977883333E-2</v>
      </c>
    </row>
    <row r="40" spans="3:17" ht="15" customHeight="1" x14ac:dyDescent="0.2">
      <c r="C40" s="43" t="s">
        <v>194</v>
      </c>
      <c r="D40" s="144">
        <v>5.7457419261931904</v>
      </c>
      <c r="E40" s="144">
        <v>5.6637693514429559</v>
      </c>
      <c r="F40" s="144">
        <v>4.701807586164727</v>
      </c>
      <c r="G40" s="144">
        <v>4.8734618054685042</v>
      </c>
      <c r="H40" s="144">
        <v>5.4203803237266079</v>
      </c>
      <c r="I40" s="144">
        <v>4.9886620084911897</v>
      </c>
      <c r="J40" s="14">
        <f t="shared" si="5"/>
        <v>-1.4266664915203564E-2</v>
      </c>
      <c r="K40" s="14">
        <f t="shared" si="5"/>
        <v>-0.16984479868219748</v>
      </c>
      <c r="L40" s="14">
        <f t="shared" si="5"/>
        <v>3.6508133554609357E-2</v>
      </c>
      <c r="M40" s="14">
        <f t="shared" si="5"/>
        <v>0.11222382365742711</v>
      </c>
      <c r="N40" s="14">
        <f t="shared" si="5"/>
        <v>-7.9647236808395028E-2</v>
      </c>
      <c r="O40" s="120">
        <f t="shared" si="6"/>
        <v>1.3541700055688166E-2</v>
      </c>
      <c r="P40" s="120">
        <f t="shared" si="7"/>
        <v>1.5347074938548831E-2</v>
      </c>
      <c r="Q40" s="120">
        <f t="shared" si="8"/>
        <v>1.4131814370379839E-2</v>
      </c>
    </row>
    <row r="41" spans="3:17" ht="15" customHeight="1" x14ac:dyDescent="0.2">
      <c r="C41" s="145" t="s">
        <v>195</v>
      </c>
      <c r="D41" s="144">
        <v>3.9881757290930602</v>
      </c>
      <c r="E41" s="144">
        <v>3.4863015293011728</v>
      </c>
      <c r="F41" s="144">
        <v>3.0085318381686821</v>
      </c>
      <c r="G41" s="144">
        <v>3.9007696905942817</v>
      </c>
      <c r="H41" s="144">
        <v>4.0524919655228819</v>
      </c>
      <c r="I41" s="144">
        <v>4.3083940291227831</v>
      </c>
      <c r="J41" s="14">
        <f t="shared" si="5"/>
        <v>-0.12584054311619242</v>
      </c>
      <c r="K41" s="14">
        <f t="shared" si="5"/>
        <v>-0.13704198765281772</v>
      </c>
      <c r="L41" s="14">
        <f t="shared" si="5"/>
        <v>0.2965691906949246</v>
      </c>
      <c r="M41" s="14">
        <f t="shared" si="5"/>
        <v>3.8895471141103366E-2</v>
      </c>
      <c r="N41" s="14">
        <f t="shared" si="5"/>
        <v>6.314684045693908E-2</v>
      </c>
      <c r="O41" s="120">
        <f t="shared" si="6"/>
        <v>1.0838918051450536E-2</v>
      </c>
      <c r="P41" s="120">
        <f t="shared" si="7"/>
        <v>1.1474083766872525E-2</v>
      </c>
      <c r="Q41" s="120">
        <f t="shared" si="8"/>
        <v>1.2204760424815934E-2</v>
      </c>
    </row>
    <row r="42" spans="3:17" ht="15" customHeight="1" x14ac:dyDescent="0.2">
      <c r="C42" s="43" t="s">
        <v>196</v>
      </c>
      <c r="D42" s="146">
        <v>6.7405440934034297</v>
      </c>
      <c r="E42" s="146">
        <v>2.4491558320173068</v>
      </c>
      <c r="F42" s="146">
        <v>2.6234282219511509</v>
      </c>
      <c r="G42" s="146">
        <v>3.364269180360612</v>
      </c>
      <c r="H42" s="146">
        <v>2.2829715592305821</v>
      </c>
      <c r="I42" s="146">
        <v>3.5318942520260568</v>
      </c>
      <c r="J42" s="147">
        <f t="shared" si="5"/>
        <v>-0.63665309534668713</v>
      </c>
      <c r="K42" s="147">
        <f t="shared" si="5"/>
        <v>7.1156105159017269E-2</v>
      </c>
      <c r="L42" s="147">
        <f t="shared" si="5"/>
        <v>0.28239421692981082</v>
      </c>
      <c r="M42" s="147">
        <f t="shared" si="5"/>
        <v>-0.32140639264011772</v>
      </c>
      <c r="N42" s="147">
        <f t="shared" si="5"/>
        <v>0.54706011896897766</v>
      </c>
      <c r="O42" s="120">
        <f t="shared" si="6"/>
        <v>9.348164808826203E-3</v>
      </c>
      <c r="P42" s="120">
        <f t="shared" si="7"/>
        <v>6.4639256859376423E-3</v>
      </c>
      <c r="Q42" s="120">
        <f t="shared" si="8"/>
        <v>1.0005102342168814E-2</v>
      </c>
    </row>
    <row r="43" spans="3:17" ht="15" customHeight="1" x14ac:dyDescent="0.2">
      <c r="C43" s="43" t="s">
        <v>197</v>
      </c>
      <c r="D43" s="144">
        <v>5.4704327301810496</v>
      </c>
      <c r="E43" s="144">
        <v>4.9546369193843001</v>
      </c>
      <c r="F43" s="144">
        <v>4.9166640197659444</v>
      </c>
      <c r="G43" s="144">
        <v>5.1483394964328424</v>
      </c>
      <c r="H43" s="144">
        <v>4.1690892512665378</v>
      </c>
      <c r="I43" s="144">
        <v>3.5013477727529549</v>
      </c>
      <c r="J43" s="14">
        <f t="shared" si="5"/>
        <v>-9.4287935934398881E-2</v>
      </c>
      <c r="K43" s="14">
        <f t="shared" si="5"/>
        <v>-7.6641134832287072E-3</v>
      </c>
      <c r="L43" s="14">
        <f t="shared" si="5"/>
        <v>4.7120461299677396E-2</v>
      </c>
      <c r="M43" s="14">
        <f t="shared" si="5"/>
        <v>-0.19020700671445678</v>
      </c>
      <c r="N43" s="14">
        <f t="shared" si="5"/>
        <v>-0.16016483175809393</v>
      </c>
      <c r="O43" s="120">
        <f t="shared" si="6"/>
        <v>1.4305492076970124E-2</v>
      </c>
      <c r="P43" s="120">
        <f t="shared" si="7"/>
        <v>1.180421323659007E-2</v>
      </c>
      <c r="Q43" s="120">
        <f t="shared" si="8"/>
        <v>9.9185706881859681E-3</v>
      </c>
    </row>
    <row r="44" spans="3:17" ht="15" customHeight="1" x14ac:dyDescent="0.2">
      <c r="C44" s="43" t="s">
        <v>198</v>
      </c>
      <c r="D44" s="144">
        <v>2.5543784751634799</v>
      </c>
      <c r="E44" s="144">
        <v>2.5070735435347227</v>
      </c>
      <c r="F44" s="144">
        <v>2.5695575631775442</v>
      </c>
      <c r="G44" s="144">
        <v>2.3988020487488657</v>
      </c>
      <c r="H44" s="144">
        <v>3.9357957095261367</v>
      </c>
      <c r="I44" s="144">
        <v>1.9462951327604325</v>
      </c>
      <c r="J44" s="14">
        <f t="shared" si="5"/>
        <v>-1.8519155281297883E-2</v>
      </c>
      <c r="K44" s="14">
        <f t="shared" si="5"/>
        <v>2.4923090032183737E-2</v>
      </c>
      <c r="L44" s="14">
        <f t="shared" si="5"/>
        <v>-6.6453274632042203E-2</v>
      </c>
      <c r="M44" s="14">
        <f t="shared" si="5"/>
        <v>0.64073384528703192</v>
      </c>
      <c r="N44" s="14">
        <f t="shared" si="5"/>
        <v>-0.50548878132834707</v>
      </c>
      <c r="O44" s="120">
        <f t="shared" si="6"/>
        <v>6.6654585864769295E-3</v>
      </c>
      <c r="P44" s="120">
        <f t="shared" si="7"/>
        <v>1.1143674076247934E-2</v>
      </c>
      <c r="Q44" s="120">
        <f t="shared" si="8"/>
        <v>5.5134385691651524E-3</v>
      </c>
    </row>
    <row r="45" spans="3:17" ht="15" customHeight="1" x14ac:dyDescent="0.2">
      <c r="C45" s="43" t="s">
        <v>199</v>
      </c>
      <c r="D45" s="144">
        <v>0</v>
      </c>
      <c r="E45" s="144">
        <v>2.6601298658886949</v>
      </c>
      <c r="F45" s="144">
        <v>1.7848302778095264</v>
      </c>
      <c r="G45" s="144">
        <v>1.7233087295605172</v>
      </c>
      <c r="H45" s="144">
        <v>2.4661018541584028</v>
      </c>
      <c r="I45" s="144">
        <v>0.92448905755649058</v>
      </c>
      <c r="J45" s="14" t="s">
        <v>98</v>
      </c>
      <c r="K45" s="14">
        <f t="shared" si="5"/>
        <v>-0.32904393101377738</v>
      </c>
      <c r="L45" s="14">
        <f t="shared" si="5"/>
        <v>-3.4469130770525158E-2</v>
      </c>
      <c r="M45" s="14">
        <f t="shared" si="5"/>
        <v>0.43102730918522925</v>
      </c>
      <c r="N45" s="14">
        <f t="shared" si="5"/>
        <v>-0.62512129983699016</v>
      </c>
      <c r="O45" s="120">
        <f t="shared" si="6"/>
        <v>4.7884913949405887E-3</v>
      </c>
      <c r="P45" s="120">
        <f t="shared" si="7"/>
        <v>6.9824343867890132E-3</v>
      </c>
      <c r="Q45" s="120">
        <f t="shared" si="8"/>
        <v>2.6188801178749573E-3</v>
      </c>
    </row>
    <row r="46" spans="3:17" ht="15" customHeight="1" x14ac:dyDescent="0.2">
      <c r="C46" s="65" t="s">
        <v>200</v>
      </c>
      <c r="D46" s="104">
        <v>388.14461438331301</v>
      </c>
      <c r="E46" s="104">
        <v>376.69051645709465</v>
      </c>
      <c r="F46" s="104">
        <v>357.95475030382158</v>
      </c>
      <c r="G46" s="104">
        <v>359.88552289794779</v>
      </c>
      <c r="H46" s="104">
        <v>353.1865417631916</v>
      </c>
      <c r="I46" s="104">
        <v>353.00930777490129</v>
      </c>
      <c r="J46" s="103">
        <f>E46/D46-1</f>
        <v>-2.9509872098616441E-2</v>
      </c>
      <c r="K46" s="103">
        <f t="shared" ref="K46:N46" si="9">F46/E46-1</f>
        <v>-4.9737822787495278E-2</v>
      </c>
      <c r="L46" s="103">
        <f t="shared" si="9"/>
        <v>5.3939013031323313E-3</v>
      </c>
      <c r="M46" s="103">
        <f t="shared" si="9"/>
        <v>-1.8614200095667166E-2</v>
      </c>
      <c r="N46" s="103">
        <f t="shared" si="9"/>
        <v>-5.0181410482263988E-4</v>
      </c>
      <c r="O46" s="103">
        <f t="shared" si="6"/>
        <v>1</v>
      </c>
      <c r="P46" s="103">
        <f t="shared" si="7"/>
        <v>1</v>
      </c>
      <c r="Q46" s="103">
        <f t="shared" si="8"/>
        <v>1</v>
      </c>
    </row>
    <row r="47" spans="3:17" ht="12.75" customHeight="1" x14ac:dyDescent="0.2">
      <c r="C47" s="297" t="s">
        <v>201</v>
      </c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</row>
  </sheetData>
  <mergeCells count="13">
    <mergeCell ref="C23:Q23"/>
    <mergeCell ref="C3:Q3"/>
    <mergeCell ref="D4:H4"/>
    <mergeCell ref="O4:O5"/>
    <mergeCell ref="P4:P5"/>
    <mergeCell ref="Q4:Q5"/>
    <mergeCell ref="C47:Q47"/>
    <mergeCell ref="R25:R26"/>
    <mergeCell ref="C27:Q27"/>
    <mergeCell ref="D28:H28"/>
    <mergeCell ref="O28:O29"/>
    <mergeCell ref="P28:P29"/>
    <mergeCell ref="Q28:Q29"/>
  </mergeCells>
  <hyperlinks>
    <hyperlink ref="R25:R26" location="'GRAFICA GASTO PARTIDA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L49:L50"/>
  <sheetViews>
    <sheetView showGridLines="0" topLeftCell="A4" zoomScaleNormal="100" workbookViewId="0">
      <selection activeCell="L59" sqref="L59"/>
    </sheetView>
  </sheetViews>
  <sheetFormatPr baseColWidth="10" defaultRowHeight="12.75" x14ac:dyDescent="0.2"/>
  <cols>
    <col min="10" max="10" width="13.5703125" customWidth="1"/>
  </cols>
  <sheetData>
    <row r="49" spans="12:12" x14ac:dyDescent="0.2">
      <c r="L49" s="294" t="s">
        <v>76</v>
      </c>
    </row>
    <row r="50" spans="12:12" x14ac:dyDescent="0.2">
      <c r="L50" s="294"/>
    </row>
  </sheetData>
  <mergeCells count="1">
    <mergeCell ref="L49:L50"/>
  </mergeCells>
  <hyperlinks>
    <hyperlink ref="L49:L50" location="'Gasto partida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6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O86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3" max="3" width="23.7109375" customWidth="1"/>
    <col min="4" max="9" width="7.7109375" customWidth="1"/>
    <col min="10" max="13" width="7.7109375" hidden="1" customWidth="1"/>
    <col min="14" max="14" width="7.7109375" customWidth="1"/>
  </cols>
  <sheetData>
    <row r="2" spans="3:15" ht="32.25" customHeight="1" x14ac:dyDescent="0.2"/>
    <row r="3" spans="3:15" ht="26.25" customHeight="1" x14ac:dyDescent="0.2">
      <c r="C3" s="308" t="s">
        <v>209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3:15" ht="25.5" x14ac:dyDescent="0.2">
      <c r="C4" s="149"/>
      <c r="D4" s="42">
        <v>2007</v>
      </c>
      <c r="E4" s="42">
        <v>2008</v>
      </c>
      <c r="F4" s="42">
        <v>2009</v>
      </c>
      <c r="G4" s="42">
        <v>2010</v>
      </c>
      <c r="H4" s="42">
        <v>2011</v>
      </c>
      <c r="I4" s="42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5" ht="15" customHeight="1" x14ac:dyDescent="0.2">
      <c r="C5" s="150" t="s">
        <v>210</v>
      </c>
      <c r="D5" s="13">
        <v>41.227272727272698</v>
      </c>
      <c r="E5" s="13">
        <v>40.836363636363636</v>
      </c>
      <c r="F5" s="13">
        <v>37.590909090909093</v>
      </c>
      <c r="G5" s="13">
        <v>38.618181818181817</v>
      </c>
      <c r="H5" s="13">
        <v>41.4</v>
      </c>
      <c r="I5" s="13">
        <v>40.836363636363636</v>
      </c>
      <c r="J5" s="151">
        <f t="shared" ref="J5:N10" si="0">E5/D5-1</f>
        <v>-9.4818081587644265E-3</v>
      </c>
      <c r="K5" s="151">
        <f t="shared" si="0"/>
        <v>-7.9474621549421087E-2</v>
      </c>
      <c r="L5" s="151">
        <f t="shared" si="0"/>
        <v>2.7327690447400244E-2</v>
      </c>
      <c r="M5" s="151">
        <f t="shared" si="0"/>
        <v>7.2033898305084776E-2</v>
      </c>
      <c r="N5" s="151">
        <f t="shared" si="0"/>
        <v>-1.3614404918752765E-2</v>
      </c>
    </row>
    <row r="6" spans="3:15" ht="15" customHeight="1" x14ac:dyDescent="0.2">
      <c r="C6" s="152" t="s">
        <v>211</v>
      </c>
      <c r="D6" s="17">
        <v>58.090909090909101</v>
      </c>
      <c r="E6" s="17">
        <v>58.663636363636364</v>
      </c>
      <c r="F6" s="17">
        <v>61.654545454545456</v>
      </c>
      <c r="G6" s="17">
        <v>60.863636363636367</v>
      </c>
      <c r="H6" s="17">
        <v>58.209090909090911</v>
      </c>
      <c r="I6" s="17">
        <v>59.018181818181816</v>
      </c>
      <c r="J6" s="103">
        <f t="shared" si="0"/>
        <v>9.8591549295772296E-3</v>
      </c>
      <c r="K6" s="103">
        <f t="shared" si="0"/>
        <v>5.0984038431737266E-2</v>
      </c>
      <c r="L6" s="103">
        <f t="shared" si="0"/>
        <v>-1.2828074314361504E-2</v>
      </c>
      <c r="M6" s="103">
        <f t="shared" si="0"/>
        <v>-4.3614637789395116E-2</v>
      </c>
      <c r="N6" s="103">
        <f t="shared" si="0"/>
        <v>1.3899734499453364E-2</v>
      </c>
    </row>
    <row r="7" spans="3:15" ht="15" customHeight="1" x14ac:dyDescent="0.2">
      <c r="C7" s="153" t="s">
        <v>212</v>
      </c>
      <c r="D7" s="13">
        <v>13.3090909090909</v>
      </c>
      <c r="E7" s="13">
        <v>13.727272727272727</v>
      </c>
      <c r="F7" s="13">
        <v>14.372727272727273</v>
      </c>
      <c r="G7" s="13">
        <v>14.736363636363636</v>
      </c>
      <c r="H7" s="13">
        <v>14.236363636363636</v>
      </c>
      <c r="I7" s="13">
        <v>13.627272727272727</v>
      </c>
      <c r="J7" s="151">
        <f t="shared" si="0"/>
        <v>3.142076502732305E-2</v>
      </c>
      <c r="K7" s="151">
        <f t="shared" si="0"/>
        <v>4.7019867549668914E-2</v>
      </c>
      <c r="L7" s="151">
        <f t="shared" si="0"/>
        <v>2.5300442757748343E-2</v>
      </c>
      <c r="M7" s="151">
        <f t="shared" si="0"/>
        <v>-3.3929673041332542E-2</v>
      </c>
      <c r="N7" s="151">
        <f t="shared" si="0"/>
        <v>-4.2784163473818637E-2</v>
      </c>
    </row>
    <row r="8" spans="3:15" ht="15" customHeight="1" x14ac:dyDescent="0.2">
      <c r="C8" s="154" t="s">
        <v>213</v>
      </c>
      <c r="D8" s="88">
        <v>14.8545454545455</v>
      </c>
      <c r="E8" s="88">
        <v>15.654545454545454</v>
      </c>
      <c r="F8" s="88">
        <v>16.100000000000001</v>
      </c>
      <c r="G8" s="88">
        <v>16.372727272727271</v>
      </c>
      <c r="H8" s="88">
        <v>15.5</v>
      </c>
      <c r="I8" s="88">
        <v>16.172727272727272</v>
      </c>
      <c r="J8" s="151">
        <f t="shared" si="0"/>
        <v>5.3855569155443428E-2</v>
      </c>
      <c r="K8" s="151">
        <f t="shared" si="0"/>
        <v>2.8455284552845628E-2</v>
      </c>
      <c r="L8" s="151">
        <f t="shared" si="0"/>
        <v>1.6939582156973332E-2</v>
      </c>
      <c r="M8" s="151">
        <f t="shared" si="0"/>
        <v>-5.3303720155469136E-2</v>
      </c>
      <c r="N8" s="151">
        <f t="shared" si="0"/>
        <v>4.3401759530791839E-2</v>
      </c>
    </row>
    <row r="9" spans="3:15" ht="15" customHeight="1" x14ac:dyDescent="0.2">
      <c r="C9" s="154" t="s">
        <v>214</v>
      </c>
      <c r="D9" s="13">
        <v>29.927272727272701</v>
      </c>
      <c r="E9" s="13">
        <v>29.281818181818181</v>
      </c>
      <c r="F9" s="13">
        <v>31.181818181818183</v>
      </c>
      <c r="G9" s="13">
        <v>29.754545454545454</v>
      </c>
      <c r="H9" s="13">
        <v>28.472727272727273</v>
      </c>
      <c r="I9" s="13">
        <v>29.218181818181819</v>
      </c>
      <c r="J9" s="151">
        <f t="shared" si="0"/>
        <v>-2.1567436208990709E-2</v>
      </c>
      <c r="K9" s="151">
        <f t="shared" si="0"/>
        <v>6.4886681154920911E-2</v>
      </c>
      <c r="L9" s="151">
        <f t="shared" si="0"/>
        <v>-4.5772594752186646E-2</v>
      </c>
      <c r="M9" s="151">
        <f t="shared" si="0"/>
        <v>-4.3079743354720423E-2</v>
      </c>
      <c r="N9" s="151">
        <f t="shared" si="0"/>
        <v>2.6181353767560589E-2</v>
      </c>
    </row>
    <row r="10" spans="3:15" ht="15" customHeight="1" x14ac:dyDescent="0.2">
      <c r="C10" s="150" t="s">
        <v>71</v>
      </c>
      <c r="D10" s="13">
        <v>0.68181818181818199</v>
      </c>
      <c r="E10" s="13">
        <v>0.5</v>
      </c>
      <c r="F10" s="13">
        <v>0.75454545454545452</v>
      </c>
      <c r="G10" s="13">
        <v>0.51818181818181819</v>
      </c>
      <c r="H10" s="13">
        <v>0.39090909090909093</v>
      </c>
      <c r="I10" s="13">
        <v>0.14545454545454545</v>
      </c>
      <c r="J10" s="151">
        <f t="shared" si="0"/>
        <v>-0.26666666666666683</v>
      </c>
      <c r="K10" s="151">
        <f t="shared" si="0"/>
        <v>0.50909090909090904</v>
      </c>
      <c r="L10" s="151">
        <f t="shared" si="0"/>
        <v>-0.31325301204819278</v>
      </c>
      <c r="M10" s="151">
        <f t="shared" si="0"/>
        <v>-0.24561403508771928</v>
      </c>
      <c r="N10" s="151">
        <f t="shared" si="0"/>
        <v>-0.62790697674418605</v>
      </c>
    </row>
    <row r="11" spans="3:15" ht="15" customHeight="1" x14ac:dyDescent="0.2">
      <c r="C11" s="297" t="s">
        <v>215</v>
      </c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</row>
    <row r="12" spans="3:15" x14ac:dyDescent="0.2"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3:15" x14ac:dyDescent="0.2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96" t="s">
        <v>102</v>
      </c>
    </row>
    <row r="14" spans="3:15" x14ac:dyDescent="0.2">
      <c r="C14" s="15"/>
      <c r="D14" s="15"/>
      <c r="E14" s="15"/>
      <c r="F14" s="15"/>
      <c r="G14" s="15"/>
      <c r="O14" s="296"/>
    </row>
    <row r="15" spans="3:15" ht="63.75" customHeight="1" x14ac:dyDescent="0.2">
      <c r="C15" s="308" t="s">
        <v>216</v>
      </c>
      <c r="D15" s="308"/>
      <c r="E15" s="308"/>
      <c r="F15" s="308"/>
    </row>
    <row r="16" spans="3:15" ht="25.5" x14ac:dyDescent="0.2">
      <c r="C16" s="149"/>
      <c r="D16" s="42">
        <v>2011</v>
      </c>
      <c r="E16" s="42">
        <v>2012</v>
      </c>
      <c r="F16" s="142" t="s">
        <v>105</v>
      </c>
    </row>
    <row r="17" spans="3:6" ht="15" customHeight="1" x14ac:dyDescent="0.2">
      <c r="C17" s="150" t="s">
        <v>210</v>
      </c>
      <c r="D17" s="13">
        <v>59.236363636363635</v>
      </c>
      <c r="E17" s="13">
        <v>57.590909090909093</v>
      </c>
      <c r="F17" s="151">
        <v>-2.7777777777777679E-2</v>
      </c>
    </row>
    <row r="18" spans="3:6" ht="15" customHeight="1" x14ac:dyDescent="0.2">
      <c r="C18" s="152" t="s">
        <v>211</v>
      </c>
      <c r="D18" s="17">
        <v>38.281818181818181</v>
      </c>
      <c r="E18" s="17">
        <v>40.354545454545452</v>
      </c>
      <c r="F18" s="103">
        <v>5.4143908810258878E-2</v>
      </c>
    </row>
    <row r="19" spans="3:6" ht="15" customHeight="1" x14ac:dyDescent="0.2">
      <c r="C19" s="153" t="s">
        <v>212</v>
      </c>
      <c r="D19" s="13">
        <v>7.8545454545454545</v>
      </c>
      <c r="E19" s="13">
        <v>8.5545454545454547</v>
      </c>
      <c r="F19" s="151">
        <v>8.9120370370370461E-2</v>
      </c>
    </row>
    <row r="20" spans="3:6" ht="15" customHeight="1" x14ac:dyDescent="0.2">
      <c r="C20" s="154" t="s">
        <v>213</v>
      </c>
      <c r="D20" s="13">
        <v>13.036363636363635</v>
      </c>
      <c r="E20" s="13">
        <v>14.145454545454545</v>
      </c>
      <c r="F20" s="151">
        <f>E20/D20-1</f>
        <v>8.5076708507670906E-2</v>
      </c>
    </row>
    <row r="21" spans="3:6" ht="15" customHeight="1" x14ac:dyDescent="0.2">
      <c r="C21" s="154" t="s">
        <v>214</v>
      </c>
      <c r="D21" s="13">
        <v>17.390909090909091</v>
      </c>
      <c r="E21" s="13">
        <v>17.654545454545456</v>
      </c>
      <c r="F21" s="151">
        <f>E21/D21-1</f>
        <v>1.5159435441714608E-2</v>
      </c>
    </row>
    <row r="22" spans="3:6" ht="15" customHeight="1" x14ac:dyDescent="0.2">
      <c r="C22" s="150" t="s">
        <v>71</v>
      </c>
      <c r="D22" s="13">
        <v>2.4818181818181819</v>
      </c>
      <c r="E22" s="13">
        <v>2.0545454545454547</v>
      </c>
      <c r="F22" s="151">
        <v>-0.1721611721611721</v>
      </c>
    </row>
    <row r="23" spans="3:6" ht="22.5" customHeight="1" x14ac:dyDescent="0.2">
      <c r="C23" s="297" t="s">
        <v>215</v>
      </c>
      <c r="D23" s="297"/>
      <c r="E23" s="297"/>
      <c r="F23" s="297"/>
    </row>
    <row r="86" spans="4:4" x14ac:dyDescent="0.2">
      <c r="D86" s="156"/>
    </row>
  </sheetData>
  <mergeCells count="5">
    <mergeCell ref="C3:N3"/>
    <mergeCell ref="C11:N11"/>
    <mergeCell ref="O13:O14"/>
    <mergeCell ref="C15:F15"/>
    <mergeCell ref="C23:F23"/>
  </mergeCells>
  <hyperlinks>
    <hyperlink ref="O13:O14" location="'GRAFICA FIDELIDAD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5:R153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2" max="2" width="10.140625" customWidth="1"/>
    <col min="3" max="3" width="13.7109375" customWidth="1"/>
    <col min="11" max="11" width="6.7109375" customWidth="1"/>
  </cols>
  <sheetData>
    <row r="35" spans="18:18" ht="29.25" customHeight="1" x14ac:dyDescent="0.2"/>
    <row r="37" spans="18:18" x14ac:dyDescent="0.2">
      <c r="R37" s="296" t="s">
        <v>76</v>
      </c>
    </row>
    <row r="38" spans="18:18" x14ac:dyDescent="0.2">
      <c r="R38" s="296"/>
    </row>
    <row r="152" spans="4:5" ht="13.5" thickBot="1" x14ac:dyDescent="0.25"/>
    <row r="153" spans="4:5" x14ac:dyDescent="0.2">
      <c r="D153" s="155" t="e">
        <f>#REF!</f>
        <v>#REF!</v>
      </c>
      <c r="E153" s="157" t="e">
        <f>#REF!</f>
        <v>#REF!</v>
      </c>
    </row>
  </sheetData>
  <mergeCells count="1">
    <mergeCell ref="R37:R38"/>
  </mergeCells>
  <hyperlinks>
    <hyperlink ref="R37:R38" location="'fidelid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3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W153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3" max="3" width="14.28515625" bestFit="1" customWidth="1"/>
    <col min="4" max="4" width="7.7109375" customWidth="1"/>
    <col min="5" max="5" width="8.7109375" bestFit="1" customWidth="1"/>
    <col min="6" max="9" width="8.7109375" customWidth="1"/>
    <col min="10" max="10" width="7.7109375" customWidth="1"/>
    <col min="11" max="11" width="8.7109375" bestFit="1" customWidth="1"/>
    <col min="12" max="12" width="7.140625" bestFit="1" customWidth="1"/>
    <col min="13" max="13" width="8.7109375" customWidth="1"/>
    <col min="14" max="14" width="7.140625" bestFit="1" customWidth="1"/>
    <col min="15" max="15" width="8.5703125" bestFit="1" customWidth="1"/>
    <col min="16" max="16" width="7.140625" hidden="1" customWidth="1"/>
    <col min="17" max="21" width="8.7109375" hidden="1" customWidth="1"/>
    <col min="22" max="22" width="7.140625" bestFit="1" customWidth="1"/>
    <col min="23" max="23" width="8.5703125" bestFit="1" customWidth="1"/>
  </cols>
  <sheetData>
    <row r="2" spans="3:23" ht="32.25" customHeight="1" x14ac:dyDescent="0.2"/>
    <row r="3" spans="3:23" ht="39.75" customHeight="1" x14ac:dyDescent="0.2">
      <c r="C3" s="308" t="s">
        <v>217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</row>
    <row r="4" spans="3:23" ht="25.5" customHeight="1" x14ac:dyDescent="0.2">
      <c r="C4" s="149"/>
      <c r="D4" s="309">
        <v>2007</v>
      </c>
      <c r="E4" s="309"/>
      <c r="F4" s="309">
        <v>2008</v>
      </c>
      <c r="G4" s="309"/>
      <c r="H4" s="309">
        <v>2009</v>
      </c>
      <c r="I4" s="309"/>
      <c r="J4" s="309">
        <v>2010</v>
      </c>
      <c r="K4" s="309"/>
      <c r="L4" s="309">
        <v>2011</v>
      </c>
      <c r="M4" s="309"/>
      <c r="N4" s="309">
        <v>2012</v>
      </c>
      <c r="O4" s="309"/>
      <c r="P4" s="304" t="s">
        <v>218</v>
      </c>
      <c r="Q4" s="304"/>
      <c r="R4" s="304" t="s">
        <v>219</v>
      </c>
      <c r="S4" s="304"/>
      <c r="T4" s="304" t="s">
        <v>220</v>
      </c>
      <c r="U4" s="304"/>
      <c r="V4" s="304" t="s">
        <v>221</v>
      </c>
      <c r="W4" s="304"/>
    </row>
    <row r="5" spans="3:23" x14ac:dyDescent="0.2">
      <c r="C5" s="158"/>
      <c r="D5" s="158" t="s">
        <v>222</v>
      </c>
      <c r="E5" s="158" t="s">
        <v>223</v>
      </c>
      <c r="F5" s="158" t="s">
        <v>222</v>
      </c>
      <c r="G5" s="158" t="s">
        <v>223</v>
      </c>
      <c r="H5" s="158" t="s">
        <v>222</v>
      </c>
      <c r="I5" s="158" t="s">
        <v>223</v>
      </c>
      <c r="J5" s="158" t="s">
        <v>222</v>
      </c>
      <c r="K5" s="158" t="s">
        <v>223</v>
      </c>
      <c r="L5" s="158" t="s">
        <v>222</v>
      </c>
      <c r="M5" s="158" t="s">
        <v>223</v>
      </c>
      <c r="N5" s="158" t="s">
        <v>222</v>
      </c>
      <c r="O5" s="158" t="s">
        <v>223</v>
      </c>
      <c r="P5" s="159" t="s">
        <v>223</v>
      </c>
      <c r="Q5" s="159" t="s">
        <v>223</v>
      </c>
      <c r="R5" s="159" t="s">
        <v>222</v>
      </c>
      <c r="S5" s="159" t="s">
        <v>223</v>
      </c>
      <c r="T5" s="159" t="s">
        <v>222</v>
      </c>
      <c r="U5" s="159" t="s">
        <v>223</v>
      </c>
      <c r="V5" s="159" t="s">
        <v>222</v>
      </c>
      <c r="W5" s="159" t="s">
        <v>223</v>
      </c>
    </row>
    <row r="6" spans="3:23" ht="15" customHeight="1" x14ac:dyDescent="0.2">
      <c r="C6" s="154" t="s">
        <v>101</v>
      </c>
      <c r="D6" s="13" t="s">
        <v>98</v>
      </c>
      <c r="E6" s="13" t="s">
        <v>98</v>
      </c>
      <c r="F6" s="160">
        <v>7.1005917159763312</v>
      </c>
      <c r="G6" s="160">
        <v>76.331360946745562</v>
      </c>
      <c r="H6" s="13">
        <v>5.4216867469879517</v>
      </c>
      <c r="I6" s="13">
        <v>70.481927710843379</v>
      </c>
      <c r="J6" s="160">
        <v>4.2016806722689077</v>
      </c>
      <c r="K6" s="160">
        <v>84.033613445378151</v>
      </c>
      <c r="L6" s="13">
        <v>5.2631578947368425</v>
      </c>
      <c r="M6" s="13">
        <v>81.05263157894737</v>
      </c>
      <c r="N6" s="13">
        <v>8.8235294117647065</v>
      </c>
      <c r="O6" s="13">
        <v>82.352941176470594</v>
      </c>
      <c r="P6" s="161" t="s">
        <v>98</v>
      </c>
      <c r="Q6" s="161">
        <f t="shared" ref="Q6:W24" si="0">I6/G6-1</f>
        <v>-7.663210983468749E-2</v>
      </c>
      <c r="R6" s="161">
        <f t="shared" si="0"/>
        <v>-0.22502334267040147</v>
      </c>
      <c r="S6" s="161">
        <f t="shared" si="0"/>
        <v>0.19227178050707461</v>
      </c>
      <c r="T6" s="161">
        <f t="shared" si="0"/>
        <v>0.25263157894736854</v>
      </c>
      <c r="U6" s="161">
        <f t="shared" si="0"/>
        <v>-3.5473684210526324E-2</v>
      </c>
      <c r="V6" s="161">
        <f t="shared" si="0"/>
        <v>0.67647058823529416</v>
      </c>
      <c r="W6" s="161">
        <f t="shared" si="0"/>
        <v>1.6042780748663166E-2</v>
      </c>
    </row>
    <row r="7" spans="3:23" ht="15" customHeight="1" x14ac:dyDescent="0.2">
      <c r="C7" s="150" t="s">
        <v>87</v>
      </c>
      <c r="D7" s="13">
        <v>21.044007490636702</v>
      </c>
      <c r="E7" s="13">
        <v>78.675093632958806</v>
      </c>
      <c r="F7" s="160">
        <v>20.834406386814319</v>
      </c>
      <c r="G7" s="160">
        <v>78.805047643574554</v>
      </c>
      <c r="H7" s="13">
        <v>18.505060991435244</v>
      </c>
      <c r="I7" s="13">
        <v>81.209447184012461</v>
      </c>
      <c r="J7" s="160">
        <v>20.634108923548965</v>
      </c>
      <c r="K7" s="160">
        <v>78.931219636921497</v>
      </c>
      <c r="L7" s="13">
        <v>24.069416498993963</v>
      </c>
      <c r="M7" s="13">
        <v>75.779678068410462</v>
      </c>
      <c r="N7" s="13">
        <v>22.1082328802257</v>
      </c>
      <c r="O7" s="13">
        <v>77.866119517825084</v>
      </c>
      <c r="P7" s="161">
        <f t="shared" ref="P7:P16" si="1">G7/E7-1</f>
        <v>1.6517808192515471E-3</v>
      </c>
      <c r="Q7" s="161">
        <f t="shared" si="0"/>
        <v>3.0510730116079632E-2</v>
      </c>
      <c r="R7" s="161">
        <f t="shared" si="0"/>
        <v>0.11505219750959572</v>
      </c>
      <c r="S7" s="161">
        <f t="shared" si="0"/>
        <v>-2.8053725595850065E-2</v>
      </c>
      <c r="T7" s="161">
        <f t="shared" si="0"/>
        <v>0.16648683925112007</v>
      </c>
      <c r="U7" s="161">
        <f t="shared" si="0"/>
        <v>-3.9927693794773789E-2</v>
      </c>
      <c r="V7" s="161">
        <f t="shared" si="0"/>
        <v>-8.1480314192503789E-2</v>
      </c>
      <c r="W7" s="161">
        <f t="shared" si="0"/>
        <v>2.7532994367316821E-2</v>
      </c>
    </row>
    <row r="8" spans="3:23" ht="15" customHeight="1" x14ac:dyDescent="0.2">
      <c r="C8" s="154" t="s">
        <v>86</v>
      </c>
      <c r="D8" s="13">
        <v>36.787564766839402</v>
      </c>
      <c r="E8" s="13">
        <v>63.212435233160598</v>
      </c>
      <c r="F8" s="160">
        <v>33.2129963898917</v>
      </c>
      <c r="G8" s="160">
        <v>66.4259927797834</v>
      </c>
      <c r="H8" s="13">
        <v>31.914893617021278</v>
      </c>
      <c r="I8" s="13">
        <v>67.781155015197569</v>
      </c>
      <c r="J8" s="160">
        <v>31.365313653136532</v>
      </c>
      <c r="K8" s="160">
        <v>67.896678966789665</v>
      </c>
      <c r="L8" s="13">
        <v>40.963855421686745</v>
      </c>
      <c r="M8" s="13">
        <v>58.433734939759034</v>
      </c>
      <c r="N8" s="13">
        <v>36.666666666666664</v>
      </c>
      <c r="O8" s="13">
        <v>63.333333333333336</v>
      </c>
      <c r="P8" s="161">
        <f t="shared" si="1"/>
        <v>5.0837426762147642E-2</v>
      </c>
      <c r="Q8" s="161">
        <f t="shared" si="0"/>
        <v>2.0401083652702434E-2</v>
      </c>
      <c r="R8" s="161">
        <f t="shared" si="0"/>
        <v>-1.7220172201722006E-2</v>
      </c>
      <c r="S8" s="161">
        <f t="shared" si="0"/>
        <v>1.7043668194529626E-3</v>
      </c>
      <c r="T8" s="161">
        <f t="shared" si="0"/>
        <v>0.30602409638554207</v>
      </c>
      <c r="U8" s="161">
        <f t="shared" si="0"/>
        <v>-0.13937270822420111</v>
      </c>
      <c r="V8" s="161">
        <f t="shared" si="0"/>
        <v>-0.10490196078431369</v>
      </c>
      <c r="W8" s="161">
        <f t="shared" si="0"/>
        <v>8.3848797250859253E-2</v>
      </c>
    </row>
    <row r="9" spans="3:23" ht="15" customHeight="1" x14ac:dyDescent="0.2">
      <c r="C9" s="150" t="s">
        <v>88</v>
      </c>
      <c r="D9" s="13">
        <v>33.3333333333333</v>
      </c>
      <c r="E9" s="13">
        <v>66.6666666666667</v>
      </c>
      <c r="F9" s="160">
        <v>35.887096774193552</v>
      </c>
      <c r="G9" s="160">
        <v>64.112903225806448</v>
      </c>
      <c r="H9" s="13">
        <v>34.384858044164041</v>
      </c>
      <c r="I9" s="13">
        <v>65.299684542586746</v>
      </c>
      <c r="J9" s="160">
        <v>31.446540880503143</v>
      </c>
      <c r="K9" s="160">
        <v>68.23899371069183</v>
      </c>
      <c r="L9" s="13">
        <v>38.509316770186338</v>
      </c>
      <c r="M9" s="13">
        <v>61.180124223602483</v>
      </c>
      <c r="N9" s="13">
        <v>37.243401759530791</v>
      </c>
      <c r="O9" s="13">
        <v>62.756598240469209</v>
      </c>
      <c r="P9" s="161">
        <f t="shared" si="1"/>
        <v>-3.8306451612903802E-2</v>
      </c>
      <c r="Q9" s="161">
        <f t="shared" si="0"/>
        <v>1.851080292839713E-2</v>
      </c>
      <c r="R9" s="161">
        <f t="shared" si="0"/>
        <v>-8.5453811089954534E-2</v>
      </c>
      <c r="S9" s="161">
        <f t="shared" si="0"/>
        <v>4.5012608999483561E-2</v>
      </c>
      <c r="T9" s="161">
        <f t="shared" si="0"/>
        <v>0.22459627329192555</v>
      </c>
      <c r="U9" s="161">
        <f t="shared" si="0"/>
        <v>-0.10344334087071028</v>
      </c>
      <c r="V9" s="161">
        <f t="shared" si="0"/>
        <v>-3.2872954308958535E-2</v>
      </c>
      <c r="W9" s="161">
        <f t="shared" si="0"/>
        <v>2.576774788990277E-2</v>
      </c>
    </row>
    <row r="10" spans="3:23" ht="15" customHeight="1" x14ac:dyDescent="0.2">
      <c r="C10" s="150" t="s">
        <v>224</v>
      </c>
      <c r="D10" s="13">
        <v>54.729729729729698</v>
      </c>
      <c r="E10" s="13">
        <v>45.270270270270302</v>
      </c>
      <c r="F10" s="160">
        <v>34.759358288770052</v>
      </c>
      <c r="G10" s="160">
        <v>65.240641711229941</v>
      </c>
      <c r="H10" s="13">
        <v>42.58064516129032</v>
      </c>
      <c r="I10" s="13">
        <v>56.774193548387096</v>
      </c>
      <c r="J10" s="160">
        <v>33.720930232558139</v>
      </c>
      <c r="K10" s="160">
        <v>66.279069767441854</v>
      </c>
      <c r="L10" s="13">
        <v>35.35911602209945</v>
      </c>
      <c r="M10" s="13">
        <v>64.088397790055254</v>
      </c>
      <c r="N10" s="13">
        <v>37.724550898203596</v>
      </c>
      <c r="O10" s="13">
        <v>62.275449101796404</v>
      </c>
      <c r="P10" s="161">
        <f t="shared" si="1"/>
        <v>0.44113656317343652</v>
      </c>
      <c r="Q10" s="161">
        <f t="shared" si="0"/>
        <v>-0.12977260708619776</v>
      </c>
      <c r="R10" s="161">
        <f t="shared" si="0"/>
        <v>-0.20806906272022552</v>
      </c>
      <c r="S10" s="161">
        <f t="shared" si="0"/>
        <v>0.16741543340380538</v>
      </c>
      <c r="T10" s="161">
        <f t="shared" si="0"/>
        <v>4.858068203467325E-2</v>
      </c>
      <c r="U10" s="161">
        <f t="shared" si="0"/>
        <v>-3.3052243869341691E-2</v>
      </c>
      <c r="V10" s="161">
        <f t="shared" si="0"/>
        <v>6.6897455089820479E-2</v>
      </c>
      <c r="W10" s="161">
        <f t="shared" si="0"/>
        <v>-2.8288251084038984E-2</v>
      </c>
    </row>
    <row r="11" spans="3:23" ht="15" customHeight="1" x14ac:dyDescent="0.2">
      <c r="C11" s="154" t="s">
        <v>82</v>
      </c>
      <c r="D11" s="13">
        <v>44.295302013422798</v>
      </c>
      <c r="E11" s="13">
        <v>55.704697986577202</v>
      </c>
      <c r="F11" s="160">
        <v>37.689969604863222</v>
      </c>
      <c r="G11" s="160">
        <v>62.006079027355625</v>
      </c>
      <c r="H11" s="13">
        <v>36.337209302325583</v>
      </c>
      <c r="I11" s="13">
        <v>63.372093023255815</v>
      </c>
      <c r="J11" s="160">
        <v>34.005763688760808</v>
      </c>
      <c r="K11" s="160">
        <v>65.129682997118152</v>
      </c>
      <c r="L11" s="13">
        <v>42.372881355932201</v>
      </c>
      <c r="M11" s="13">
        <v>57.344632768361585</v>
      </c>
      <c r="N11" s="13">
        <v>37.804878048780488</v>
      </c>
      <c r="O11" s="13">
        <v>62.195121951219512</v>
      </c>
      <c r="P11" s="161">
        <f t="shared" si="1"/>
        <v>0.11312117771999808</v>
      </c>
      <c r="Q11" s="161">
        <f t="shared" si="0"/>
        <v>2.2030323757409986E-2</v>
      </c>
      <c r="R11" s="161">
        <f t="shared" si="0"/>
        <v>-6.4161383285302631E-2</v>
      </c>
      <c r="S11" s="161">
        <f t="shared" si="0"/>
        <v>2.7734447293974451E-2</v>
      </c>
      <c r="T11" s="161">
        <f t="shared" si="0"/>
        <v>0.2460499856363112</v>
      </c>
      <c r="U11" s="161">
        <f t="shared" si="0"/>
        <v>-0.11953152342382867</v>
      </c>
      <c r="V11" s="161">
        <f t="shared" si="0"/>
        <v>-0.10780487804878047</v>
      </c>
      <c r="W11" s="161">
        <f t="shared" si="0"/>
        <v>8.4584885257719566E-2</v>
      </c>
    </row>
    <row r="12" spans="3:23" ht="15" customHeight="1" x14ac:dyDescent="0.2">
      <c r="C12" s="150" t="s">
        <v>84</v>
      </c>
      <c r="D12" s="13">
        <v>43.2900432900433</v>
      </c>
      <c r="E12" s="13">
        <v>56.601731601731601</v>
      </c>
      <c r="F12" s="160">
        <v>35.957066189624328</v>
      </c>
      <c r="G12" s="160">
        <v>63.864042933810374</v>
      </c>
      <c r="H12" s="13">
        <v>34.098639455782312</v>
      </c>
      <c r="I12" s="13">
        <v>65.476190476190482</v>
      </c>
      <c r="J12" s="160">
        <v>33.861386138613859</v>
      </c>
      <c r="K12" s="160">
        <v>65.346534653465341</v>
      </c>
      <c r="L12" s="13">
        <v>41.543798785776239</v>
      </c>
      <c r="M12" s="13">
        <v>58.022549869904594</v>
      </c>
      <c r="N12" s="13">
        <v>38.273757628596336</v>
      </c>
      <c r="O12" s="13">
        <v>61.726242371403664</v>
      </c>
      <c r="P12" s="161">
        <f t="shared" si="1"/>
        <v>0.12830546215756766</v>
      </c>
      <c r="Q12" s="161">
        <f t="shared" si="0"/>
        <v>2.5243430705615744E-2</v>
      </c>
      <c r="R12" s="161">
        <f t="shared" si="0"/>
        <v>-6.9578528925211547E-3</v>
      </c>
      <c r="S12" s="161">
        <f t="shared" si="0"/>
        <v>-1.980198019802204E-3</v>
      </c>
      <c r="T12" s="161">
        <f t="shared" si="0"/>
        <v>0.22687826823491242</v>
      </c>
      <c r="U12" s="161">
        <f t="shared" si="0"/>
        <v>-0.11207916108176297</v>
      </c>
      <c r="V12" s="161">
        <f t="shared" si="0"/>
        <v>-7.8713099253203134E-2</v>
      </c>
      <c r="W12" s="161">
        <f t="shared" si="0"/>
        <v>6.3831949988466752E-2</v>
      </c>
    </row>
    <row r="13" spans="3:23" ht="15" customHeight="1" x14ac:dyDescent="0.2">
      <c r="C13" s="153" t="s">
        <v>83</v>
      </c>
      <c r="D13" s="88">
        <v>39.375</v>
      </c>
      <c r="E13" s="88">
        <v>60</v>
      </c>
      <c r="F13" s="160">
        <v>30.837004405286343</v>
      </c>
      <c r="G13" s="160">
        <v>69.162995594713649</v>
      </c>
      <c r="H13" s="88">
        <v>28.504672897196262</v>
      </c>
      <c r="I13" s="88">
        <v>70.09345794392523</v>
      </c>
      <c r="J13" s="160">
        <v>34.090909090909093</v>
      </c>
      <c r="K13" s="160">
        <v>65.340909090909093</v>
      </c>
      <c r="L13" s="88">
        <v>39.743589743589745</v>
      </c>
      <c r="M13" s="88">
        <v>59.82905982905983</v>
      </c>
      <c r="N13" s="88">
        <v>39.004149377593365</v>
      </c>
      <c r="O13" s="88">
        <v>60.995850622406635</v>
      </c>
      <c r="P13" s="161">
        <f t="shared" si="1"/>
        <v>0.15271659324522746</v>
      </c>
      <c r="Q13" s="161">
        <f t="shared" si="0"/>
        <v>1.3453181737008268E-2</v>
      </c>
      <c r="R13" s="161">
        <f t="shared" si="0"/>
        <v>0.1959761549925485</v>
      </c>
      <c r="S13" s="161">
        <f t="shared" si="0"/>
        <v>-6.7803030303030254E-2</v>
      </c>
      <c r="T13" s="161">
        <f t="shared" si="0"/>
        <v>0.16581196581196567</v>
      </c>
      <c r="U13" s="161">
        <f t="shared" si="0"/>
        <v>-8.4355258268301814E-2</v>
      </c>
      <c r="V13" s="161">
        <f t="shared" si="0"/>
        <v>-1.8605273725070259E-2</v>
      </c>
      <c r="W13" s="161">
        <f t="shared" si="0"/>
        <v>1.9502074688796611E-2</v>
      </c>
    </row>
    <row r="14" spans="3:23" ht="15" customHeight="1" x14ac:dyDescent="0.2">
      <c r="C14" s="154" t="s">
        <v>85</v>
      </c>
      <c r="D14" s="13">
        <v>49.084249084249102</v>
      </c>
      <c r="E14" s="13">
        <v>50.915750915750898</v>
      </c>
      <c r="F14" s="160">
        <v>40.701754385964911</v>
      </c>
      <c r="G14" s="160">
        <v>59.298245614035089</v>
      </c>
      <c r="H14" s="13">
        <v>38.062283737024224</v>
      </c>
      <c r="I14" s="13">
        <v>61.937716262975776</v>
      </c>
      <c r="J14" s="160">
        <v>36.574074074074076</v>
      </c>
      <c r="K14" s="160">
        <v>62.5</v>
      </c>
      <c r="L14" s="13">
        <v>42.918454935622314</v>
      </c>
      <c r="M14" s="13">
        <v>56.652360515021456</v>
      </c>
      <c r="N14" s="13">
        <v>40.26548672566372</v>
      </c>
      <c r="O14" s="13">
        <v>59.73451327433628</v>
      </c>
      <c r="P14" s="161">
        <f t="shared" si="1"/>
        <v>0.16463460810299169</v>
      </c>
      <c r="Q14" s="161">
        <f t="shared" si="0"/>
        <v>4.4511783133023508E-2</v>
      </c>
      <c r="R14" s="161">
        <f t="shared" si="0"/>
        <v>-3.9099326599326578E-2</v>
      </c>
      <c r="S14" s="161">
        <f t="shared" si="0"/>
        <v>9.0782122905028739E-3</v>
      </c>
      <c r="T14" s="161">
        <f t="shared" si="0"/>
        <v>0.17346661596131896</v>
      </c>
      <c r="U14" s="161">
        <f t="shared" si="0"/>
        <v>-9.3562231759656722E-2</v>
      </c>
      <c r="V14" s="161">
        <f t="shared" si="0"/>
        <v>-6.1814159292035264E-2</v>
      </c>
      <c r="W14" s="161">
        <f t="shared" si="0"/>
        <v>5.4404666130329904E-2</v>
      </c>
    </row>
    <row r="15" spans="3:23" ht="15" customHeight="1" x14ac:dyDescent="0.2">
      <c r="C15" s="152" t="s">
        <v>90</v>
      </c>
      <c r="D15" s="17">
        <v>41.227272727272698</v>
      </c>
      <c r="E15" s="17">
        <v>58.090909090909101</v>
      </c>
      <c r="F15" s="17">
        <v>40.836363636363636</v>
      </c>
      <c r="G15" s="17">
        <v>58.663636363636364</v>
      </c>
      <c r="H15" s="17">
        <v>37.590909090909093</v>
      </c>
      <c r="I15" s="17">
        <v>61.654545454545456</v>
      </c>
      <c r="J15" s="17">
        <v>38.618181818181817</v>
      </c>
      <c r="K15" s="17">
        <v>60.863636363636367</v>
      </c>
      <c r="L15" s="17">
        <v>41.4</v>
      </c>
      <c r="M15" s="17">
        <v>58.209090909090911</v>
      </c>
      <c r="N15" s="17">
        <v>40.836363636363636</v>
      </c>
      <c r="O15" s="17">
        <v>59.018181818181816</v>
      </c>
      <c r="P15" s="68">
        <f t="shared" si="1"/>
        <v>9.8591549295772296E-3</v>
      </c>
      <c r="Q15" s="68">
        <f t="shared" si="0"/>
        <v>5.0984038431737266E-2</v>
      </c>
      <c r="R15" s="68">
        <f t="shared" si="0"/>
        <v>2.7327690447400244E-2</v>
      </c>
      <c r="S15" s="68">
        <f t="shared" si="0"/>
        <v>-1.2828074314361504E-2</v>
      </c>
      <c r="T15" s="68">
        <f t="shared" si="0"/>
        <v>7.2033898305084776E-2</v>
      </c>
      <c r="U15" s="68">
        <f t="shared" si="0"/>
        <v>-4.3614637789395116E-2</v>
      </c>
      <c r="V15" s="68">
        <f t="shared" si="0"/>
        <v>-1.3614404918752765E-2</v>
      </c>
      <c r="W15" s="68">
        <f t="shared" si="0"/>
        <v>1.3899734499453364E-2</v>
      </c>
    </row>
    <row r="16" spans="3:23" ht="15" customHeight="1" x14ac:dyDescent="0.2">
      <c r="C16" s="150" t="s">
        <v>99</v>
      </c>
      <c r="D16" s="13">
        <v>53.849518810148702</v>
      </c>
      <c r="E16" s="13">
        <v>43.5258092738408</v>
      </c>
      <c r="F16" s="160">
        <v>53.154952076677318</v>
      </c>
      <c r="G16" s="160">
        <v>45.367412140575077</v>
      </c>
      <c r="H16" s="13">
        <v>47.323835194455143</v>
      </c>
      <c r="I16" s="13">
        <v>50.442818636888717</v>
      </c>
      <c r="J16" s="160">
        <v>48.389630793401416</v>
      </c>
      <c r="K16" s="160">
        <v>50.7069913589945</v>
      </c>
      <c r="L16" s="13">
        <v>45.618305744888026</v>
      </c>
      <c r="M16" s="13">
        <v>53.261927945472252</v>
      </c>
      <c r="N16" s="13">
        <v>43.193193193193196</v>
      </c>
      <c r="O16" s="13">
        <v>56.256256256256258</v>
      </c>
      <c r="P16" s="161">
        <f t="shared" si="1"/>
        <v>4.2310594506075994E-2</v>
      </c>
      <c r="Q16" s="161">
        <f t="shared" si="0"/>
        <v>0.1118733967145189</v>
      </c>
      <c r="R16" s="161">
        <f t="shared" si="0"/>
        <v>2.2521327668539204E-2</v>
      </c>
      <c r="S16" s="161">
        <f t="shared" si="0"/>
        <v>5.2370729718222986E-3</v>
      </c>
      <c r="T16" s="161">
        <f t="shared" si="0"/>
        <v>-5.7271051733077005E-2</v>
      </c>
      <c r="U16" s="161">
        <f t="shared" si="0"/>
        <v>5.0386278459894296E-2</v>
      </c>
      <c r="V16" s="161">
        <f t="shared" si="0"/>
        <v>-5.3160951773545184E-2</v>
      </c>
      <c r="W16" s="161">
        <f t="shared" si="0"/>
        <v>5.6218924591867836E-2</v>
      </c>
    </row>
    <row r="17" spans="3:23" ht="15" customHeight="1" x14ac:dyDescent="0.2">
      <c r="C17" s="154" t="s">
        <v>96</v>
      </c>
      <c r="D17" s="13" t="s">
        <v>98</v>
      </c>
      <c r="E17" s="13" t="s">
        <v>98</v>
      </c>
      <c r="F17" s="160">
        <v>56.488222698072803</v>
      </c>
      <c r="G17" s="160">
        <v>43.126338329764451</v>
      </c>
      <c r="H17" s="13">
        <v>50.18510900863842</v>
      </c>
      <c r="I17" s="13">
        <v>49.074454956807898</v>
      </c>
      <c r="J17" s="160">
        <v>50.556242274412853</v>
      </c>
      <c r="K17" s="160">
        <v>49.072929542645241</v>
      </c>
      <c r="L17" s="13">
        <v>47.575293517100562</v>
      </c>
      <c r="M17" s="13">
        <v>51.914241960183766</v>
      </c>
      <c r="N17" s="13">
        <v>44.404145077720209</v>
      </c>
      <c r="O17" s="13">
        <v>55.336787564766837</v>
      </c>
      <c r="P17" s="161" t="s">
        <v>98</v>
      </c>
      <c r="Q17" s="161">
        <f t="shared" si="0"/>
        <v>0.13792306180880298</v>
      </c>
      <c r="R17" s="161">
        <f t="shared" si="0"/>
        <v>7.3952866319479948E-3</v>
      </c>
      <c r="S17" s="161">
        <f t="shared" si="0"/>
        <v>-3.1083669986720075E-5</v>
      </c>
      <c r="T17" s="161">
        <f t="shared" si="0"/>
        <v>-5.8963020651971676E-2</v>
      </c>
      <c r="U17" s="161">
        <f t="shared" si="0"/>
        <v>5.7899792085356783E-2</v>
      </c>
      <c r="V17" s="161">
        <f t="shared" si="0"/>
        <v>-6.6655362583112776E-2</v>
      </c>
      <c r="W17" s="161">
        <f t="shared" si="0"/>
        <v>6.5926910908340686E-2</v>
      </c>
    </row>
    <row r="18" spans="3:23" ht="15" customHeight="1" x14ac:dyDescent="0.2">
      <c r="C18" s="150" t="s">
        <v>91</v>
      </c>
      <c r="D18" s="13">
        <v>60.465116279069797</v>
      </c>
      <c r="E18" s="13">
        <v>39.534883720930203</v>
      </c>
      <c r="F18" s="160">
        <v>54.016620498614955</v>
      </c>
      <c r="G18" s="160">
        <v>45.983379501385045</v>
      </c>
      <c r="H18" s="13">
        <v>51.322751322751323</v>
      </c>
      <c r="I18" s="13">
        <v>48.412698412698411</v>
      </c>
      <c r="J18" s="160">
        <v>52.38095238095238</v>
      </c>
      <c r="K18" s="160">
        <v>47.354497354497354</v>
      </c>
      <c r="L18" s="13">
        <v>51.092896174863391</v>
      </c>
      <c r="M18" s="13">
        <v>48.360655737704917</v>
      </c>
      <c r="N18" s="13">
        <v>51.881720430107528</v>
      </c>
      <c r="O18" s="13">
        <v>48.118279569892472</v>
      </c>
      <c r="P18" s="161">
        <f t="shared" ref="P18:P24" si="2">G18/E18-1</f>
        <v>0.16310901091738739</v>
      </c>
      <c r="Q18" s="161">
        <f t="shared" si="0"/>
        <v>5.2830369095429264E-2</v>
      </c>
      <c r="R18" s="161">
        <f t="shared" si="0"/>
        <v>2.0618556701030855E-2</v>
      </c>
      <c r="S18" s="161">
        <f t="shared" si="0"/>
        <v>-2.1857923497267784E-2</v>
      </c>
      <c r="T18" s="161">
        <f t="shared" si="0"/>
        <v>-2.4590163934426146E-2</v>
      </c>
      <c r="U18" s="161">
        <f t="shared" si="0"/>
        <v>2.1247366974997739E-2</v>
      </c>
      <c r="V18" s="161">
        <f t="shared" si="0"/>
        <v>1.5439020182853147E-2</v>
      </c>
      <c r="W18" s="161">
        <f t="shared" si="0"/>
        <v>-5.0118461818844384E-3</v>
      </c>
    </row>
    <row r="19" spans="3:23" ht="15" customHeight="1" x14ac:dyDescent="0.2">
      <c r="C19" s="150" t="s">
        <v>89</v>
      </c>
      <c r="D19" s="13">
        <v>52.168525402726097</v>
      </c>
      <c r="E19" s="13">
        <v>47.769516728624502</v>
      </c>
      <c r="F19" s="160">
        <v>51.977793199167245</v>
      </c>
      <c r="G19" s="160">
        <v>47.952810548230396</v>
      </c>
      <c r="H19" s="13">
        <v>48.689956331877731</v>
      </c>
      <c r="I19" s="13">
        <v>50.946142649199416</v>
      </c>
      <c r="J19" s="160">
        <v>49.858557284299856</v>
      </c>
      <c r="K19" s="160">
        <v>49.858557284299856</v>
      </c>
      <c r="L19" s="13">
        <v>55.140845070422536</v>
      </c>
      <c r="M19" s="13">
        <v>44.7887323943662</v>
      </c>
      <c r="N19" s="13">
        <v>54.036827195467424</v>
      </c>
      <c r="O19" s="13">
        <v>45.892351274787536</v>
      </c>
      <c r="P19" s="161">
        <f t="shared" si="2"/>
        <v>3.8370457178198425E-3</v>
      </c>
      <c r="Q19" s="161">
        <f t="shared" si="0"/>
        <v>6.2422453798789634E-2</v>
      </c>
      <c r="R19" s="161">
        <f t="shared" si="0"/>
        <v>2.4000862610283891E-2</v>
      </c>
      <c r="S19" s="161">
        <f t="shared" si="0"/>
        <v>-2.1347747019599961E-2</v>
      </c>
      <c r="T19" s="161">
        <f t="shared" si="0"/>
        <v>0.10594545999400662</v>
      </c>
      <c r="U19" s="161">
        <f t="shared" si="0"/>
        <v>-0.10168414743781828</v>
      </c>
      <c r="V19" s="161">
        <f t="shared" si="0"/>
        <v>-2.0021780107742804E-2</v>
      </c>
      <c r="W19" s="161">
        <f t="shared" si="0"/>
        <v>2.4640547330161855E-2</v>
      </c>
    </row>
    <row r="20" spans="3:23" ht="15" customHeight="1" x14ac:dyDescent="0.2">
      <c r="C20" s="162" t="s">
        <v>93</v>
      </c>
      <c r="D20" s="88">
        <v>53.205128205128197</v>
      </c>
      <c r="E20" s="88">
        <v>46.794871794871803</v>
      </c>
      <c r="F20" s="160">
        <v>59.740259740259738</v>
      </c>
      <c r="G20" s="160">
        <v>40.259740259740262</v>
      </c>
      <c r="H20" s="88">
        <v>60.256410256410255</v>
      </c>
      <c r="I20" s="88">
        <v>39.743589743589745</v>
      </c>
      <c r="J20" s="160">
        <v>49.367088607594937</v>
      </c>
      <c r="K20" s="160">
        <v>50.632911392405063</v>
      </c>
      <c r="L20" s="88">
        <v>56.284153005464482</v>
      </c>
      <c r="M20" s="88">
        <v>43.715846994535518</v>
      </c>
      <c r="N20" s="88">
        <v>59.25925925925926</v>
      </c>
      <c r="O20" s="88">
        <v>40.74074074074074</v>
      </c>
      <c r="P20" s="161">
        <f t="shared" si="2"/>
        <v>-0.13965486568226304</v>
      </c>
      <c r="Q20" s="161">
        <f t="shared" si="0"/>
        <v>-1.2820512820512886E-2</v>
      </c>
      <c r="R20" s="161">
        <f t="shared" si="0"/>
        <v>-0.18071640183140314</v>
      </c>
      <c r="S20" s="161">
        <f t="shared" si="0"/>
        <v>0.27398938342180479</v>
      </c>
      <c r="T20" s="161">
        <f t="shared" si="0"/>
        <v>0.14011489421325485</v>
      </c>
      <c r="U20" s="161">
        <f t="shared" si="0"/>
        <v>-0.13661202185792354</v>
      </c>
      <c r="V20" s="161">
        <f t="shared" si="0"/>
        <v>5.2858683926645167E-2</v>
      </c>
      <c r="W20" s="161">
        <f t="shared" si="0"/>
        <v>-6.8055555555555536E-2</v>
      </c>
    </row>
    <row r="21" spans="3:23" ht="15" customHeight="1" x14ac:dyDescent="0.2">
      <c r="C21" s="150" t="s">
        <v>95</v>
      </c>
      <c r="D21" s="13">
        <v>65.306122448979593</v>
      </c>
      <c r="E21" s="13">
        <v>34.353741496598602</v>
      </c>
      <c r="F21" s="160">
        <v>63.228699551569505</v>
      </c>
      <c r="G21" s="160">
        <v>36.771300448430495</v>
      </c>
      <c r="H21" s="13">
        <v>54.824561403508774</v>
      </c>
      <c r="I21" s="13">
        <v>45.175438596491226</v>
      </c>
      <c r="J21" s="160">
        <v>57.438016528925623</v>
      </c>
      <c r="K21" s="160">
        <v>42.561983471074377</v>
      </c>
      <c r="L21" s="13">
        <v>66.783216783216787</v>
      </c>
      <c r="M21" s="13">
        <v>32.51748251748252</v>
      </c>
      <c r="N21" s="13">
        <v>67.219917012448136</v>
      </c>
      <c r="O21" s="13">
        <v>32.780082987551864</v>
      </c>
      <c r="P21" s="161">
        <f t="shared" si="2"/>
        <v>7.0372508102829467E-2</v>
      </c>
      <c r="Q21" s="161">
        <f t="shared" si="0"/>
        <v>0.22855156183140779</v>
      </c>
      <c r="R21" s="161">
        <f t="shared" si="0"/>
        <v>4.7669421487603225E-2</v>
      </c>
      <c r="S21" s="161">
        <f t="shared" si="0"/>
        <v>-5.7851239669421517E-2</v>
      </c>
      <c r="T21" s="161">
        <f t="shared" si="0"/>
        <v>0.16270060874377412</v>
      </c>
      <c r="U21" s="161">
        <f t="shared" si="0"/>
        <v>-0.23599701269604167</v>
      </c>
      <c r="V21" s="161">
        <f t="shared" si="0"/>
        <v>6.5390714952966444E-3</v>
      </c>
      <c r="W21" s="161">
        <f t="shared" si="0"/>
        <v>8.0756703698745547E-3</v>
      </c>
    </row>
    <row r="22" spans="3:23" ht="15" customHeight="1" x14ac:dyDescent="0.2">
      <c r="C22" s="162" t="s">
        <v>92</v>
      </c>
      <c r="D22" s="88">
        <v>63.157894736842103</v>
      </c>
      <c r="E22" s="88">
        <v>36.842105263157897</v>
      </c>
      <c r="F22" s="160">
        <v>58.299595141700408</v>
      </c>
      <c r="G22" s="160">
        <v>41.295546558704451</v>
      </c>
      <c r="H22" s="88">
        <v>60.392156862745097</v>
      </c>
      <c r="I22" s="88">
        <v>39.607843137254903</v>
      </c>
      <c r="J22" s="160">
        <v>58.55263157894737</v>
      </c>
      <c r="K22" s="160">
        <v>41.44736842105263</v>
      </c>
      <c r="L22" s="88">
        <v>59.400544959128062</v>
      </c>
      <c r="M22" s="88">
        <v>40.326975476839237</v>
      </c>
      <c r="N22" s="88">
        <v>67.671232876712324</v>
      </c>
      <c r="O22" s="88">
        <v>32.054794520547944</v>
      </c>
      <c r="P22" s="161">
        <f t="shared" si="2"/>
        <v>0.12087912087912067</v>
      </c>
      <c r="Q22" s="161">
        <f t="shared" si="0"/>
        <v>-4.0868896578239111E-2</v>
      </c>
      <c r="R22" s="161">
        <f t="shared" si="0"/>
        <v>-3.0459671907040242E-2</v>
      </c>
      <c r="S22" s="161">
        <f t="shared" si="0"/>
        <v>4.6443460135487058E-2</v>
      </c>
      <c r="T22" s="161">
        <f t="shared" si="0"/>
        <v>1.4481217279490366E-2</v>
      </c>
      <c r="U22" s="161">
        <f t="shared" si="0"/>
        <v>-2.7031702781021516E-2</v>
      </c>
      <c r="V22" s="161">
        <f t="shared" si="0"/>
        <v>0.13923589292446903</v>
      </c>
      <c r="W22" s="161">
        <f t="shared" si="0"/>
        <v>-0.20512773047019628</v>
      </c>
    </row>
    <row r="23" spans="3:23" ht="15" customHeight="1" x14ac:dyDescent="0.2">
      <c r="C23" s="150" t="s">
        <v>100</v>
      </c>
      <c r="D23" s="13">
        <v>77.702702702702695</v>
      </c>
      <c r="E23" s="13">
        <v>22.297297297297298</v>
      </c>
      <c r="F23" s="160">
        <v>72.169811320754718</v>
      </c>
      <c r="G23" s="160">
        <v>27.830188679245282</v>
      </c>
      <c r="H23" s="13">
        <v>68.681318681318686</v>
      </c>
      <c r="I23" s="13">
        <v>31.318681318681318</v>
      </c>
      <c r="J23" s="160">
        <v>65.193370165745861</v>
      </c>
      <c r="K23" s="160">
        <v>33.149171270718234</v>
      </c>
      <c r="L23" s="13">
        <v>70.355731225296438</v>
      </c>
      <c r="M23" s="13">
        <v>29.249011857707512</v>
      </c>
      <c r="N23" s="13">
        <v>75.438596491228068</v>
      </c>
      <c r="O23" s="13">
        <v>24.561403508771932</v>
      </c>
      <c r="P23" s="161">
        <f t="shared" si="2"/>
        <v>0.24814179531160652</v>
      </c>
      <c r="Q23" s="161">
        <f t="shared" si="0"/>
        <v>0.12534922704414231</v>
      </c>
      <c r="R23" s="161">
        <f t="shared" si="0"/>
        <v>-5.0784530386740356E-2</v>
      </c>
      <c r="S23" s="161">
        <f t="shared" si="0"/>
        <v>5.8447223029950646E-2</v>
      </c>
      <c r="T23" s="161">
        <f t="shared" si="0"/>
        <v>7.9185368794801203E-2</v>
      </c>
      <c r="U23" s="161">
        <f t="shared" si="0"/>
        <v>-0.11765480895915681</v>
      </c>
      <c r="V23" s="161">
        <f t="shared" si="0"/>
        <v>7.2245219791050808E-2</v>
      </c>
      <c r="W23" s="161">
        <f t="shared" si="0"/>
        <v>-0.16026552868658128</v>
      </c>
    </row>
    <row r="24" spans="3:23" ht="15" customHeight="1" x14ac:dyDescent="0.2">
      <c r="C24" s="150" t="s">
        <v>170</v>
      </c>
      <c r="D24" s="13">
        <v>80.134680134680096</v>
      </c>
      <c r="E24" s="13">
        <v>19.865319865319901</v>
      </c>
      <c r="F24" s="160">
        <v>76.30331753554502</v>
      </c>
      <c r="G24" s="160">
        <v>23.696682464454977</v>
      </c>
      <c r="H24" s="13">
        <v>77.81155015197568</v>
      </c>
      <c r="I24" s="13">
        <v>21.88449848024316</v>
      </c>
      <c r="J24" s="160">
        <v>80.054644808743163</v>
      </c>
      <c r="K24" s="160">
        <v>19.94535519125683</v>
      </c>
      <c r="L24" s="13">
        <v>75.854214123006827</v>
      </c>
      <c r="M24" s="13">
        <v>24.145785876993166</v>
      </c>
      <c r="N24" s="13">
        <v>76.470588235294116</v>
      </c>
      <c r="O24" s="13">
        <v>23.149905123339657</v>
      </c>
      <c r="P24" s="161">
        <f t="shared" si="2"/>
        <v>0.19286689693951109</v>
      </c>
      <c r="Q24" s="161">
        <f t="shared" si="0"/>
        <v>-7.6474164133738642E-2</v>
      </c>
      <c r="R24" s="161">
        <f t="shared" si="0"/>
        <v>2.8827271174863389E-2</v>
      </c>
      <c r="S24" s="161">
        <f t="shared" si="0"/>
        <v>-8.8608075288403088E-2</v>
      </c>
      <c r="T24" s="161">
        <f t="shared" si="0"/>
        <v>-5.2469543719436795E-2</v>
      </c>
      <c r="U24" s="161">
        <f t="shared" si="0"/>
        <v>0.21059693575061633</v>
      </c>
      <c r="V24" s="161">
        <f t="shared" si="0"/>
        <v>8.1257728316552758E-3</v>
      </c>
      <c r="W24" s="161">
        <f t="shared" si="0"/>
        <v>-4.1244495363574551E-2</v>
      </c>
    </row>
    <row r="25" spans="3:23" ht="15" customHeight="1" x14ac:dyDescent="0.2">
      <c r="C25" s="297" t="s">
        <v>215</v>
      </c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</row>
    <row r="26" spans="3:23" x14ac:dyDescent="0.2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3:23" x14ac:dyDescent="0.2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S27" s="15"/>
      <c r="T27" s="15"/>
      <c r="U27" s="15"/>
      <c r="V27" s="15"/>
      <c r="W27" s="15"/>
    </row>
    <row r="28" spans="3:23" x14ac:dyDescent="0.2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10" t="s">
        <v>102</v>
      </c>
      <c r="S28" s="15"/>
      <c r="T28" s="15"/>
      <c r="U28" s="15"/>
      <c r="V28" s="15"/>
      <c r="W28" s="15"/>
    </row>
    <row r="29" spans="3:23" x14ac:dyDescent="0.2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10"/>
      <c r="U29" s="15"/>
      <c r="V29" s="15"/>
      <c r="W29" s="15"/>
    </row>
    <row r="30" spans="3:23" x14ac:dyDescent="0.2"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U30" s="15"/>
      <c r="V30" s="15"/>
      <c r="W30" s="15"/>
    </row>
    <row r="31" spans="3:23" x14ac:dyDescent="0.2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3:23" x14ac:dyDescent="0.2">
      <c r="C32" s="163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3:23" x14ac:dyDescent="0.2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3:23" ht="36.75" customHeight="1" x14ac:dyDescent="0.2">
      <c r="C34" s="308" t="s">
        <v>225</v>
      </c>
      <c r="D34" s="308"/>
      <c r="E34" s="308"/>
      <c r="F34" s="308"/>
      <c r="G34" s="308"/>
      <c r="H34" s="308"/>
      <c r="I34" s="308"/>
    </row>
    <row r="35" spans="3:23" ht="29.25" customHeight="1" x14ac:dyDescent="0.2">
      <c r="C35" s="149"/>
      <c r="D35" s="164">
        <v>2011</v>
      </c>
      <c r="E35" s="164"/>
      <c r="F35" s="164">
        <v>2012</v>
      </c>
      <c r="G35" s="164"/>
      <c r="H35" s="142" t="s">
        <v>221</v>
      </c>
      <c r="I35" s="142"/>
    </row>
    <row r="36" spans="3:23" x14ac:dyDescent="0.2">
      <c r="C36" s="158"/>
      <c r="D36" s="158" t="s">
        <v>222</v>
      </c>
      <c r="E36" s="158" t="s">
        <v>223</v>
      </c>
      <c r="F36" s="158" t="s">
        <v>222</v>
      </c>
      <c r="G36" s="158" t="s">
        <v>223</v>
      </c>
      <c r="H36" s="159" t="s">
        <v>222</v>
      </c>
      <c r="I36" s="159" t="s">
        <v>223</v>
      </c>
    </row>
    <row r="37" spans="3:23" ht="15" customHeight="1" x14ac:dyDescent="0.2">
      <c r="C37" s="165" t="s">
        <v>101</v>
      </c>
      <c r="D37" s="13">
        <v>21.05263157894737</v>
      </c>
      <c r="E37" s="13">
        <v>63.157894736842103</v>
      </c>
      <c r="F37" s="13">
        <v>20.588235294117649</v>
      </c>
      <c r="G37" s="13">
        <v>66.176470588235304</v>
      </c>
      <c r="H37" s="161">
        <f t="shared" ref="H37:I55" si="3">F37/D37-1</f>
        <v>-2.2058823529411797E-2</v>
      </c>
      <c r="I37" s="161">
        <f t="shared" si="3"/>
        <v>4.7794117647059098E-2</v>
      </c>
    </row>
    <row r="38" spans="3:23" ht="15" customHeight="1" x14ac:dyDescent="0.2">
      <c r="C38" s="165" t="s">
        <v>87</v>
      </c>
      <c r="D38" s="13">
        <v>42.479879275653921</v>
      </c>
      <c r="E38" s="13">
        <v>55.357142857142861</v>
      </c>
      <c r="F38" s="13">
        <v>39.292126186201592</v>
      </c>
      <c r="G38" s="13">
        <v>58.502180046165684</v>
      </c>
      <c r="H38" s="161">
        <f t="shared" si="3"/>
        <v>-7.5041481845248392E-2</v>
      </c>
      <c r="I38" s="161">
        <f t="shared" si="3"/>
        <v>5.6813575027508945E-2</v>
      </c>
    </row>
    <row r="39" spans="3:23" ht="15" customHeight="1" x14ac:dyDescent="0.2">
      <c r="C39" s="165" t="s">
        <v>88</v>
      </c>
      <c r="D39" s="13">
        <v>53.105590062111801</v>
      </c>
      <c r="E39" s="13">
        <v>44.409937888198755</v>
      </c>
      <c r="F39" s="13">
        <v>48.680351906158357</v>
      </c>
      <c r="G39" s="13">
        <v>48.387096774193544</v>
      </c>
      <c r="H39" s="161">
        <f t="shared" si="3"/>
        <v>-8.3329045977602823E-2</v>
      </c>
      <c r="I39" s="161">
        <f t="shared" si="3"/>
        <v>8.9555605684637829E-2</v>
      </c>
    </row>
    <row r="40" spans="3:23" ht="15" customHeight="1" x14ac:dyDescent="0.2">
      <c r="C40" s="165" t="s">
        <v>224</v>
      </c>
      <c r="D40" s="13">
        <v>54.143646408839778</v>
      </c>
      <c r="E40" s="13">
        <v>43.646408839779006</v>
      </c>
      <c r="F40" s="13">
        <v>50.898203592814369</v>
      </c>
      <c r="G40" s="13">
        <v>46.706586826347305</v>
      </c>
      <c r="H40" s="161">
        <f t="shared" si="3"/>
        <v>-5.9941341806183601E-2</v>
      </c>
      <c r="I40" s="161">
        <f t="shared" si="3"/>
        <v>7.0112938679602888E-2</v>
      </c>
    </row>
    <row r="41" spans="3:23" ht="15" customHeight="1" x14ac:dyDescent="0.2">
      <c r="C41" s="165" t="s">
        <v>85</v>
      </c>
      <c r="D41" s="13">
        <v>61.802575107296136</v>
      </c>
      <c r="E41" s="13">
        <v>34.763948497854081</v>
      </c>
      <c r="F41" s="13">
        <v>55.309734513274336</v>
      </c>
      <c r="G41" s="13">
        <v>42.920353982300888</v>
      </c>
      <c r="H41" s="161">
        <f t="shared" si="3"/>
        <v>-0.10505776794493604</v>
      </c>
      <c r="I41" s="161">
        <f t="shared" si="3"/>
        <v>0.23462252813285267</v>
      </c>
    </row>
    <row r="42" spans="3:23" ht="15" customHeight="1" x14ac:dyDescent="0.2">
      <c r="C42" s="165" t="s">
        <v>86</v>
      </c>
      <c r="D42" s="13">
        <v>63.855421686746986</v>
      </c>
      <c r="E42" s="13">
        <v>31.927710843373493</v>
      </c>
      <c r="F42" s="13">
        <v>55.925925925925924</v>
      </c>
      <c r="G42" s="13">
        <v>42.592592592592595</v>
      </c>
      <c r="H42" s="161">
        <f t="shared" si="3"/>
        <v>-0.12417889587700914</v>
      </c>
      <c r="I42" s="161">
        <f t="shared" si="3"/>
        <v>0.33403214535290027</v>
      </c>
    </row>
    <row r="43" spans="3:23" ht="15" customHeight="1" x14ac:dyDescent="0.2">
      <c r="C43" s="165" t="s">
        <v>84</v>
      </c>
      <c r="D43" s="13">
        <v>63.573287077189939</v>
      </c>
      <c r="E43" s="13">
        <v>33.39115351257589</v>
      </c>
      <c r="F43" s="13">
        <v>56.66957279860506</v>
      </c>
      <c r="G43" s="13">
        <v>41.238012205754139</v>
      </c>
      <c r="H43" s="161">
        <f t="shared" si="3"/>
        <v>-0.10859457794281535</v>
      </c>
      <c r="I43" s="161">
        <f t="shared" si="3"/>
        <v>0.23499813177232509</v>
      </c>
    </row>
    <row r="44" spans="3:23" ht="15" customHeight="1" x14ac:dyDescent="0.2">
      <c r="C44" s="166" t="s">
        <v>83</v>
      </c>
      <c r="D44" s="88">
        <v>61.111111111111114</v>
      </c>
      <c r="E44" s="13">
        <v>36.324786324786324</v>
      </c>
      <c r="F44" s="88">
        <v>57.261410788381745</v>
      </c>
      <c r="G44" s="13">
        <v>41.078838174273855</v>
      </c>
      <c r="H44" s="161">
        <f t="shared" si="3"/>
        <v>-6.2995096190116895E-2</v>
      </c>
      <c r="I44" s="161">
        <f t="shared" si="3"/>
        <v>0.13087625091530386</v>
      </c>
    </row>
    <row r="45" spans="3:23" ht="15" customHeight="1" x14ac:dyDescent="0.2">
      <c r="C45" s="167" t="s">
        <v>90</v>
      </c>
      <c r="D45" s="17">
        <v>59.236363636363635</v>
      </c>
      <c r="E45" s="90">
        <v>38.281818181818181</v>
      </c>
      <c r="F45" s="17">
        <v>57.590909090909093</v>
      </c>
      <c r="G45" s="90">
        <v>40.354545454545452</v>
      </c>
      <c r="H45" s="67">
        <f t="shared" si="3"/>
        <v>-2.7777777777777679E-2</v>
      </c>
      <c r="I45" s="67">
        <f t="shared" si="3"/>
        <v>5.4143908810258878E-2</v>
      </c>
    </row>
    <row r="46" spans="3:23" ht="15" customHeight="1" x14ac:dyDescent="0.2">
      <c r="C46" s="165" t="s">
        <v>82</v>
      </c>
      <c r="D46" s="13">
        <v>66.101694915254242</v>
      </c>
      <c r="E46" s="13">
        <v>31.92090395480226</v>
      </c>
      <c r="F46" s="13">
        <v>57.560975609756099</v>
      </c>
      <c r="G46" s="13">
        <v>39.512195121951216</v>
      </c>
      <c r="H46" s="161">
        <f t="shared" si="3"/>
        <v>-0.12920575359599751</v>
      </c>
      <c r="I46" s="161">
        <f t="shared" si="3"/>
        <v>0.23781567019210015</v>
      </c>
    </row>
    <row r="47" spans="3:23" ht="15" customHeight="1" x14ac:dyDescent="0.2">
      <c r="C47" s="165" t="s">
        <v>99</v>
      </c>
      <c r="D47" s="13">
        <v>67.818889970788703</v>
      </c>
      <c r="E47" s="13">
        <v>28.675754625121716</v>
      </c>
      <c r="F47" s="13">
        <v>67.717717717717719</v>
      </c>
      <c r="G47" s="13">
        <v>30.08008008008008</v>
      </c>
      <c r="H47" s="161">
        <f t="shared" si="3"/>
        <v>-1.4918004867753298E-3</v>
      </c>
      <c r="I47" s="161">
        <f t="shared" si="3"/>
        <v>4.8972571892775596E-2</v>
      </c>
    </row>
    <row r="48" spans="3:23" ht="15" customHeight="1" x14ac:dyDescent="0.2">
      <c r="C48" s="165" t="s">
        <v>89</v>
      </c>
      <c r="D48" s="13">
        <v>71.056338028169009</v>
      </c>
      <c r="E48" s="13">
        <v>26.760563380281695</v>
      </c>
      <c r="F48" s="13">
        <v>68.980169971671387</v>
      </c>
      <c r="G48" s="13">
        <v>29.107648725212467</v>
      </c>
      <c r="H48" s="161">
        <f t="shared" si="3"/>
        <v>-2.9218618832771326E-2</v>
      </c>
      <c r="I48" s="161">
        <f t="shared" si="3"/>
        <v>8.7706873415834163E-2</v>
      </c>
    </row>
    <row r="49" spans="3:9" ht="15" customHeight="1" x14ac:dyDescent="0.2">
      <c r="C49" s="165" t="s">
        <v>96</v>
      </c>
      <c r="D49" s="13">
        <v>70.086778968861665</v>
      </c>
      <c r="E49" s="13">
        <v>27.003573251659009</v>
      </c>
      <c r="F49" s="13">
        <v>69.37823834196891</v>
      </c>
      <c r="G49" s="13">
        <v>28.808290155440417</v>
      </c>
      <c r="H49" s="161">
        <f t="shared" si="3"/>
        <v>-1.0109476242410098E-2</v>
      </c>
      <c r="I49" s="161">
        <f t="shared" si="3"/>
        <v>6.6832522013379636E-2</v>
      </c>
    </row>
    <row r="50" spans="3:9" ht="15" customHeight="1" x14ac:dyDescent="0.2">
      <c r="C50" s="166" t="s">
        <v>93</v>
      </c>
      <c r="D50" s="88">
        <v>74.863387978142072</v>
      </c>
      <c r="E50" s="13">
        <v>22.950819672131146</v>
      </c>
      <c r="F50" s="88">
        <v>71.428571428571431</v>
      </c>
      <c r="G50" s="13">
        <v>28.042328042328041</v>
      </c>
      <c r="H50" s="161">
        <f t="shared" si="3"/>
        <v>-4.588112617309692E-2</v>
      </c>
      <c r="I50" s="161">
        <f t="shared" si="3"/>
        <v>0.22184429327286481</v>
      </c>
    </row>
    <row r="51" spans="3:9" ht="15" customHeight="1" x14ac:dyDescent="0.2">
      <c r="C51" s="165" t="s">
        <v>91</v>
      </c>
      <c r="D51" s="13">
        <v>67.213114754098356</v>
      </c>
      <c r="E51" s="13">
        <v>29.78142076502732</v>
      </c>
      <c r="F51" s="13">
        <v>70.430107526881727</v>
      </c>
      <c r="G51" s="13">
        <v>26.881720430107528</v>
      </c>
      <c r="H51" s="161">
        <f t="shared" si="3"/>
        <v>4.786257539994776E-2</v>
      </c>
      <c r="I51" s="161">
        <f t="shared" si="3"/>
        <v>-9.7366084640426065E-2</v>
      </c>
    </row>
    <row r="52" spans="3:9" ht="15" customHeight="1" x14ac:dyDescent="0.2">
      <c r="C52" s="165" t="s">
        <v>95</v>
      </c>
      <c r="D52" s="13">
        <v>75.87412587412588</v>
      </c>
      <c r="E52" s="13">
        <v>23.076923076923077</v>
      </c>
      <c r="F52" s="13">
        <v>74.68879668049793</v>
      </c>
      <c r="G52" s="13">
        <v>24.481327800829874</v>
      </c>
      <c r="H52" s="161">
        <f t="shared" si="3"/>
        <v>-1.5622311031225466E-2</v>
      </c>
      <c r="I52" s="161">
        <f t="shared" si="3"/>
        <v>6.0857538035961278E-2</v>
      </c>
    </row>
    <row r="53" spans="3:9" ht="15" customHeight="1" x14ac:dyDescent="0.2">
      <c r="C53" s="166" t="s">
        <v>92</v>
      </c>
      <c r="D53" s="88">
        <v>72.479564032697553</v>
      </c>
      <c r="E53" s="13">
        <v>26.702997275204361</v>
      </c>
      <c r="F53" s="88">
        <v>76.986301369863014</v>
      </c>
      <c r="G53" s="13">
        <v>21.095890410958905</v>
      </c>
      <c r="H53" s="161">
        <f t="shared" si="3"/>
        <v>6.21794211556288E-2</v>
      </c>
      <c r="I53" s="161">
        <f t="shared" si="3"/>
        <v>-0.20998043052837567</v>
      </c>
    </row>
    <row r="54" spans="3:9" ht="15" customHeight="1" x14ac:dyDescent="0.2">
      <c r="C54" s="165" t="s">
        <v>100</v>
      </c>
      <c r="D54" s="13">
        <v>74.703557312252968</v>
      </c>
      <c r="E54" s="13">
        <v>21.739130434782609</v>
      </c>
      <c r="F54" s="13">
        <v>80.409356725146196</v>
      </c>
      <c r="G54" s="13">
        <v>17.836257309941519</v>
      </c>
      <c r="H54" s="161">
        <f t="shared" si="3"/>
        <v>7.6379219654073349E-2</v>
      </c>
      <c r="I54" s="161">
        <f t="shared" si="3"/>
        <v>-0.1795321637426901</v>
      </c>
    </row>
    <row r="55" spans="3:9" ht="15" customHeight="1" x14ac:dyDescent="0.2">
      <c r="C55" s="165" t="s">
        <v>170</v>
      </c>
      <c r="D55" s="13">
        <v>83.826879271070609</v>
      </c>
      <c r="E55" s="13">
        <v>14.57858769931663</v>
      </c>
      <c r="F55" s="13">
        <v>83.870967741935488</v>
      </c>
      <c r="G55" s="13">
        <v>15.180265654648956</v>
      </c>
      <c r="H55" s="161">
        <f t="shared" si="3"/>
        <v>5.2594670406747035E-4</v>
      </c>
      <c r="I55" s="161">
        <f t="shared" si="3"/>
        <v>4.1271347248576618E-2</v>
      </c>
    </row>
    <row r="56" spans="3:9" ht="28.5" customHeight="1" x14ac:dyDescent="0.2">
      <c r="C56" s="297" t="s">
        <v>215</v>
      </c>
      <c r="D56" s="297"/>
      <c r="E56" s="297"/>
      <c r="F56" s="297"/>
      <c r="G56" s="297"/>
      <c r="H56" s="297"/>
      <c r="I56" s="297"/>
    </row>
    <row r="152" spans="4:9" ht="13.5" thickBot="1" x14ac:dyDescent="0.25"/>
    <row r="153" spans="4:9" x14ac:dyDescent="0.2">
      <c r="D153" s="155" t="e">
        <f>#REF!</f>
        <v>#REF!</v>
      </c>
      <c r="E153" s="157" t="e">
        <f>#REF!</f>
        <v>#REF!</v>
      </c>
      <c r="F153" s="168"/>
      <c r="G153" s="168"/>
      <c r="H153" s="168"/>
      <c r="I153" s="168"/>
    </row>
  </sheetData>
  <mergeCells count="15">
    <mergeCell ref="C25:W25"/>
    <mergeCell ref="N28:N29"/>
    <mergeCell ref="C34:I34"/>
    <mergeCell ref="C56:I56"/>
    <mergeCell ref="C3:W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hyperlinks>
    <hyperlink ref="N28:N29" location="'GRAFICA FIDELIDAD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5"/>
  <sheetViews>
    <sheetView showGridLines="0" zoomScaleNormal="100" workbookViewId="0">
      <selection activeCell="L59" sqref="L59"/>
    </sheetView>
  </sheetViews>
  <sheetFormatPr baseColWidth="10" defaultColWidth="9.42578125" defaultRowHeight="12.75" x14ac:dyDescent="0.2"/>
  <cols>
    <col min="1" max="1" width="16.28515625" customWidth="1"/>
    <col min="2" max="2" width="18.140625" customWidth="1"/>
    <col min="3" max="8" width="7.7109375" customWidth="1"/>
    <col min="9" max="12" width="7.7109375" hidden="1" customWidth="1"/>
    <col min="13" max="13" width="7.7109375" customWidth="1"/>
    <col min="14" max="14" width="10.85546875" bestFit="1" customWidth="1"/>
  </cols>
  <sheetData>
    <row r="2" spans="2:14" ht="77.25" customHeight="1" x14ac:dyDescent="0.2"/>
    <row r="3" spans="2:14" ht="18" customHeight="1" x14ac:dyDescent="0.2">
      <c r="B3" s="286" t="s">
        <v>57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2:14" ht="39.75" customHeight="1" x14ac:dyDescent="0.2">
      <c r="B4" s="9"/>
      <c r="C4" s="10">
        <v>2007</v>
      </c>
      <c r="D4" s="10">
        <v>2008</v>
      </c>
      <c r="E4" s="10">
        <v>2009</v>
      </c>
      <c r="F4" s="10">
        <v>2010</v>
      </c>
      <c r="G4" s="10">
        <v>2011</v>
      </c>
      <c r="H4" s="10">
        <v>2012</v>
      </c>
      <c r="I4" s="11" t="s">
        <v>58</v>
      </c>
      <c r="J4" s="11" t="s">
        <v>59</v>
      </c>
      <c r="K4" s="11" t="s">
        <v>60</v>
      </c>
      <c r="L4" s="11" t="s">
        <v>61</v>
      </c>
      <c r="M4" s="11" t="s">
        <v>62</v>
      </c>
    </row>
    <row r="5" spans="2:14" ht="15" customHeight="1" x14ac:dyDescent="0.2">
      <c r="B5" s="12" t="s">
        <v>63</v>
      </c>
      <c r="C5" s="13">
        <v>12.1181818181818</v>
      </c>
      <c r="D5" s="13">
        <v>11.972727272727273</v>
      </c>
      <c r="E5" s="13">
        <v>9.7727272727272734</v>
      </c>
      <c r="F5" s="13">
        <v>10.018181818181818</v>
      </c>
      <c r="G5" s="13">
        <v>11.418181818181818</v>
      </c>
      <c r="H5" s="13">
        <v>9.1181818181818191</v>
      </c>
      <c r="I5" s="14">
        <f t="shared" ref="I5:M11" si="0">D5/C5-1</f>
        <v>-1.200300075018601E-2</v>
      </c>
      <c r="J5" s="14">
        <f t="shared" si="0"/>
        <v>-0.18375094912680323</v>
      </c>
      <c r="K5" s="14">
        <f t="shared" si="0"/>
        <v>2.5116279069767211E-2</v>
      </c>
      <c r="L5" s="14">
        <f t="shared" si="0"/>
        <v>0.13974591651542645</v>
      </c>
      <c r="M5" s="14">
        <f>H5/G5-1</f>
        <v>-0.20143312101910815</v>
      </c>
    </row>
    <row r="6" spans="2:14" ht="15" customHeight="1" x14ac:dyDescent="0.2">
      <c r="B6" s="12" t="s">
        <v>64</v>
      </c>
      <c r="C6" s="13">
        <v>10.7454545454545</v>
      </c>
      <c r="D6" s="13">
        <v>10.527272727272727</v>
      </c>
      <c r="E6" s="13">
        <v>9.9727272727272727</v>
      </c>
      <c r="F6" s="13">
        <v>9.7363636363636363</v>
      </c>
      <c r="G6" s="13">
        <v>11.1</v>
      </c>
      <c r="H6" s="13">
        <v>8.963636363636363</v>
      </c>
      <c r="I6" s="14">
        <f t="shared" si="0"/>
        <v>-2.0304568527914624E-2</v>
      </c>
      <c r="J6" s="14">
        <f t="shared" si="0"/>
        <v>-5.2677029360967187E-2</v>
      </c>
      <c r="K6" s="14">
        <f t="shared" si="0"/>
        <v>-2.370100273473108E-2</v>
      </c>
      <c r="L6" s="14">
        <f t="shared" si="0"/>
        <v>0.14005602240896353</v>
      </c>
      <c r="M6" s="14">
        <f>H6/G6-1</f>
        <v>-0.19246519246519245</v>
      </c>
      <c r="N6" s="15"/>
    </row>
    <row r="7" spans="2:14" ht="15" customHeight="1" x14ac:dyDescent="0.2">
      <c r="B7" s="12" t="s">
        <v>65</v>
      </c>
      <c r="C7" s="13">
        <v>28.472727272727301</v>
      </c>
      <c r="D7" s="13">
        <v>27.436363636363637</v>
      </c>
      <c r="E7" s="13">
        <v>25.672727272727272</v>
      </c>
      <c r="F7" s="13">
        <v>28.063636363636363</v>
      </c>
      <c r="G7" s="13">
        <v>28.736363636363638</v>
      </c>
      <c r="H7" s="13">
        <v>26.736363636363638</v>
      </c>
      <c r="I7" s="14">
        <f t="shared" si="0"/>
        <v>-3.6398467432951165E-2</v>
      </c>
      <c r="J7" s="14">
        <f t="shared" si="0"/>
        <v>-6.4280980781974861E-2</v>
      </c>
      <c r="K7" s="14">
        <f t="shared" si="0"/>
        <v>9.3130311614730843E-2</v>
      </c>
      <c r="L7" s="14">
        <f>G7/F7-1</f>
        <v>2.397149335924853E-2</v>
      </c>
      <c r="M7" s="14">
        <f>H7/G7-1</f>
        <v>-6.9598228408731422E-2</v>
      </c>
      <c r="N7" s="287" t="s">
        <v>66</v>
      </c>
    </row>
    <row r="8" spans="2:14" ht="15" customHeight="1" x14ac:dyDescent="0.2">
      <c r="B8" s="12" t="s">
        <v>67</v>
      </c>
      <c r="C8" s="13">
        <v>10.2272727272727</v>
      </c>
      <c r="D8" s="13">
        <v>9.8454545454545457</v>
      </c>
      <c r="E8" s="13">
        <v>10.190909090909091</v>
      </c>
      <c r="F8" s="13">
        <v>10.154545454545454</v>
      </c>
      <c r="G8" s="13">
        <v>11.063636363636364</v>
      </c>
      <c r="H8" s="13">
        <v>11.718181818181819</v>
      </c>
      <c r="I8" s="14">
        <f t="shared" si="0"/>
        <v>-3.7333333333330776E-2</v>
      </c>
      <c r="J8" s="14">
        <f t="shared" si="0"/>
        <v>3.5087719298245723E-2</v>
      </c>
      <c r="K8" s="14">
        <f t="shared" si="0"/>
        <v>-3.5682426404995971E-3</v>
      </c>
      <c r="L8" s="14">
        <f t="shared" si="0"/>
        <v>8.9525514771710002E-2</v>
      </c>
      <c r="M8" s="14">
        <f t="shared" si="0"/>
        <v>5.916187345932622E-2</v>
      </c>
      <c r="N8" s="287"/>
    </row>
    <row r="9" spans="2:14" ht="15" customHeight="1" x14ac:dyDescent="0.2">
      <c r="B9" s="12" t="s">
        <v>68</v>
      </c>
      <c r="C9" s="13">
        <v>18.072727272727299</v>
      </c>
      <c r="D9" s="13">
        <v>18.336363636363636</v>
      </c>
      <c r="E9" s="13">
        <v>18.690909090909091</v>
      </c>
      <c r="F9" s="13">
        <v>18.054545454545455</v>
      </c>
      <c r="G9" s="13">
        <v>17.609090909090909</v>
      </c>
      <c r="H9" s="13">
        <v>19.645454545454545</v>
      </c>
      <c r="I9" s="14">
        <f t="shared" si="0"/>
        <v>1.4587525150904002E-2</v>
      </c>
      <c r="J9" s="14">
        <f t="shared" si="0"/>
        <v>1.9335647000495726E-2</v>
      </c>
      <c r="K9" s="14">
        <f t="shared" si="0"/>
        <v>-3.4046692607003881E-2</v>
      </c>
      <c r="L9" s="14">
        <f t="shared" si="0"/>
        <v>-2.4672708962739209E-2</v>
      </c>
      <c r="M9" s="14">
        <f t="shared" si="0"/>
        <v>0.11564274651522966</v>
      </c>
      <c r="N9" s="15"/>
    </row>
    <row r="10" spans="2:14" ht="15" customHeight="1" x14ac:dyDescent="0.2">
      <c r="B10" s="12" t="s">
        <v>69</v>
      </c>
      <c r="C10" s="13">
        <v>15.2090909090909</v>
      </c>
      <c r="D10" s="13">
        <v>16.663636363636364</v>
      </c>
      <c r="E10" s="13">
        <v>20.254545454545454</v>
      </c>
      <c r="F10" s="13">
        <v>19.018181818181819</v>
      </c>
      <c r="G10" s="13">
        <v>18.418181818181818</v>
      </c>
      <c r="H10" s="13">
        <v>22.2</v>
      </c>
      <c r="I10" s="14">
        <f t="shared" si="0"/>
        <v>9.5636580992230158E-2</v>
      </c>
      <c r="J10" s="14">
        <f t="shared" si="0"/>
        <v>0.215493726132024</v>
      </c>
      <c r="K10" s="14">
        <f t="shared" si="0"/>
        <v>-6.1041292639138156E-2</v>
      </c>
      <c r="L10" s="14">
        <f t="shared" si="0"/>
        <v>-3.1548757170172137E-2</v>
      </c>
      <c r="M10" s="14">
        <f t="shared" si="0"/>
        <v>0.20533070088845018</v>
      </c>
      <c r="N10" s="287" t="s">
        <v>70</v>
      </c>
    </row>
    <row r="11" spans="2:14" ht="15" customHeight="1" x14ac:dyDescent="0.2">
      <c r="B11" s="12" t="s">
        <v>71</v>
      </c>
      <c r="C11" s="13">
        <v>5.1545454545454499</v>
      </c>
      <c r="D11" s="13">
        <v>5.2181818181818178</v>
      </c>
      <c r="E11" s="13">
        <v>5.4454545454545453</v>
      </c>
      <c r="F11" s="13">
        <v>4.9545454545454541</v>
      </c>
      <c r="G11" s="13">
        <v>1.6545454545454545</v>
      </c>
      <c r="H11" s="13">
        <v>1.6181818181818182</v>
      </c>
      <c r="I11" s="14">
        <f t="shared" si="0"/>
        <v>1.2345679012346622E-2</v>
      </c>
      <c r="J11" s="14">
        <f t="shared" si="0"/>
        <v>4.355400696864109E-2</v>
      </c>
      <c r="K11" s="14">
        <f t="shared" si="0"/>
        <v>-9.0150250417362354E-2</v>
      </c>
      <c r="L11" s="14">
        <f t="shared" si="0"/>
        <v>-0.66605504587155961</v>
      </c>
      <c r="M11" s="14">
        <f t="shared" si="0"/>
        <v>-2.1978021978022011E-2</v>
      </c>
      <c r="N11" s="287"/>
    </row>
    <row r="12" spans="2:14" ht="15" customHeight="1" x14ac:dyDescent="0.2">
      <c r="B12" s="16" t="s">
        <v>72</v>
      </c>
      <c r="C12" s="17">
        <v>44.021086935684799</v>
      </c>
      <c r="D12" s="17">
        <v>44.413101860732851</v>
      </c>
      <c r="E12" s="17">
        <v>46.219978848187573</v>
      </c>
      <c r="F12" s="17">
        <v>45.647058823529434</v>
      </c>
      <c r="G12" s="17">
        <v>44.810408578295373</v>
      </c>
      <c r="H12" s="17">
        <v>47.002402513398614</v>
      </c>
      <c r="I12" s="18">
        <f>D12-C12</f>
        <v>0.39201492504805202</v>
      </c>
      <c r="J12" s="18">
        <f>E12-D12</f>
        <v>1.8068769874547215</v>
      </c>
      <c r="K12" s="18">
        <f>F12-E12</f>
        <v>-0.57292002465813852</v>
      </c>
      <c r="L12" s="18">
        <f>G12-F12</f>
        <v>-0.83665024523406117</v>
      </c>
      <c r="M12" s="18">
        <f>H12-G12</f>
        <v>2.1919939351032411</v>
      </c>
    </row>
    <row r="13" spans="2:14" ht="15" customHeight="1" x14ac:dyDescent="0.2">
      <c r="B13" s="288" t="s">
        <v>73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</row>
    <row r="14" spans="2:14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2:14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2:14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2:13" ht="39.950000000000003" hidden="1" customHeight="1" x14ac:dyDescent="0.2">
      <c r="B17" s="289" t="s">
        <v>74</v>
      </c>
      <c r="C17" s="289"/>
      <c r="D17" s="290"/>
      <c r="E17" s="290"/>
      <c r="F17" s="290"/>
      <c r="G17" s="290"/>
      <c r="H17" s="290"/>
      <c r="I17" s="290"/>
      <c r="J17" s="290"/>
      <c r="K17" s="20"/>
      <c r="L17" s="20"/>
      <c r="M17" s="20"/>
    </row>
    <row r="18" spans="2:13" hidden="1" x14ac:dyDescent="0.2">
      <c r="B18" s="21"/>
      <c r="C18" s="21"/>
      <c r="D18" s="22" t="e">
        <f>#REF!</f>
        <v>#REF!</v>
      </c>
      <c r="E18" s="22" t="e">
        <f>#REF!</f>
        <v>#REF!</v>
      </c>
      <c r="F18" s="22"/>
      <c r="G18" s="22"/>
      <c r="H18" s="22"/>
      <c r="I18" s="22"/>
      <c r="J18" s="22" t="e">
        <f>#REF!</f>
        <v>#REF!</v>
      </c>
      <c r="K18" s="22"/>
      <c r="L18" s="22"/>
      <c r="M18" s="22"/>
    </row>
    <row r="19" spans="2:13" ht="15" hidden="1" customHeight="1" x14ac:dyDescent="0.2">
      <c r="B19" s="23" t="s">
        <v>63</v>
      </c>
      <c r="C19" s="23"/>
      <c r="D19" s="24" t="e">
        <v>#REF!</v>
      </c>
      <c r="E19" s="24" t="e">
        <v>#REF!</v>
      </c>
      <c r="F19" s="24"/>
      <c r="G19" s="24"/>
      <c r="H19" s="24"/>
      <c r="I19" s="24"/>
      <c r="J19" s="25" t="e">
        <f t="shared" ref="J19:J26" si="1">E19/D19-1</f>
        <v>#REF!</v>
      </c>
      <c r="K19" s="25"/>
      <c r="L19" s="25"/>
      <c r="M19" s="25"/>
    </row>
    <row r="20" spans="2:13" ht="15" hidden="1" customHeight="1" x14ac:dyDescent="0.2">
      <c r="B20" s="23" t="s">
        <v>64</v>
      </c>
      <c r="C20" s="23"/>
      <c r="D20" s="24" t="e">
        <v>#REF!</v>
      </c>
      <c r="E20" s="24" t="e">
        <v>#REF!</v>
      </c>
      <c r="F20" s="24"/>
      <c r="G20" s="24"/>
      <c r="H20" s="24"/>
      <c r="I20" s="24"/>
      <c r="J20" s="25" t="e">
        <f t="shared" si="1"/>
        <v>#REF!</v>
      </c>
      <c r="K20" s="25"/>
      <c r="L20" s="25"/>
      <c r="M20" s="25"/>
    </row>
    <row r="21" spans="2:13" ht="15" hidden="1" customHeight="1" x14ac:dyDescent="0.2">
      <c r="B21" s="23" t="s">
        <v>65</v>
      </c>
      <c r="C21" s="23"/>
      <c r="D21" s="24" t="e">
        <v>#REF!</v>
      </c>
      <c r="E21" s="24" t="e">
        <v>#REF!</v>
      </c>
      <c r="F21" s="24"/>
      <c r="G21" s="24"/>
      <c r="H21" s="24"/>
      <c r="I21" s="24"/>
      <c r="J21" s="25" t="e">
        <f t="shared" si="1"/>
        <v>#REF!</v>
      </c>
      <c r="K21" s="25"/>
      <c r="L21" s="25"/>
      <c r="M21" s="25"/>
    </row>
    <row r="22" spans="2:13" ht="15" hidden="1" customHeight="1" x14ac:dyDescent="0.2">
      <c r="B22" s="23" t="s">
        <v>67</v>
      </c>
      <c r="C22" s="23"/>
      <c r="D22" s="24" t="e">
        <v>#REF!</v>
      </c>
      <c r="E22" s="24" t="e">
        <v>#REF!</v>
      </c>
      <c r="F22" s="24"/>
      <c r="G22" s="24"/>
      <c r="H22" s="24"/>
      <c r="I22" s="24"/>
      <c r="J22" s="25" t="e">
        <f t="shared" si="1"/>
        <v>#REF!</v>
      </c>
      <c r="K22" s="25"/>
      <c r="L22" s="25"/>
      <c r="M22" s="25"/>
    </row>
    <row r="23" spans="2:13" ht="15" hidden="1" customHeight="1" x14ac:dyDescent="0.2">
      <c r="B23" s="23" t="s">
        <v>68</v>
      </c>
      <c r="C23" s="23"/>
      <c r="D23" s="24" t="e">
        <v>#REF!</v>
      </c>
      <c r="E23" s="24" t="e">
        <v>#REF!</v>
      </c>
      <c r="F23" s="24"/>
      <c r="G23" s="24"/>
      <c r="H23" s="24"/>
      <c r="I23" s="24"/>
      <c r="J23" s="25" t="e">
        <f t="shared" si="1"/>
        <v>#REF!</v>
      </c>
      <c r="K23" s="25"/>
      <c r="L23" s="25"/>
      <c r="M23" s="25"/>
    </row>
    <row r="24" spans="2:13" ht="15" hidden="1" customHeight="1" x14ac:dyDescent="0.2">
      <c r="B24" s="23" t="s">
        <v>69</v>
      </c>
      <c r="C24" s="23"/>
      <c r="D24" s="24" t="e">
        <v>#REF!</v>
      </c>
      <c r="E24" s="24" t="e">
        <v>#REF!</v>
      </c>
      <c r="F24" s="24"/>
      <c r="G24" s="24"/>
      <c r="H24" s="24"/>
      <c r="I24" s="24"/>
      <c r="J24" s="25" t="e">
        <f t="shared" si="1"/>
        <v>#REF!</v>
      </c>
      <c r="K24" s="25"/>
      <c r="L24" s="25"/>
      <c r="M24" s="25"/>
    </row>
    <row r="25" spans="2:13" ht="15" hidden="1" customHeight="1" x14ac:dyDescent="0.2">
      <c r="B25" s="23" t="s">
        <v>71</v>
      </c>
      <c r="C25" s="23"/>
      <c r="D25" s="24" t="e">
        <v>#REF!</v>
      </c>
      <c r="E25" s="24" t="e">
        <v>#REF!</v>
      </c>
      <c r="F25" s="24"/>
      <c r="G25" s="24"/>
      <c r="H25" s="24"/>
      <c r="I25" s="24"/>
      <c r="J25" s="25" t="e">
        <f t="shared" si="1"/>
        <v>#REF!</v>
      </c>
      <c r="K25" s="25"/>
      <c r="L25" s="25"/>
      <c r="M25" s="25"/>
    </row>
    <row r="26" spans="2:13" ht="15" hidden="1" customHeight="1" x14ac:dyDescent="0.2">
      <c r="B26" s="26" t="s">
        <v>72</v>
      </c>
      <c r="C26" s="26"/>
      <c r="D26" s="27" t="e">
        <v>#REF!</v>
      </c>
      <c r="E26" s="27" t="e">
        <v>#REF!</v>
      </c>
      <c r="F26" s="27"/>
      <c r="G26" s="27"/>
      <c r="H26" s="27"/>
      <c r="I26" s="27"/>
      <c r="J26" s="28" t="e">
        <f t="shared" si="1"/>
        <v>#REF!</v>
      </c>
      <c r="K26" s="28"/>
      <c r="L26" s="28"/>
      <c r="M26" s="28"/>
    </row>
    <row r="27" spans="2:13" ht="24" hidden="1" customHeight="1" x14ac:dyDescent="0.2">
      <c r="B27" s="285" t="s">
        <v>75</v>
      </c>
      <c r="C27" s="285"/>
      <c r="D27" s="285"/>
      <c r="E27" s="285"/>
      <c r="F27" s="285"/>
      <c r="G27" s="285"/>
      <c r="H27" s="285"/>
      <c r="I27" s="285"/>
      <c r="J27" s="285"/>
      <c r="K27" s="29"/>
      <c r="L27" s="29"/>
      <c r="M27" s="29"/>
    </row>
    <row r="28" spans="2:13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2:13" x14ac:dyDescent="0.2">
      <c r="B29" s="15"/>
      <c r="C29" s="15"/>
      <c r="D29" s="15"/>
      <c r="I29" s="15"/>
      <c r="J29" s="15"/>
      <c r="K29" s="15"/>
      <c r="L29" s="15"/>
      <c r="M29" s="15"/>
    </row>
    <row r="30" spans="2:13" x14ac:dyDescent="0.2">
      <c r="B30" s="15"/>
      <c r="C30" s="15"/>
      <c r="D30" s="15"/>
      <c r="J30" s="15"/>
      <c r="K30" s="15"/>
      <c r="L30" s="15"/>
      <c r="M30" s="15"/>
    </row>
    <row r="31" spans="2:13" x14ac:dyDescent="0.2">
      <c r="B31" s="15"/>
      <c r="C31" s="15"/>
      <c r="D31" s="15"/>
      <c r="J31" s="15"/>
      <c r="K31" s="15"/>
      <c r="L31" s="15"/>
      <c r="M31" s="15"/>
    </row>
    <row r="32" spans="2:13" x14ac:dyDescent="0.2">
      <c r="B32" s="15"/>
      <c r="C32" s="15"/>
      <c r="D32" s="15"/>
      <c r="J32" s="15"/>
      <c r="K32" s="15"/>
      <c r="L32" s="15"/>
      <c r="M32" s="15"/>
    </row>
    <row r="33" spans="2:13" x14ac:dyDescent="0.2">
      <c r="B33" s="15"/>
      <c r="C33" s="15"/>
      <c r="D33" s="15"/>
      <c r="J33" s="15"/>
      <c r="K33" s="15"/>
      <c r="L33" s="15"/>
      <c r="M33" s="15"/>
    </row>
    <row r="34" spans="2:13" x14ac:dyDescent="0.2">
      <c r="B34" s="15"/>
      <c r="C34" s="15"/>
      <c r="D34" s="15"/>
      <c r="J34" s="15"/>
      <c r="K34" s="15"/>
      <c r="L34" s="15"/>
      <c r="M34" s="15"/>
    </row>
    <row r="35" spans="2:13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</sheetData>
  <mergeCells count="6">
    <mergeCell ref="B27:J27"/>
    <mergeCell ref="B3:M3"/>
    <mergeCell ref="N7:N8"/>
    <mergeCell ref="N10:N11"/>
    <mergeCell ref="B13:M13"/>
    <mergeCell ref="B17:J17"/>
  </mergeCells>
  <hyperlinks>
    <hyperlink ref="N7:N8" location="'EDAD GRAFICA 1 '!A1" tooltip="GRÁFICA 1" display="GRÁFICA 1"/>
    <hyperlink ref="N10:N11" location="'EDAD GRAFICA 2 '!A1" tooltip="GRÁFICA 2" display="GRÁFICA 2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I35:I48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2" max="2" width="10.140625" customWidth="1"/>
    <col min="3" max="3" width="13.7109375" customWidth="1"/>
    <col min="11" max="11" width="6.7109375" customWidth="1"/>
    <col min="19" max="19" width="14" customWidth="1"/>
  </cols>
  <sheetData>
    <row r="35" spans="9:9" ht="29.25" customHeight="1" x14ac:dyDescent="0.2"/>
    <row r="47" spans="9:9" x14ac:dyDescent="0.2">
      <c r="I47" s="296" t="s">
        <v>76</v>
      </c>
    </row>
    <row r="48" spans="9:9" x14ac:dyDescent="0.2">
      <c r="I48" s="296"/>
    </row>
  </sheetData>
  <mergeCells count="1">
    <mergeCell ref="I47:I48"/>
  </mergeCells>
  <hyperlinks>
    <hyperlink ref="I47:I48" location="'fidelidad nac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3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N366"/>
  <sheetViews>
    <sheetView showGridLines="0" zoomScaleNormal="100" zoomScaleSheetLayoutView="70" workbookViewId="0">
      <selection activeCell="L59" sqref="L59"/>
    </sheetView>
  </sheetViews>
  <sheetFormatPr baseColWidth="10" defaultRowHeight="12.75" x14ac:dyDescent="0.2"/>
  <cols>
    <col min="1" max="1" width="11.42578125" style="169"/>
    <col min="2" max="2" width="11.140625" style="169" customWidth="1"/>
    <col min="3" max="3" width="28.42578125" style="169" customWidth="1"/>
    <col min="4" max="9" width="7.7109375" style="169" customWidth="1"/>
    <col min="10" max="10" width="7.7109375" style="169" hidden="1" customWidth="1"/>
    <col min="11" max="13" width="7.7109375" hidden="1" customWidth="1"/>
    <col min="14" max="14" width="7.7109375" customWidth="1"/>
    <col min="15" max="253" width="11.42578125" style="169"/>
    <col min="254" max="254" width="5.140625" style="169" customWidth="1"/>
    <col min="255" max="255" width="33.5703125" style="169" customWidth="1"/>
    <col min="256" max="258" width="12.85546875" style="169" customWidth="1"/>
    <col min="259" max="509" width="11.42578125" style="169"/>
    <col min="510" max="510" width="5.140625" style="169" customWidth="1"/>
    <col min="511" max="511" width="33.5703125" style="169" customWidth="1"/>
    <col min="512" max="514" width="12.85546875" style="169" customWidth="1"/>
    <col min="515" max="765" width="11.42578125" style="169"/>
    <col min="766" max="766" width="5.140625" style="169" customWidth="1"/>
    <col min="767" max="767" width="33.5703125" style="169" customWidth="1"/>
    <col min="768" max="770" width="12.85546875" style="169" customWidth="1"/>
    <col min="771" max="1021" width="11.42578125" style="169"/>
    <col min="1022" max="1022" width="5.140625" style="169" customWidth="1"/>
    <col min="1023" max="1023" width="33.5703125" style="169" customWidth="1"/>
    <col min="1024" max="1026" width="12.85546875" style="169" customWidth="1"/>
    <col min="1027" max="1277" width="11.42578125" style="169"/>
    <col min="1278" max="1278" width="5.140625" style="169" customWidth="1"/>
    <col min="1279" max="1279" width="33.5703125" style="169" customWidth="1"/>
    <col min="1280" max="1282" width="12.85546875" style="169" customWidth="1"/>
    <col min="1283" max="1533" width="11.42578125" style="169"/>
    <col min="1534" max="1534" width="5.140625" style="169" customWidth="1"/>
    <col min="1535" max="1535" width="33.5703125" style="169" customWidth="1"/>
    <col min="1536" max="1538" width="12.85546875" style="169" customWidth="1"/>
    <col min="1539" max="1789" width="11.42578125" style="169"/>
    <col min="1790" max="1790" width="5.140625" style="169" customWidth="1"/>
    <col min="1791" max="1791" width="33.5703125" style="169" customWidth="1"/>
    <col min="1792" max="1794" width="12.85546875" style="169" customWidth="1"/>
    <col min="1795" max="2045" width="11.42578125" style="169"/>
    <col min="2046" max="2046" width="5.140625" style="169" customWidth="1"/>
    <col min="2047" max="2047" width="33.5703125" style="169" customWidth="1"/>
    <col min="2048" max="2050" width="12.85546875" style="169" customWidth="1"/>
    <col min="2051" max="2301" width="11.42578125" style="169"/>
    <col min="2302" max="2302" width="5.140625" style="169" customWidth="1"/>
    <col min="2303" max="2303" width="33.5703125" style="169" customWidth="1"/>
    <col min="2304" max="2306" width="12.85546875" style="169" customWidth="1"/>
    <col min="2307" max="2557" width="11.42578125" style="169"/>
    <col min="2558" max="2558" width="5.140625" style="169" customWidth="1"/>
    <col min="2559" max="2559" width="33.5703125" style="169" customWidth="1"/>
    <col min="2560" max="2562" width="12.85546875" style="169" customWidth="1"/>
    <col min="2563" max="2813" width="11.42578125" style="169"/>
    <col min="2814" max="2814" width="5.140625" style="169" customWidth="1"/>
    <col min="2815" max="2815" width="33.5703125" style="169" customWidth="1"/>
    <col min="2816" max="2818" width="12.85546875" style="169" customWidth="1"/>
    <col min="2819" max="3069" width="11.42578125" style="169"/>
    <col min="3070" max="3070" width="5.140625" style="169" customWidth="1"/>
    <col min="3071" max="3071" width="33.5703125" style="169" customWidth="1"/>
    <col min="3072" max="3074" width="12.85546875" style="169" customWidth="1"/>
    <col min="3075" max="3325" width="11.42578125" style="169"/>
    <col min="3326" max="3326" width="5.140625" style="169" customWidth="1"/>
    <col min="3327" max="3327" width="33.5703125" style="169" customWidth="1"/>
    <col min="3328" max="3330" width="12.85546875" style="169" customWidth="1"/>
    <col min="3331" max="3581" width="11.42578125" style="169"/>
    <col min="3582" max="3582" width="5.140625" style="169" customWidth="1"/>
    <col min="3583" max="3583" width="33.5703125" style="169" customWidth="1"/>
    <col min="3584" max="3586" width="12.85546875" style="169" customWidth="1"/>
    <col min="3587" max="3837" width="11.42578125" style="169"/>
    <col min="3838" max="3838" width="5.140625" style="169" customWidth="1"/>
    <col min="3839" max="3839" width="33.5703125" style="169" customWidth="1"/>
    <col min="3840" max="3842" width="12.85546875" style="169" customWidth="1"/>
    <col min="3843" max="4093" width="11.42578125" style="169"/>
    <col min="4094" max="4094" width="5.140625" style="169" customWidth="1"/>
    <col min="4095" max="4095" width="33.5703125" style="169" customWidth="1"/>
    <col min="4096" max="4098" width="12.85546875" style="169" customWidth="1"/>
    <col min="4099" max="4349" width="11.42578125" style="169"/>
    <col min="4350" max="4350" width="5.140625" style="169" customWidth="1"/>
    <col min="4351" max="4351" width="33.5703125" style="169" customWidth="1"/>
    <col min="4352" max="4354" width="12.85546875" style="169" customWidth="1"/>
    <col min="4355" max="4605" width="11.42578125" style="169"/>
    <col min="4606" max="4606" width="5.140625" style="169" customWidth="1"/>
    <col min="4607" max="4607" width="33.5703125" style="169" customWidth="1"/>
    <col min="4608" max="4610" width="12.85546875" style="169" customWidth="1"/>
    <col min="4611" max="4861" width="11.42578125" style="169"/>
    <col min="4862" max="4862" width="5.140625" style="169" customWidth="1"/>
    <col min="4863" max="4863" width="33.5703125" style="169" customWidth="1"/>
    <col min="4864" max="4866" width="12.85546875" style="169" customWidth="1"/>
    <col min="4867" max="5117" width="11.42578125" style="169"/>
    <col min="5118" max="5118" width="5.140625" style="169" customWidth="1"/>
    <col min="5119" max="5119" width="33.5703125" style="169" customWidth="1"/>
    <col min="5120" max="5122" width="12.85546875" style="169" customWidth="1"/>
    <col min="5123" max="5373" width="11.42578125" style="169"/>
    <col min="5374" max="5374" width="5.140625" style="169" customWidth="1"/>
    <col min="5375" max="5375" width="33.5703125" style="169" customWidth="1"/>
    <col min="5376" max="5378" width="12.85546875" style="169" customWidth="1"/>
    <col min="5379" max="5629" width="11.42578125" style="169"/>
    <col min="5630" max="5630" width="5.140625" style="169" customWidth="1"/>
    <col min="5631" max="5631" width="33.5703125" style="169" customWidth="1"/>
    <col min="5632" max="5634" width="12.85546875" style="169" customWidth="1"/>
    <col min="5635" max="5885" width="11.42578125" style="169"/>
    <col min="5886" max="5886" width="5.140625" style="169" customWidth="1"/>
    <col min="5887" max="5887" width="33.5703125" style="169" customWidth="1"/>
    <col min="5888" max="5890" width="12.85546875" style="169" customWidth="1"/>
    <col min="5891" max="6141" width="11.42578125" style="169"/>
    <col min="6142" max="6142" width="5.140625" style="169" customWidth="1"/>
    <col min="6143" max="6143" width="33.5703125" style="169" customWidth="1"/>
    <col min="6144" max="6146" width="12.85546875" style="169" customWidth="1"/>
    <col min="6147" max="6397" width="11.42578125" style="169"/>
    <col min="6398" max="6398" width="5.140625" style="169" customWidth="1"/>
    <col min="6399" max="6399" width="33.5703125" style="169" customWidth="1"/>
    <col min="6400" max="6402" width="12.85546875" style="169" customWidth="1"/>
    <col min="6403" max="6653" width="11.42578125" style="169"/>
    <col min="6654" max="6654" width="5.140625" style="169" customWidth="1"/>
    <col min="6655" max="6655" width="33.5703125" style="169" customWidth="1"/>
    <col min="6656" max="6658" width="12.85546875" style="169" customWidth="1"/>
    <col min="6659" max="6909" width="11.42578125" style="169"/>
    <col min="6910" max="6910" width="5.140625" style="169" customWidth="1"/>
    <col min="6911" max="6911" width="33.5703125" style="169" customWidth="1"/>
    <col min="6912" max="6914" width="12.85546875" style="169" customWidth="1"/>
    <col min="6915" max="7165" width="11.42578125" style="169"/>
    <col min="7166" max="7166" width="5.140625" style="169" customWidth="1"/>
    <col min="7167" max="7167" width="33.5703125" style="169" customWidth="1"/>
    <col min="7168" max="7170" width="12.85546875" style="169" customWidth="1"/>
    <col min="7171" max="7421" width="11.42578125" style="169"/>
    <col min="7422" max="7422" width="5.140625" style="169" customWidth="1"/>
    <col min="7423" max="7423" width="33.5703125" style="169" customWidth="1"/>
    <col min="7424" max="7426" width="12.85546875" style="169" customWidth="1"/>
    <col min="7427" max="7677" width="11.42578125" style="169"/>
    <col min="7678" max="7678" width="5.140625" style="169" customWidth="1"/>
    <col min="7679" max="7679" width="33.5703125" style="169" customWidth="1"/>
    <col min="7680" max="7682" width="12.85546875" style="169" customWidth="1"/>
    <col min="7683" max="7933" width="11.42578125" style="169"/>
    <col min="7934" max="7934" width="5.140625" style="169" customWidth="1"/>
    <col min="7935" max="7935" width="33.5703125" style="169" customWidth="1"/>
    <col min="7936" max="7938" width="12.85546875" style="169" customWidth="1"/>
    <col min="7939" max="8189" width="11.42578125" style="169"/>
    <col min="8190" max="8190" width="5.140625" style="169" customWidth="1"/>
    <col min="8191" max="8191" width="33.5703125" style="169" customWidth="1"/>
    <col min="8192" max="8194" width="12.85546875" style="169" customWidth="1"/>
    <col min="8195" max="8445" width="11.42578125" style="169"/>
    <col min="8446" max="8446" width="5.140625" style="169" customWidth="1"/>
    <col min="8447" max="8447" width="33.5703125" style="169" customWidth="1"/>
    <col min="8448" max="8450" width="12.85546875" style="169" customWidth="1"/>
    <col min="8451" max="8701" width="11.42578125" style="169"/>
    <col min="8702" max="8702" width="5.140625" style="169" customWidth="1"/>
    <col min="8703" max="8703" width="33.5703125" style="169" customWidth="1"/>
    <col min="8704" max="8706" width="12.85546875" style="169" customWidth="1"/>
    <col min="8707" max="8957" width="11.42578125" style="169"/>
    <col min="8958" max="8958" width="5.140625" style="169" customWidth="1"/>
    <col min="8959" max="8959" width="33.5703125" style="169" customWidth="1"/>
    <col min="8960" max="8962" width="12.85546875" style="169" customWidth="1"/>
    <col min="8963" max="9213" width="11.42578125" style="169"/>
    <col min="9214" max="9214" width="5.140625" style="169" customWidth="1"/>
    <col min="9215" max="9215" width="33.5703125" style="169" customWidth="1"/>
    <col min="9216" max="9218" width="12.85546875" style="169" customWidth="1"/>
    <col min="9219" max="9469" width="11.42578125" style="169"/>
    <col min="9470" max="9470" width="5.140625" style="169" customWidth="1"/>
    <col min="9471" max="9471" width="33.5703125" style="169" customWidth="1"/>
    <col min="9472" max="9474" width="12.85546875" style="169" customWidth="1"/>
    <col min="9475" max="9725" width="11.42578125" style="169"/>
    <col min="9726" max="9726" width="5.140625" style="169" customWidth="1"/>
    <col min="9727" max="9727" width="33.5703125" style="169" customWidth="1"/>
    <col min="9728" max="9730" width="12.85546875" style="169" customWidth="1"/>
    <col min="9731" max="9981" width="11.42578125" style="169"/>
    <col min="9982" max="9982" width="5.140625" style="169" customWidth="1"/>
    <col min="9983" max="9983" width="33.5703125" style="169" customWidth="1"/>
    <col min="9984" max="9986" width="12.85546875" style="169" customWidth="1"/>
    <col min="9987" max="10237" width="11.42578125" style="169"/>
    <col min="10238" max="10238" width="5.140625" style="169" customWidth="1"/>
    <col min="10239" max="10239" width="33.5703125" style="169" customWidth="1"/>
    <col min="10240" max="10242" width="12.85546875" style="169" customWidth="1"/>
    <col min="10243" max="10493" width="11.42578125" style="169"/>
    <col min="10494" max="10494" width="5.140625" style="169" customWidth="1"/>
    <col min="10495" max="10495" width="33.5703125" style="169" customWidth="1"/>
    <col min="10496" max="10498" width="12.85546875" style="169" customWidth="1"/>
    <col min="10499" max="10749" width="11.42578125" style="169"/>
    <col min="10750" max="10750" width="5.140625" style="169" customWidth="1"/>
    <col min="10751" max="10751" width="33.5703125" style="169" customWidth="1"/>
    <col min="10752" max="10754" width="12.85546875" style="169" customWidth="1"/>
    <col min="10755" max="11005" width="11.42578125" style="169"/>
    <col min="11006" max="11006" width="5.140625" style="169" customWidth="1"/>
    <col min="11007" max="11007" width="33.5703125" style="169" customWidth="1"/>
    <col min="11008" max="11010" width="12.85546875" style="169" customWidth="1"/>
    <col min="11011" max="11261" width="11.42578125" style="169"/>
    <col min="11262" max="11262" width="5.140625" style="169" customWidth="1"/>
    <col min="11263" max="11263" width="33.5703125" style="169" customWidth="1"/>
    <col min="11264" max="11266" width="12.85546875" style="169" customWidth="1"/>
    <col min="11267" max="11517" width="11.42578125" style="169"/>
    <col min="11518" max="11518" width="5.140625" style="169" customWidth="1"/>
    <col min="11519" max="11519" width="33.5703125" style="169" customWidth="1"/>
    <col min="11520" max="11522" width="12.85546875" style="169" customWidth="1"/>
    <col min="11523" max="11773" width="11.42578125" style="169"/>
    <col min="11774" max="11774" width="5.140625" style="169" customWidth="1"/>
    <col min="11775" max="11775" width="33.5703125" style="169" customWidth="1"/>
    <col min="11776" max="11778" width="12.85546875" style="169" customWidth="1"/>
    <col min="11779" max="12029" width="11.42578125" style="169"/>
    <col min="12030" max="12030" width="5.140625" style="169" customWidth="1"/>
    <col min="12031" max="12031" width="33.5703125" style="169" customWidth="1"/>
    <col min="12032" max="12034" width="12.85546875" style="169" customWidth="1"/>
    <col min="12035" max="12285" width="11.42578125" style="169"/>
    <col min="12286" max="12286" width="5.140625" style="169" customWidth="1"/>
    <col min="12287" max="12287" width="33.5703125" style="169" customWidth="1"/>
    <col min="12288" max="12290" width="12.85546875" style="169" customWidth="1"/>
    <col min="12291" max="12541" width="11.42578125" style="169"/>
    <col min="12542" max="12542" width="5.140625" style="169" customWidth="1"/>
    <col min="12543" max="12543" width="33.5703125" style="169" customWidth="1"/>
    <col min="12544" max="12546" width="12.85546875" style="169" customWidth="1"/>
    <col min="12547" max="12797" width="11.42578125" style="169"/>
    <col min="12798" max="12798" width="5.140625" style="169" customWidth="1"/>
    <col min="12799" max="12799" width="33.5703125" style="169" customWidth="1"/>
    <col min="12800" max="12802" width="12.85546875" style="169" customWidth="1"/>
    <col min="12803" max="13053" width="11.42578125" style="169"/>
    <col min="13054" max="13054" width="5.140625" style="169" customWidth="1"/>
    <col min="13055" max="13055" width="33.5703125" style="169" customWidth="1"/>
    <col min="13056" max="13058" width="12.85546875" style="169" customWidth="1"/>
    <col min="13059" max="13309" width="11.42578125" style="169"/>
    <col min="13310" max="13310" width="5.140625" style="169" customWidth="1"/>
    <col min="13311" max="13311" width="33.5703125" style="169" customWidth="1"/>
    <col min="13312" max="13314" width="12.85546875" style="169" customWidth="1"/>
    <col min="13315" max="13565" width="11.42578125" style="169"/>
    <col min="13566" max="13566" width="5.140625" style="169" customWidth="1"/>
    <col min="13567" max="13567" width="33.5703125" style="169" customWidth="1"/>
    <col min="13568" max="13570" width="12.85546875" style="169" customWidth="1"/>
    <col min="13571" max="13821" width="11.42578125" style="169"/>
    <col min="13822" max="13822" width="5.140625" style="169" customWidth="1"/>
    <col min="13823" max="13823" width="33.5703125" style="169" customWidth="1"/>
    <col min="13824" max="13826" width="12.85546875" style="169" customWidth="1"/>
    <col min="13827" max="14077" width="11.42578125" style="169"/>
    <col min="14078" max="14078" width="5.140625" style="169" customWidth="1"/>
    <col min="14079" max="14079" width="33.5703125" style="169" customWidth="1"/>
    <col min="14080" max="14082" width="12.85546875" style="169" customWidth="1"/>
    <col min="14083" max="14333" width="11.42578125" style="169"/>
    <col min="14334" max="14334" width="5.140625" style="169" customWidth="1"/>
    <col min="14335" max="14335" width="33.5703125" style="169" customWidth="1"/>
    <col min="14336" max="14338" width="12.85546875" style="169" customWidth="1"/>
    <col min="14339" max="14589" width="11.42578125" style="169"/>
    <col min="14590" max="14590" width="5.140625" style="169" customWidth="1"/>
    <col min="14591" max="14591" width="33.5703125" style="169" customWidth="1"/>
    <col min="14592" max="14594" width="12.85546875" style="169" customWidth="1"/>
    <col min="14595" max="14845" width="11.42578125" style="169"/>
    <col min="14846" max="14846" width="5.140625" style="169" customWidth="1"/>
    <col min="14847" max="14847" width="33.5703125" style="169" customWidth="1"/>
    <col min="14848" max="14850" width="12.85546875" style="169" customWidth="1"/>
    <col min="14851" max="15101" width="11.42578125" style="169"/>
    <col min="15102" max="15102" width="5.140625" style="169" customWidth="1"/>
    <col min="15103" max="15103" width="33.5703125" style="169" customWidth="1"/>
    <col min="15104" max="15106" width="12.85546875" style="169" customWidth="1"/>
    <col min="15107" max="15357" width="11.42578125" style="169"/>
    <col min="15358" max="15358" width="5.140625" style="169" customWidth="1"/>
    <col min="15359" max="15359" width="33.5703125" style="169" customWidth="1"/>
    <col min="15360" max="15362" width="12.85546875" style="169" customWidth="1"/>
    <col min="15363" max="15613" width="11.42578125" style="169"/>
    <col min="15614" max="15614" width="5.140625" style="169" customWidth="1"/>
    <col min="15615" max="15615" width="33.5703125" style="169" customWidth="1"/>
    <col min="15616" max="15618" width="12.85546875" style="169" customWidth="1"/>
    <col min="15619" max="15869" width="11.42578125" style="169"/>
    <col min="15870" max="15870" width="5.140625" style="169" customWidth="1"/>
    <col min="15871" max="15871" width="33.5703125" style="169" customWidth="1"/>
    <col min="15872" max="15874" width="12.85546875" style="169" customWidth="1"/>
    <col min="15875" max="16125" width="11.42578125" style="169"/>
    <col min="16126" max="16126" width="5.140625" style="169" customWidth="1"/>
    <col min="16127" max="16127" width="33.5703125" style="169" customWidth="1"/>
    <col min="16128" max="16130" width="12.85546875" style="169" customWidth="1"/>
    <col min="16131" max="16384" width="11.42578125" style="169"/>
  </cols>
  <sheetData>
    <row r="3" spans="3:14" ht="24.95" customHeight="1" x14ac:dyDescent="0.2">
      <c r="C3" s="311" t="s">
        <v>226</v>
      </c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</row>
    <row r="4" spans="3:14" ht="50.25" customHeight="1" x14ac:dyDescent="0.2">
      <c r="C4" s="17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4" ht="15" customHeight="1" x14ac:dyDescent="0.2">
      <c r="C5" s="171" t="s">
        <v>227</v>
      </c>
      <c r="D5" s="88">
        <v>30.509090909090901</v>
      </c>
      <c r="E5" s="88">
        <v>31.781818181818181</v>
      </c>
      <c r="F5" s="88">
        <v>30.8</v>
      </c>
      <c r="G5" s="88">
        <v>30.945454545454545</v>
      </c>
      <c r="H5" s="88">
        <v>31.463636363636365</v>
      </c>
      <c r="I5" s="88">
        <v>31.336363636363636</v>
      </c>
      <c r="J5" s="14">
        <f t="shared" ref="J5:N13" si="0">E5/D5-1</f>
        <v>4.1716328963051552E-2</v>
      </c>
      <c r="K5" s="14">
        <f t="shared" si="0"/>
        <v>-3.0892448512585768E-2</v>
      </c>
      <c r="L5" s="14">
        <f>G5/F5-1</f>
        <v>4.7225501770955525E-3</v>
      </c>
      <c r="M5" s="14">
        <f>H5/G5-1</f>
        <v>1.6745005875440588E-2</v>
      </c>
      <c r="N5" s="14">
        <f>I5/H5-1</f>
        <v>-4.0450736781277863E-3</v>
      </c>
    </row>
    <row r="6" spans="3:14" ht="15" customHeight="1" x14ac:dyDescent="0.2">
      <c r="C6" s="171" t="s">
        <v>228</v>
      </c>
      <c r="D6" s="88">
        <v>20.1181818181818</v>
      </c>
      <c r="E6" s="88">
        <v>20.718181818181819</v>
      </c>
      <c r="F6" s="88">
        <v>19.972727272727273</v>
      </c>
      <c r="G6" s="88">
        <v>19.981818181818181</v>
      </c>
      <c r="H6" s="88">
        <v>19.836363636363636</v>
      </c>
      <c r="I6" s="88">
        <v>19.145454545454545</v>
      </c>
      <c r="J6" s="14">
        <f t="shared" si="0"/>
        <v>2.9823768639856363E-2</v>
      </c>
      <c r="K6" s="14">
        <f t="shared" si="0"/>
        <v>-3.5980693286529197E-2</v>
      </c>
      <c r="L6" s="14">
        <f t="shared" si="0"/>
        <v>4.5516613563933994E-4</v>
      </c>
      <c r="M6" s="14">
        <f t="shared" si="0"/>
        <v>-7.2793448589626442E-3</v>
      </c>
      <c r="N6" s="14">
        <f t="shared" si="0"/>
        <v>-3.4830430797433531E-2</v>
      </c>
    </row>
    <row r="7" spans="3:14" ht="15" customHeight="1" x14ac:dyDescent="0.2">
      <c r="C7" s="171" t="s">
        <v>229</v>
      </c>
      <c r="D7" s="88">
        <v>17.600000000000001</v>
      </c>
      <c r="E7" s="88">
        <v>18.218181818181819</v>
      </c>
      <c r="F7" s="88">
        <v>17.427272727272726</v>
      </c>
      <c r="G7" s="88">
        <v>16.654545454545456</v>
      </c>
      <c r="H7" s="88">
        <v>15.372727272727273</v>
      </c>
      <c r="I7" s="88">
        <v>15.918181818181818</v>
      </c>
      <c r="J7" s="14">
        <f t="shared" si="0"/>
        <v>3.512396694214881E-2</v>
      </c>
      <c r="K7" s="14">
        <f t="shared" si="0"/>
        <v>-4.3413173652694703E-2</v>
      </c>
      <c r="L7" s="14">
        <f t="shared" si="0"/>
        <v>-4.4340114762649763E-2</v>
      </c>
      <c r="M7" s="14">
        <f t="shared" si="0"/>
        <v>-7.6965065502183516E-2</v>
      </c>
      <c r="N7" s="14">
        <f t="shared" si="0"/>
        <v>3.5481963335304512E-2</v>
      </c>
    </row>
    <row r="8" spans="3:14" ht="15" customHeight="1" x14ac:dyDescent="0.2">
      <c r="C8" s="171" t="s">
        <v>230</v>
      </c>
      <c r="D8" s="88">
        <v>12.0181818181818</v>
      </c>
      <c r="E8" s="88">
        <v>11.881818181818181</v>
      </c>
      <c r="F8" s="88">
        <v>12.045454545454545</v>
      </c>
      <c r="G8" s="88">
        <v>12.727272727272727</v>
      </c>
      <c r="H8" s="88">
        <v>13.145454545454545</v>
      </c>
      <c r="I8" s="88">
        <v>12.709090909090909</v>
      </c>
      <c r="J8" s="14">
        <f t="shared" si="0"/>
        <v>-1.1346444780633957E-2</v>
      </c>
      <c r="K8" s="14">
        <f t="shared" si="0"/>
        <v>1.3771996939556219E-2</v>
      </c>
      <c r="L8" s="14">
        <f t="shared" si="0"/>
        <v>5.6603773584905648E-2</v>
      </c>
      <c r="M8" s="14">
        <f t="shared" si="0"/>
        <v>3.2857142857142918E-2</v>
      </c>
      <c r="N8" s="14">
        <f t="shared" si="0"/>
        <v>-3.319502074688796E-2</v>
      </c>
    </row>
    <row r="9" spans="3:14" ht="15" customHeight="1" x14ac:dyDescent="0.2">
      <c r="C9" s="171" t="s">
        <v>231</v>
      </c>
      <c r="D9" s="88">
        <v>9.2818181818181795</v>
      </c>
      <c r="E9" s="88">
        <v>7.6818181818181817</v>
      </c>
      <c r="F9" s="88">
        <v>8.8000000000000007</v>
      </c>
      <c r="G9" s="88">
        <v>8.4</v>
      </c>
      <c r="H9" s="88">
        <v>8.836363636363636</v>
      </c>
      <c r="I9" s="88">
        <v>9.5909090909090917</v>
      </c>
      <c r="J9" s="14">
        <f t="shared" si="0"/>
        <v>-0.17238001958863836</v>
      </c>
      <c r="K9" s="14">
        <f t="shared" si="0"/>
        <v>0.14556213017751496</v>
      </c>
      <c r="L9" s="14">
        <f t="shared" si="0"/>
        <v>-4.5454545454545525E-2</v>
      </c>
      <c r="M9" s="14">
        <f t="shared" si="0"/>
        <v>5.1948051948051965E-2</v>
      </c>
      <c r="N9" s="14">
        <f t="shared" si="0"/>
        <v>8.5390946502057696E-2</v>
      </c>
    </row>
    <row r="10" spans="3:14" ht="15" customHeight="1" x14ac:dyDescent="0.2">
      <c r="C10" s="171" t="s">
        <v>232</v>
      </c>
      <c r="D10" s="88">
        <v>5.2636363636363601</v>
      </c>
      <c r="E10" s="88">
        <v>5.4</v>
      </c>
      <c r="F10" s="88">
        <v>5.6</v>
      </c>
      <c r="G10" s="88">
        <v>6.336363636363636</v>
      </c>
      <c r="H10" s="88">
        <v>6.2727272727272725</v>
      </c>
      <c r="I10" s="88">
        <v>5.9363636363636365</v>
      </c>
      <c r="J10" s="14">
        <f t="shared" si="0"/>
        <v>2.5906735751296095E-2</v>
      </c>
      <c r="K10" s="14">
        <f t="shared" si="0"/>
        <v>3.7037037037036979E-2</v>
      </c>
      <c r="L10" s="14">
        <f t="shared" si="0"/>
        <v>0.13149350649350655</v>
      </c>
      <c r="M10" s="14">
        <f t="shared" si="0"/>
        <v>-1.0043041606886627E-2</v>
      </c>
      <c r="N10" s="14">
        <f t="shared" si="0"/>
        <v>-5.3623188405797051E-2</v>
      </c>
    </row>
    <row r="11" spans="3:14" ht="15" customHeight="1" x14ac:dyDescent="0.2">
      <c r="C11" s="171" t="s">
        <v>233</v>
      </c>
      <c r="D11" s="88">
        <v>1.7909090909090899</v>
      </c>
      <c r="E11" s="88">
        <v>1.4727272727272727</v>
      </c>
      <c r="F11" s="88">
        <v>2.0909090909090908</v>
      </c>
      <c r="G11" s="88">
        <v>2.1181818181818182</v>
      </c>
      <c r="H11" s="88">
        <v>2.5181818181818181</v>
      </c>
      <c r="I11" s="88">
        <v>2.8</v>
      </c>
      <c r="J11" s="14">
        <f>E11/D11-1</f>
        <v>-0.17766497461928887</v>
      </c>
      <c r="K11" s="14">
        <f>F11/E11-1</f>
        <v>0.41975308641975317</v>
      </c>
      <c r="L11" s="14">
        <f>G11/F11-1</f>
        <v>1.304347826086949E-2</v>
      </c>
      <c r="M11" s="14">
        <f>H11/G11-1</f>
        <v>0.18884120171673824</v>
      </c>
      <c r="N11" s="14">
        <f>I11/H11-1</f>
        <v>0.11191335740072206</v>
      </c>
    </row>
    <row r="12" spans="3:14" ht="15" customHeight="1" x14ac:dyDescent="0.2">
      <c r="C12" s="171" t="s">
        <v>234</v>
      </c>
      <c r="D12" s="88">
        <v>2.1727272727272702</v>
      </c>
      <c r="E12" s="88">
        <v>1.8181818181818181</v>
      </c>
      <c r="F12" s="88">
        <v>2.2181818181818183</v>
      </c>
      <c r="G12" s="88">
        <v>1.5545454545454545</v>
      </c>
      <c r="H12" s="88">
        <v>1.3272727272727274</v>
      </c>
      <c r="I12" s="88">
        <v>1.2545454545454546</v>
      </c>
      <c r="J12" s="14">
        <f t="shared" si="0"/>
        <v>-0.16317991631799067</v>
      </c>
      <c r="K12" s="14">
        <f t="shared" si="0"/>
        <v>0.21999999999999997</v>
      </c>
      <c r="L12" s="14">
        <f t="shared" si="0"/>
        <v>-0.29918032786885251</v>
      </c>
      <c r="M12" s="14">
        <f t="shared" si="0"/>
        <v>-0.14619883040935655</v>
      </c>
      <c r="N12" s="14">
        <f t="shared" si="0"/>
        <v>-5.4794520547945202E-2</v>
      </c>
    </row>
    <row r="13" spans="3:14" ht="15" customHeight="1" x14ac:dyDescent="0.2">
      <c r="C13" s="171" t="s">
        <v>235</v>
      </c>
      <c r="D13" s="88">
        <v>1.24545454545455</v>
      </c>
      <c r="E13" s="88">
        <v>1.0272727272727273</v>
      </c>
      <c r="F13" s="88">
        <v>1.0454545454545454</v>
      </c>
      <c r="G13" s="88">
        <v>1.2818181818181817</v>
      </c>
      <c r="H13" s="88">
        <v>1.2272727272727273</v>
      </c>
      <c r="I13" s="88">
        <v>1.3090909090909091</v>
      </c>
      <c r="J13" s="14">
        <f t="shared" si="0"/>
        <v>-0.17518248175182782</v>
      </c>
      <c r="K13" s="14">
        <f t="shared" si="0"/>
        <v>1.7699115044247593E-2</v>
      </c>
      <c r="L13" s="14">
        <f t="shared" si="0"/>
        <v>0.22608695652173916</v>
      </c>
      <c r="M13" s="14">
        <f t="shared" si="0"/>
        <v>-4.2553191489361653E-2</v>
      </c>
      <c r="N13" s="14">
        <f t="shared" si="0"/>
        <v>6.6666666666666652E-2</v>
      </c>
    </row>
    <row r="14" spans="3:14" ht="15" customHeight="1" x14ac:dyDescent="0.2">
      <c r="C14" s="297" t="s">
        <v>201</v>
      </c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</row>
    <row r="15" spans="3:14" x14ac:dyDescent="0.2">
      <c r="C15" s="172"/>
      <c r="D15" s="172"/>
      <c r="E15" s="172"/>
      <c r="F15" s="172"/>
      <c r="G15" s="15"/>
      <c r="H15" s="172"/>
      <c r="J15" s="172"/>
      <c r="K15" s="172"/>
      <c r="L15" s="172"/>
      <c r="M15" s="172"/>
      <c r="N15" s="172"/>
    </row>
    <row r="16" spans="3:14" x14ac:dyDescent="0.2">
      <c r="C16" s="172"/>
      <c r="D16" s="172"/>
      <c r="E16" s="172"/>
      <c r="F16" s="172"/>
      <c r="G16" s="15"/>
      <c r="H16" s="296" t="s">
        <v>102</v>
      </c>
      <c r="J16" s="172"/>
      <c r="K16" s="15"/>
      <c r="L16" s="15"/>
      <c r="M16" s="15"/>
      <c r="N16" s="15"/>
    </row>
    <row r="17" spans="3:14" x14ac:dyDescent="0.2">
      <c r="C17" s="172"/>
      <c r="D17" s="172"/>
      <c r="E17" s="172"/>
      <c r="F17" s="172"/>
      <c r="G17" s="15"/>
      <c r="H17" s="296"/>
      <c r="J17" s="172"/>
      <c r="K17" s="15"/>
      <c r="L17" s="15"/>
      <c r="M17" s="15"/>
      <c r="N17" s="15"/>
    </row>
    <row r="18" spans="3:14" x14ac:dyDescent="0.2">
      <c r="C18" s="172"/>
      <c r="D18" s="172"/>
      <c r="E18" s="172"/>
      <c r="F18" s="172"/>
      <c r="G18" s="172"/>
      <c r="H18" s="172"/>
      <c r="J18" s="172"/>
      <c r="K18" s="15"/>
      <c r="L18" s="15"/>
      <c r="M18" s="15"/>
      <c r="N18" s="15"/>
    </row>
    <row r="19" spans="3:14" x14ac:dyDescent="0.2">
      <c r="C19" s="172"/>
      <c r="D19" s="172"/>
      <c r="E19" s="172"/>
      <c r="F19" s="172"/>
      <c r="G19" s="172"/>
      <c r="H19" s="172"/>
      <c r="J19" s="172"/>
      <c r="K19" s="172"/>
      <c r="L19" s="172"/>
      <c r="M19" s="172"/>
      <c r="N19" s="172"/>
    </row>
    <row r="20" spans="3:14" x14ac:dyDescent="0.2"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</row>
    <row r="21" spans="3:14" x14ac:dyDescent="0.2"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</row>
    <row r="22" spans="3:14" x14ac:dyDescent="0.2"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</row>
    <row r="23" spans="3:14" x14ac:dyDescent="0.2">
      <c r="K23" s="169"/>
      <c r="L23" s="169"/>
      <c r="M23" s="169"/>
      <c r="N23" s="169"/>
    </row>
    <row r="24" spans="3:14" x14ac:dyDescent="0.2">
      <c r="K24" s="169"/>
      <c r="L24" s="169"/>
      <c r="M24" s="169"/>
      <c r="N24" s="169"/>
    </row>
    <row r="25" spans="3:14" x14ac:dyDescent="0.2">
      <c r="K25" s="169"/>
      <c r="L25" s="169"/>
      <c r="M25" s="169"/>
      <c r="N25" s="169"/>
    </row>
    <row r="26" spans="3:14" x14ac:dyDescent="0.2">
      <c r="K26" s="169"/>
      <c r="L26" s="169"/>
      <c r="M26" s="169"/>
      <c r="N26" s="169"/>
    </row>
    <row r="27" spans="3:14" x14ac:dyDescent="0.2">
      <c r="K27" s="169"/>
      <c r="L27" s="169"/>
      <c r="M27" s="169"/>
      <c r="N27" s="169"/>
    </row>
    <row r="28" spans="3:14" x14ac:dyDescent="0.2">
      <c r="K28" s="169"/>
      <c r="L28" s="169"/>
      <c r="M28" s="169"/>
      <c r="N28" s="169"/>
    </row>
    <row r="53" spans="3:10" x14ac:dyDescent="0.2">
      <c r="C53"/>
      <c r="D53"/>
      <c r="E53"/>
      <c r="F53"/>
      <c r="G53"/>
      <c r="H53"/>
      <c r="I53"/>
      <c r="J53"/>
    </row>
    <row r="54" spans="3:10" x14ac:dyDescent="0.2">
      <c r="C54"/>
      <c r="D54"/>
      <c r="E54"/>
      <c r="F54"/>
      <c r="G54"/>
      <c r="H54"/>
      <c r="I54"/>
      <c r="J54"/>
    </row>
    <row r="55" spans="3:10" x14ac:dyDescent="0.2">
      <c r="C55"/>
      <c r="D55"/>
      <c r="E55"/>
      <c r="F55"/>
      <c r="G55"/>
      <c r="H55"/>
      <c r="I55"/>
      <c r="J55"/>
    </row>
    <row r="56" spans="3:10" x14ac:dyDescent="0.2">
      <c r="C56"/>
      <c r="D56"/>
      <c r="E56"/>
      <c r="F56"/>
      <c r="G56"/>
      <c r="H56"/>
      <c r="I56"/>
      <c r="J56"/>
    </row>
    <row r="57" spans="3:10" x14ac:dyDescent="0.2">
      <c r="C57"/>
      <c r="D57"/>
      <c r="E57"/>
      <c r="F57"/>
      <c r="G57"/>
      <c r="H57"/>
      <c r="I57"/>
      <c r="J57"/>
    </row>
    <row r="58" spans="3:10" x14ac:dyDescent="0.2">
      <c r="C58"/>
      <c r="D58"/>
      <c r="E58"/>
      <c r="F58"/>
      <c r="G58"/>
      <c r="H58"/>
      <c r="I58"/>
      <c r="J58"/>
    </row>
    <row r="59" spans="3:10" x14ac:dyDescent="0.2">
      <c r="C59"/>
      <c r="D59"/>
      <c r="E59"/>
      <c r="F59"/>
      <c r="G59"/>
      <c r="H59"/>
      <c r="I59"/>
      <c r="J59"/>
    </row>
    <row r="60" spans="3:10" x14ac:dyDescent="0.2">
      <c r="C60"/>
      <c r="D60"/>
      <c r="E60"/>
      <c r="F60"/>
      <c r="G60"/>
      <c r="H60"/>
      <c r="I60"/>
      <c r="J60"/>
    </row>
    <row r="61" spans="3:10" x14ac:dyDescent="0.2">
      <c r="C61"/>
      <c r="D61"/>
      <c r="E61"/>
      <c r="F61"/>
      <c r="G61"/>
      <c r="H61"/>
      <c r="I61"/>
      <c r="J61"/>
    </row>
    <row r="62" spans="3:10" x14ac:dyDescent="0.2">
      <c r="C62"/>
      <c r="D62"/>
      <c r="E62"/>
      <c r="F62"/>
      <c r="G62"/>
      <c r="H62"/>
      <c r="I62"/>
      <c r="J62"/>
    </row>
    <row r="63" spans="3:10" x14ac:dyDescent="0.2">
      <c r="C63"/>
      <c r="D63"/>
      <c r="E63"/>
      <c r="F63"/>
      <c r="G63"/>
      <c r="H63"/>
      <c r="I63"/>
      <c r="J63"/>
    </row>
    <row r="64" spans="3:10" x14ac:dyDescent="0.2">
      <c r="C64"/>
      <c r="D64"/>
      <c r="E64"/>
      <c r="F64"/>
      <c r="G64"/>
      <c r="H64"/>
      <c r="I64"/>
      <c r="J64"/>
    </row>
    <row r="65" spans="3:10" x14ac:dyDescent="0.2">
      <c r="C65"/>
      <c r="D65"/>
      <c r="E65"/>
      <c r="F65"/>
      <c r="G65"/>
      <c r="H65"/>
      <c r="I65"/>
      <c r="J65"/>
    </row>
    <row r="66" spans="3:10" x14ac:dyDescent="0.2">
      <c r="C66"/>
      <c r="D66"/>
      <c r="E66"/>
      <c r="F66"/>
      <c r="G66"/>
      <c r="H66"/>
      <c r="I66"/>
      <c r="J66"/>
    </row>
    <row r="67" spans="3:10" x14ac:dyDescent="0.2">
      <c r="C67"/>
      <c r="D67"/>
      <c r="E67"/>
      <c r="F67"/>
      <c r="G67"/>
      <c r="H67"/>
      <c r="I67"/>
      <c r="J67"/>
    </row>
    <row r="68" spans="3:10" x14ac:dyDescent="0.2">
      <c r="C68"/>
      <c r="D68"/>
      <c r="E68"/>
      <c r="F68"/>
      <c r="G68"/>
      <c r="H68"/>
      <c r="I68"/>
      <c r="J68"/>
    </row>
    <row r="69" spans="3:10" x14ac:dyDescent="0.2">
      <c r="C69"/>
      <c r="D69"/>
      <c r="E69"/>
      <c r="F69"/>
      <c r="G69"/>
      <c r="H69"/>
      <c r="I69"/>
      <c r="J69"/>
    </row>
    <row r="70" spans="3:10" x14ac:dyDescent="0.2">
      <c r="C70"/>
      <c r="D70"/>
      <c r="E70"/>
      <c r="F70"/>
      <c r="G70"/>
      <c r="H70"/>
      <c r="I70"/>
      <c r="J70"/>
    </row>
    <row r="71" spans="3:10" x14ac:dyDescent="0.2">
      <c r="C71"/>
      <c r="D71"/>
      <c r="E71"/>
      <c r="F71"/>
      <c r="G71"/>
      <c r="H71"/>
      <c r="I71"/>
      <c r="J71"/>
    </row>
    <row r="72" spans="3:10" x14ac:dyDescent="0.2">
      <c r="C72"/>
      <c r="D72"/>
      <c r="E72"/>
      <c r="F72"/>
      <c r="G72"/>
      <c r="H72"/>
      <c r="I72"/>
      <c r="J72"/>
    </row>
    <row r="73" spans="3:10" x14ac:dyDescent="0.2">
      <c r="C73"/>
      <c r="D73"/>
      <c r="E73"/>
      <c r="F73"/>
      <c r="G73"/>
      <c r="H73"/>
      <c r="I73"/>
      <c r="J73"/>
    </row>
    <row r="74" spans="3:10" x14ac:dyDescent="0.2">
      <c r="C74"/>
      <c r="D74"/>
      <c r="E74"/>
      <c r="F74"/>
      <c r="G74"/>
      <c r="H74"/>
      <c r="I74"/>
      <c r="J74"/>
    </row>
    <row r="75" spans="3:10" x14ac:dyDescent="0.2">
      <c r="C75"/>
      <c r="D75"/>
      <c r="E75"/>
      <c r="F75"/>
      <c r="G75"/>
      <c r="H75"/>
      <c r="I75"/>
      <c r="J75"/>
    </row>
    <row r="76" spans="3:10" x14ac:dyDescent="0.2">
      <c r="C76"/>
      <c r="D76"/>
      <c r="E76"/>
      <c r="F76"/>
      <c r="G76"/>
      <c r="H76"/>
      <c r="I76"/>
      <c r="J76"/>
    </row>
    <row r="77" spans="3:10" x14ac:dyDescent="0.2">
      <c r="C77"/>
      <c r="D77"/>
      <c r="E77"/>
      <c r="F77"/>
      <c r="G77"/>
      <c r="H77"/>
      <c r="I77"/>
      <c r="J77"/>
    </row>
    <row r="78" spans="3:10" x14ac:dyDescent="0.2">
      <c r="C78"/>
      <c r="D78"/>
      <c r="E78"/>
      <c r="F78"/>
      <c r="G78"/>
      <c r="H78"/>
      <c r="I78"/>
      <c r="J78"/>
    </row>
    <row r="79" spans="3:10" x14ac:dyDescent="0.2">
      <c r="C79"/>
      <c r="D79"/>
      <c r="E79"/>
      <c r="F79"/>
      <c r="G79"/>
      <c r="H79"/>
      <c r="I79"/>
      <c r="J79"/>
    </row>
    <row r="80" spans="3:10" x14ac:dyDescent="0.2">
      <c r="C80"/>
      <c r="D80"/>
      <c r="E80"/>
      <c r="F80"/>
      <c r="G80"/>
      <c r="H80"/>
      <c r="I80"/>
      <c r="J80"/>
    </row>
    <row r="81" spans="3:10" x14ac:dyDescent="0.2">
      <c r="C81"/>
      <c r="D81"/>
      <c r="E81"/>
      <c r="F81"/>
      <c r="G81"/>
      <c r="H81"/>
      <c r="I81"/>
      <c r="J81"/>
    </row>
    <row r="82" spans="3:10" x14ac:dyDescent="0.2">
      <c r="C82"/>
      <c r="D82"/>
      <c r="E82"/>
      <c r="F82"/>
      <c r="G82"/>
      <c r="H82"/>
      <c r="I82"/>
      <c r="J82"/>
    </row>
    <row r="83" spans="3:10" x14ac:dyDescent="0.2">
      <c r="C83"/>
      <c r="D83"/>
      <c r="E83"/>
      <c r="F83"/>
      <c r="G83"/>
      <c r="H83"/>
      <c r="I83"/>
      <c r="J83"/>
    </row>
    <row r="84" spans="3:10" x14ac:dyDescent="0.2">
      <c r="C84"/>
      <c r="D84"/>
      <c r="E84"/>
      <c r="F84"/>
      <c r="G84"/>
      <c r="H84"/>
      <c r="I84"/>
      <c r="J84"/>
    </row>
    <row r="85" spans="3:10" x14ac:dyDescent="0.2">
      <c r="C85"/>
      <c r="D85"/>
      <c r="E85"/>
      <c r="F85"/>
      <c r="G85"/>
      <c r="H85"/>
      <c r="I85"/>
      <c r="J85"/>
    </row>
    <row r="86" spans="3:10" x14ac:dyDescent="0.2">
      <c r="C86"/>
      <c r="D86"/>
      <c r="E86"/>
      <c r="F86"/>
      <c r="G86"/>
      <c r="H86"/>
      <c r="I86"/>
      <c r="J86"/>
    </row>
    <row r="87" spans="3:10" x14ac:dyDescent="0.2">
      <c r="C87"/>
      <c r="D87"/>
      <c r="E87"/>
      <c r="F87"/>
      <c r="G87"/>
      <c r="H87"/>
      <c r="I87"/>
      <c r="J87"/>
    </row>
    <row r="88" spans="3:10" x14ac:dyDescent="0.2">
      <c r="C88"/>
      <c r="D88"/>
      <c r="E88"/>
      <c r="F88"/>
      <c r="G88"/>
      <c r="H88"/>
      <c r="I88"/>
      <c r="J88"/>
    </row>
    <row r="89" spans="3:10" x14ac:dyDescent="0.2">
      <c r="C89"/>
      <c r="D89"/>
      <c r="E89"/>
      <c r="F89"/>
      <c r="G89"/>
      <c r="H89"/>
      <c r="I89"/>
      <c r="J89"/>
    </row>
    <row r="90" spans="3:10" x14ac:dyDescent="0.2">
      <c r="C90"/>
      <c r="D90"/>
      <c r="E90"/>
      <c r="F90"/>
      <c r="G90"/>
      <c r="H90"/>
      <c r="I90"/>
      <c r="J90"/>
    </row>
    <row r="91" spans="3:10" x14ac:dyDescent="0.2">
      <c r="C91"/>
      <c r="D91"/>
      <c r="E91"/>
      <c r="F91"/>
      <c r="G91"/>
      <c r="H91"/>
      <c r="I91"/>
      <c r="J91"/>
    </row>
    <row r="92" spans="3:10" x14ac:dyDescent="0.2">
      <c r="C92"/>
      <c r="D92"/>
      <c r="E92"/>
      <c r="F92"/>
      <c r="G92"/>
      <c r="H92"/>
      <c r="I92"/>
      <c r="J92"/>
    </row>
    <row r="93" spans="3:10" x14ac:dyDescent="0.2">
      <c r="C93"/>
      <c r="D93"/>
      <c r="E93"/>
      <c r="F93"/>
      <c r="G93"/>
      <c r="H93"/>
      <c r="I93"/>
      <c r="J93"/>
    </row>
    <row r="94" spans="3:10" x14ac:dyDescent="0.2">
      <c r="C94"/>
      <c r="D94"/>
      <c r="E94"/>
      <c r="F94"/>
      <c r="G94"/>
      <c r="H94"/>
      <c r="I94"/>
      <c r="J94"/>
    </row>
    <row r="95" spans="3:10" x14ac:dyDescent="0.2">
      <c r="C95"/>
      <c r="D95"/>
      <c r="E95"/>
      <c r="F95"/>
      <c r="G95"/>
      <c r="H95"/>
      <c r="I95"/>
      <c r="J95"/>
    </row>
    <row r="96" spans="3:10" x14ac:dyDescent="0.2">
      <c r="C96"/>
      <c r="D96"/>
      <c r="E96"/>
      <c r="F96"/>
      <c r="G96"/>
      <c r="H96"/>
      <c r="I96"/>
      <c r="J96"/>
    </row>
    <row r="97" spans="3:10" x14ac:dyDescent="0.2">
      <c r="C97"/>
      <c r="D97"/>
      <c r="E97"/>
      <c r="F97"/>
      <c r="G97"/>
      <c r="H97"/>
      <c r="I97"/>
      <c r="J97"/>
    </row>
    <row r="98" spans="3:10" x14ac:dyDescent="0.2">
      <c r="C98"/>
      <c r="D98"/>
      <c r="E98"/>
      <c r="F98"/>
      <c r="G98"/>
      <c r="H98"/>
      <c r="I98"/>
      <c r="J98"/>
    </row>
    <row r="99" spans="3:10" x14ac:dyDescent="0.2">
      <c r="C99"/>
      <c r="D99"/>
      <c r="E99"/>
      <c r="F99"/>
      <c r="G99"/>
      <c r="H99"/>
      <c r="I99"/>
      <c r="J99"/>
    </row>
    <row r="100" spans="3:10" x14ac:dyDescent="0.2">
      <c r="C100"/>
      <c r="D100"/>
      <c r="E100"/>
      <c r="F100"/>
      <c r="G100"/>
      <c r="H100"/>
      <c r="I100"/>
      <c r="J100"/>
    </row>
    <row r="101" spans="3:10" x14ac:dyDescent="0.2">
      <c r="C101"/>
      <c r="D101"/>
      <c r="E101"/>
      <c r="F101"/>
      <c r="G101"/>
      <c r="H101"/>
      <c r="I101"/>
      <c r="J101"/>
    </row>
    <row r="102" spans="3:10" x14ac:dyDescent="0.2">
      <c r="C102"/>
      <c r="D102"/>
      <c r="E102"/>
      <c r="F102"/>
      <c r="G102"/>
      <c r="H102"/>
      <c r="I102"/>
      <c r="J102"/>
    </row>
    <row r="103" spans="3:10" x14ac:dyDescent="0.2">
      <c r="C103"/>
      <c r="D103"/>
      <c r="E103"/>
      <c r="F103"/>
      <c r="G103"/>
      <c r="H103"/>
      <c r="I103"/>
      <c r="J103"/>
    </row>
    <row r="104" spans="3:10" x14ac:dyDescent="0.2">
      <c r="C104"/>
      <c r="D104"/>
      <c r="E104"/>
      <c r="F104"/>
      <c r="G104"/>
      <c r="H104"/>
      <c r="I104"/>
      <c r="J104"/>
    </row>
    <row r="105" spans="3:10" x14ac:dyDescent="0.2">
      <c r="C105"/>
      <c r="D105"/>
      <c r="E105"/>
      <c r="F105"/>
      <c r="G105"/>
      <c r="H105"/>
      <c r="I105"/>
      <c r="J105"/>
    </row>
    <row r="106" spans="3:10" x14ac:dyDescent="0.2">
      <c r="C106"/>
      <c r="D106"/>
      <c r="E106"/>
      <c r="F106"/>
      <c r="G106"/>
      <c r="H106"/>
      <c r="I106"/>
      <c r="J106"/>
    </row>
    <row r="107" spans="3:10" x14ac:dyDescent="0.2">
      <c r="C107"/>
      <c r="D107"/>
      <c r="E107"/>
      <c r="F107"/>
      <c r="G107"/>
      <c r="H107"/>
      <c r="I107"/>
      <c r="J107"/>
    </row>
    <row r="108" spans="3:10" x14ac:dyDescent="0.2">
      <c r="C108"/>
      <c r="D108"/>
      <c r="E108"/>
      <c r="F108"/>
      <c r="G108"/>
      <c r="H108"/>
      <c r="I108"/>
      <c r="J108"/>
    </row>
    <row r="109" spans="3:10" x14ac:dyDescent="0.2">
      <c r="C109"/>
      <c r="D109"/>
      <c r="E109"/>
      <c r="F109"/>
      <c r="G109"/>
      <c r="H109"/>
      <c r="I109"/>
      <c r="J109"/>
    </row>
    <row r="110" spans="3:10" x14ac:dyDescent="0.2">
      <c r="C110"/>
      <c r="D110"/>
      <c r="E110"/>
      <c r="F110"/>
      <c r="G110"/>
      <c r="H110"/>
      <c r="I110"/>
      <c r="J110"/>
    </row>
    <row r="111" spans="3:10" x14ac:dyDescent="0.2">
      <c r="C111"/>
      <c r="D111"/>
      <c r="E111"/>
      <c r="F111"/>
      <c r="G111"/>
      <c r="H111"/>
      <c r="I111"/>
      <c r="J111"/>
    </row>
    <row r="112" spans="3:10" x14ac:dyDescent="0.2">
      <c r="C112"/>
      <c r="D112"/>
      <c r="E112"/>
      <c r="F112"/>
      <c r="G112"/>
      <c r="H112"/>
      <c r="I112"/>
      <c r="J112"/>
    </row>
    <row r="113" spans="3:10" x14ac:dyDescent="0.2">
      <c r="C113"/>
      <c r="D113"/>
      <c r="E113"/>
      <c r="F113"/>
      <c r="G113"/>
      <c r="H113"/>
      <c r="I113"/>
      <c r="J113"/>
    </row>
    <row r="114" spans="3:10" x14ac:dyDescent="0.2">
      <c r="C114"/>
      <c r="D114"/>
      <c r="E114"/>
      <c r="F114"/>
      <c r="G114"/>
      <c r="H114"/>
      <c r="I114"/>
      <c r="J114"/>
    </row>
    <row r="115" spans="3:10" x14ac:dyDescent="0.2">
      <c r="C115"/>
      <c r="D115"/>
      <c r="E115"/>
      <c r="F115"/>
      <c r="G115"/>
      <c r="H115"/>
      <c r="I115"/>
      <c r="J115"/>
    </row>
    <row r="116" spans="3:10" x14ac:dyDescent="0.2">
      <c r="C116"/>
      <c r="D116"/>
      <c r="E116"/>
      <c r="F116"/>
      <c r="G116"/>
      <c r="H116"/>
      <c r="I116"/>
      <c r="J116"/>
    </row>
    <row r="117" spans="3:10" x14ac:dyDescent="0.2">
      <c r="C117"/>
      <c r="D117"/>
      <c r="E117"/>
      <c r="F117"/>
      <c r="G117"/>
      <c r="H117"/>
      <c r="I117"/>
      <c r="J117"/>
    </row>
    <row r="118" spans="3:10" x14ac:dyDescent="0.2">
      <c r="C118"/>
      <c r="D118"/>
      <c r="E118"/>
      <c r="F118"/>
      <c r="G118"/>
      <c r="H118"/>
      <c r="I118"/>
      <c r="J118"/>
    </row>
    <row r="119" spans="3:10" x14ac:dyDescent="0.2">
      <c r="C119"/>
      <c r="D119"/>
      <c r="E119"/>
      <c r="F119"/>
      <c r="G119"/>
      <c r="H119"/>
      <c r="I119"/>
      <c r="J119"/>
    </row>
    <row r="120" spans="3:10" x14ac:dyDescent="0.2">
      <c r="C120"/>
      <c r="D120"/>
      <c r="E120"/>
      <c r="F120"/>
      <c r="G120"/>
      <c r="H120"/>
      <c r="I120"/>
      <c r="J120"/>
    </row>
    <row r="121" spans="3:10" x14ac:dyDescent="0.2">
      <c r="C121"/>
      <c r="D121"/>
      <c r="E121"/>
      <c r="F121"/>
      <c r="G121"/>
      <c r="H121"/>
      <c r="I121"/>
      <c r="J121"/>
    </row>
    <row r="122" spans="3:10" x14ac:dyDescent="0.2">
      <c r="C122"/>
      <c r="D122"/>
      <c r="E122"/>
      <c r="F122"/>
      <c r="G122"/>
      <c r="H122"/>
      <c r="I122"/>
      <c r="J122"/>
    </row>
    <row r="123" spans="3:10" x14ac:dyDescent="0.2">
      <c r="C123"/>
      <c r="D123"/>
      <c r="E123"/>
      <c r="F123"/>
      <c r="G123"/>
      <c r="H123"/>
      <c r="I123"/>
      <c r="J123"/>
    </row>
    <row r="124" spans="3:10" x14ac:dyDescent="0.2">
      <c r="C124"/>
      <c r="D124"/>
      <c r="E124"/>
      <c r="F124"/>
      <c r="G124"/>
      <c r="H124"/>
      <c r="I124"/>
      <c r="J124"/>
    </row>
    <row r="125" spans="3:10" x14ac:dyDescent="0.2">
      <c r="C125"/>
      <c r="D125"/>
      <c r="E125"/>
      <c r="F125"/>
      <c r="G125"/>
      <c r="H125"/>
      <c r="I125"/>
      <c r="J125"/>
    </row>
    <row r="126" spans="3:10" x14ac:dyDescent="0.2">
      <c r="C126"/>
      <c r="D126"/>
      <c r="E126"/>
      <c r="F126"/>
      <c r="G126"/>
      <c r="H126"/>
      <c r="I126"/>
      <c r="J126"/>
    </row>
    <row r="127" spans="3:10" x14ac:dyDescent="0.2">
      <c r="C127"/>
      <c r="D127"/>
      <c r="E127"/>
      <c r="F127"/>
      <c r="G127"/>
      <c r="H127"/>
      <c r="I127"/>
      <c r="J127"/>
    </row>
    <row r="128" spans="3:10" x14ac:dyDescent="0.2">
      <c r="C128"/>
      <c r="D128"/>
      <c r="E128"/>
      <c r="F128"/>
      <c r="G128"/>
      <c r="H128"/>
      <c r="I128"/>
      <c r="J128"/>
    </row>
    <row r="129" spans="3:10" x14ac:dyDescent="0.2">
      <c r="C129"/>
      <c r="D129"/>
      <c r="E129"/>
      <c r="F129"/>
      <c r="G129"/>
      <c r="H129"/>
      <c r="I129"/>
      <c r="J129"/>
    </row>
    <row r="130" spans="3:10" x14ac:dyDescent="0.2">
      <c r="C130"/>
      <c r="D130"/>
      <c r="E130"/>
      <c r="F130"/>
      <c r="G130"/>
      <c r="H130"/>
      <c r="I130"/>
      <c r="J130"/>
    </row>
    <row r="131" spans="3:10" x14ac:dyDescent="0.2">
      <c r="C131"/>
      <c r="D131"/>
      <c r="E131"/>
      <c r="F131"/>
      <c r="G131"/>
      <c r="H131"/>
      <c r="I131"/>
      <c r="J131"/>
    </row>
    <row r="132" spans="3:10" x14ac:dyDescent="0.2">
      <c r="C132"/>
      <c r="D132"/>
      <c r="E132"/>
      <c r="F132"/>
      <c r="G132"/>
      <c r="H132"/>
      <c r="I132"/>
      <c r="J132"/>
    </row>
    <row r="133" spans="3:10" x14ac:dyDescent="0.2">
      <c r="C133"/>
      <c r="D133"/>
      <c r="E133"/>
      <c r="F133"/>
      <c r="G133"/>
      <c r="H133"/>
      <c r="I133"/>
      <c r="J133"/>
    </row>
    <row r="134" spans="3:10" x14ac:dyDescent="0.2">
      <c r="C134"/>
      <c r="D134"/>
      <c r="E134"/>
      <c r="F134"/>
      <c r="G134"/>
      <c r="H134"/>
      <c r="I134"/>
      <c r="J134"/>
    </row>
    <row r="135" spans="3:10" x14ac:dyDescent="0.2">
      <c r="C135"/>
      <c r="D135"/>
      <c r="E135"/>
      <c r="F135"/>
      <c r="G135"/>
      <c r="H135"/>
      <c r="I135"/>
      <c r="J135"/>
    </row>
    <row r="136" spans="3:10" x14ac:dyDescent="0.2">
      <c r="C136"/>
      <c r="D136"/>
      <c r="E136"/>
      <c r="F136"/>
      <c r="G136"/>
      <c r="H136"/>
      <c r="I136"/>
      <c r="J136"/>
    </row>
    <row r="137" spans="3:10" x14ac:dyDescent="0.2">
      <c r="C137"/>
      <c r="D137"/>
      <c r="E137"/>
      <c r="F137"/>
      <c r="G137"/>
      <c r="H137"/>
      <c r="I137"/>
      <c r="J137"/>
    </row>
    <row r="138" spans="3:10" x14ac:dyDescent="0.2">
      <c r="C138"/>
      <c r="D138"/>
      <c r="E138"/>
      <c r="F138"/>
      <c r="G138"/>
      <c r="H138"/>
      <c r="I138"/>
      <c r="J138"/>
    </row>
    <row r="139" spans="3:10" x14ac:dyDescent="0.2">
      <c r="C139"/>
      <c r="D139"/>
      <c r="E139"/>
      <c r="F139"/>
      <c r="G139"/>
      <c r="H139"/>
      <c r="I139"/>
      <c r="J139"/>
    </row>
    <row r="140" spans="3:10" x14ac:dyDescent="0.2">
      <c r="C140"/>
      <c r="D140"/>
      <c r="E140"/>
      <c r="F140"/>
      <c r="G140"/>
      <c r="H140"/>
      <c r="I140"/>
      <c r="J140"/>
    </row>
    <row r="141" spans="3:10" x14ac:dyDescent="0.2">
      <c r="C141"/>
      <c r="D141"/>
      <c r="E141"/>
      <c r="F141"/>
      <c r="G141"/>
      <c r="H141"/>
      <c r="I141"/>
      <c r="J141"/>
    </row>
    <row r="142" spans="3:10" x14ac:dyDescent="0.2">
      <c r="C142"/>
      <c r="D142"/>
      <c r="E142"/>
      <c r="F142"/>
      <c r="G142"/>
      <c r="H142"/>
      <c r="I142"/>
      <c r="J142"/>
    </row>
    <row r="143" spans="3:10" x14ac:dyDescent="0.2">
      <c r="C143"/>
      <c r="D143"/>
      <c r="E143"/>
      <c r="F143"/>
      <c r="G143"/>
      <c r="H143"/>
      <c r="I143"/>
      <c r="J143"/>
    </row>
    <row r="144" spans="3:10" x14ac:dyDescent="0.2">
      <c r="C144"/>
      <c r="D144"/>
      <c r="E144"/>
      <c r="F144"/>
      <c r="G144"/>
      <c r="H144"/>
      <c r="I144"/>
      <c r="J144"/>
    </row>
    <row r="145" spans="3:10" x14ac:dyDescent="0.2">
      <c r="C145"/>
      <c r="D145"/>
      <c r="E145"/>
      <c r="F145"/>
      <c r="G145"/>
      <c r="H145"/>
      <c r="I145"/>
      <c r="J145"/>
    </row>
    <row r="146" spans="3:10" x14ac:dyDescent="0.2">
      <c r="C146"/>
      <c r="D146"/>
      <c r="E146"/>
      <c r="F146"/>
      <c r="G146"/>
      <c r="H146"/>
      <c r="I146"/>
      <c r="J146"/>
    </row>
    <row r="147" spans="3:10" x14ac:dyDescent="0.2">
      <c r="C147"/>
      <c r="D147"/>
      <c r="E147"/>
      <c r="F147"/>
      <c r="G147"/>
      <c r="H147"/>
      <c r="I147"/>
      <c r="J147"/>
    </row>
    <row r="148" spans="3:10" x14ac:dyDescent="0.2">
      <c r="C148"/>
      <c r="D148"/>
      <c r="E148"/>
      <c r="F148"/>
      <c r="G148"/>
      <c r="H148"/>
      <c r="I148"/>
      <c r="J148"/>
    </row>
    <row r="149" spans="3:10" x14ac:dyDescent="0.2">
      <c r="C149"/>
      <c r="D149"/>
      <c r="E149"/>
      <c r="F149"/>
      <c r="G149"/>
      <c r="H149"/>
      <c r="I149"/>
      <c r="J149"/>
    </row>
    <row r="150" spans="3:10" x14ac:dyDescent="0.2">
      <c r="C150"/>
      <c r="D150"/>
      <c r="E150"/>
      <c r="F150"/>
      <c r="G150"/>
      <c r="H150"/>
      <c r="I150"/>
      <c r="J150"/>
    </row>
    <row r="151" spans="3:10" x14ac:dyDescent="0.2">
      <c r="C151"/>
      <c r="D151"/>
      <c r="E151"/>
      <c r="F151"/>
      <c r="G151"/>
      <c r="H151"/>
      <c r="I151"/>
      <c r="J151"/>
    </row>
    <row r="152" spans="3:10" ht="13.5" thickBot="1" x14ac:dyDescent="0.25">
      <c r="C152"/>
      <c r="D152"/>
      <c r="E152"/>
      <c r="F152"/>
      <c r="G152"/>
      <c r="H152"/>
      <c r="I152"/>
      <c r="J152"/>
    </row>
    <row r="153" spans="3:10" x14ac:dyDescent="0.2">
      <c r="C153"/>
      <c r="D153" s="155" t="e">
        <f>#REF!</f>
        <v>#REF!</v>
      </c>
      <c r="E153" s="157" t="e">
        <f>#REF!</f>
        <v>#REF!</v>
      </c>
      <c r="F153"/>
      <c r="G153"/>
      <c r="H153"/>
      <c r="I153"/>
      <c r="J153"/>
    </row>
    <row r="154" spans="3:10" x14ac:dyDescent="0.2">
      <c r="C154"/>
      <c r="D154"/>
      <c r="E154"/>
      <c r="F154"/>
      <c r="G154"/>
      <c r="H154"/>
      <c r="I154"/>
      <c r="J154"/>
    </row>
    <row r="155" spans="3:10" x14ac:dyDescent="0.2">
      <c r="C155"/>
      <c r="D155"/>
      <c r="E155"/>
      <c r="F155"/>
      <c r="G155"/>
      <c r="H155"/>
      <c r="I155"/>
      <c r="J155"/>
    </row>
    <row r="156" spans="3:10" x14ac:dyDescent="0.2">
      <c r="C156"/>
      <c r="D156"/>
      <c r="E156"/>
      <c r="F156"/>
      <c r="G156"/>
      <c r="H156"/>
      <c r="I156"/>
      <c r="J156"/>
    </row>
    <row r="157" spans="3:10" x14ac:dyDescent="0.2">
      <c r="C157"/>
      <c r="D157"/>
      <c r="E157"/>
      <c r="F157"/>
      <c r="G157"/>
      <c r="H157"/>
      <c r="I157"/>
      <c r="J157"/>
    </row>
    <row r="158" spans="3:10" x14ac:dyDescent="0.2">
      <c r="C158"/>
      <c r="D158"/>
      <c r="E158"/>
      <c r="F158"/>
      <c r="G158"/>
      <c r="H158"/>
      <c r="I158"/>
      <c r="J158"/>
    </row>
    <row r="159" spans="3:10" x14ac:dyDescent="0.2">
      <c r="C159"/>
      <c r="D159"/>
      <c r="E159"/>
      <c r="F159"/>
      <c r="G159"/>
      <c r="H159"/>
      <c r="I159"/>
      <c r="J159"/>
    </row>
    <row r="160" spans="3:10" x14ac:dyDescent="0.2">
      <c r="C160"/>
      <c r="D160"/>
      <c r="E160"/>
      <c r="F160"/>
      <c r="G160"/>
      <c r="H160"/>
      <c r="I160"/>
      <c r="J160"/>
    </row>
    <row r="161" spans="3:10" x14ac:dyDescent="0.2">
      <c r="C161"/>
      <c r="D161"/>
      <c r="E161"/>
      <c r="F161"/>
      <c r="G161"/>
      <c r="H161"/>
      <c r="I161"/>
      <c r="J161"/>
    </row>
    <row r="162" spans="3:10" x14ac:dyDescent="0.2">
      <c r="C162"/>
      <c r="D162"/>
      <c r="E162"/>
      <c r="F162"/>
      <c r="G162"/>
      <c r="H162"/>
      <c r="I162"/>
      <c r="J162"/>
    </row>
    <row r="163" spans="3:10" x14ac:dyDescent="0.2">
      <c r="C163"/>
      <c r="D163"/>
      <c r="E163"/>
      <c r="F163"/>
      <c r="G163"/>
      <c r="H163"/>
      <c r="I163"/>
      <c r="J163"/>
    </row>
    <row r="164" spans="3:10" x14ac:dyDescent="0.2">
      <c r="C164"/>
      <c r="D164"/>
      <c r="E164"/>
      <c r="F164"/>
      <c r="G164"/>
      <c r="H164"/>
      <c r="I164"/>
      <c r="J164"/>
    </row>
    <row r="165" spans="3:10" x14ac:dyDescent="0.2">
      <c r="C165"/>
      <c r="D165"/>
      <c r="E165"/>
      <c r="F165"/>
      <c r="G165"/>
      <c r="H165"/>
      <c r="I165"/>
      <c r="J165"/>
    </row>
    <row r="166" spans="3:10" x14ac:dyDescent="0.2">
      <c r="C166"/>
      <c r="D166"/>
      <c r="E166"/>
      <c r="F166"/>
      <c r="G166"/>
      <c r="H166"/>
      <c r="I166"/>
      <c r="J166"/>
    </row>
    <row r="167" spans="3:10" x14ac:dyDescent="0.2">
      <c r="C167"/>
      <c r="D167"/>
      <c r="E167"/>
      <c r="F167"/>
      <c r="G167"/>
      <c r="H167"/>
      <c r="I167"/>
      <c r="J167"/>
    </row>
    <row r="168" spans="3:10" x14ac:dyDescent="0.2">
      <c r="C168"/>
      <c r="D168"/>
      <c r="E168"/>
      <c r="F168"/>
      <c r="G168"/>
      <c r="H168"/>
      <c r="I168"/>
      <c r="J168"/>
    </row>
    <row r="169" spans="3:10" x14ac:dyDescent="0.2">
      <c r="C169"/>
      <c r="D169"/>
      <c r="E169"/>
      <c r="F169"/>
      <c r="G169"/>
      <c r="H169"/>
      <c r="I169"/>
      <c r="J169"/>
    </row>
    <row r="170" spans="3:10" x14ac:dyDescent="0.2">
      <c r="C170"/>
      <c r="D170"/>
      <c r="E170"/>
      <c r="F170"/>
      <c r="G170"/>
      <c r="H170"/>
      <c r="I170"/>
      <c r="J170"/>
    </row>
    <row r="171" spans="3:10" x14ac:dyDescent="0.2">
      <c r="C171"/>
      <c r="D171"/>
      <c r="E171"/>
      <c r="F171"/>
      <c r="G171"/>
      <c r="H171"/>
      <c r="I171"/>
      <c r="J171"/>
    </row>
    <row r="172" spans="3:10" x14ac:dyDescent="0.2">
      <c r="C172"/>
      <c r="D172"/>
      <c r="E172"/>
      <c r="F172"/>
      <c r="G172"/>
      <c r="H172"/>
      <c r="I172"/>
      <c r="J172"/>
    </row>
    <row r="173" spans="3:10" x14ac:dyDescent="0.2">
      <c r="C173"/>
      <c r="D173"/>
      <c r="E173"/>
      <c r="F173"/>
      <c r="G173"/>
      <c r="H173"/>
      <c r="I173"/>
      <c r="J173"/>
    </row>
    <row r="174" spans="3:10" x14ac:dyDescent="0.2">
      <c r="C174"/>
      <c r="D174"/>
      <c r="E174"/>
      <c r="F174"/>
      <c r="G174"/>
      <c r="H174"/>
      <c r="I174"/>
      <c r="J174"/>
    </row>
    <row r="175" spans="3:10" x14ac:dyDescent="0.2">
      <c r="C175"/>
      <c r="D175"/>
      <c r="E175"/>
      <c r="F175"/>
      <c r="G175"/>
      <c r="H175"/>
      <c r="I175"/>
      <c r="J175"/>
    </row>
    <row r="176" spans="3:10" x14ac:dyDescent="0.2">
      <c r="C176"/>
      <c r="D176"/>
      <c r="E176"/>
      <c r="F176"/>
      <c r="G176"/>
      <c r="H176"/>
      <c r="I176"/>
      <c r="J176"/>
    </row>
    <row r="177" spans="3:10" x14ac:dyDescent="0.2">
      <c r="C177"/>
      <c r="D177"/>
      <c r="E177"/>
      <c r="F177"/>
      <c r="G177"/>
      <c r="H177"/>
      <c r="I177"/>
      <c r="J177"/>
    </row>
    <row r="178" spans="3:10" x14ac:dyDescent="0.2">
      <c r="C178"/>
      <c r="D178"/>
      <c r="E178"/>
      <c r="F178"/>
      <c r="G178"/>
      <c r="H178"/>
      <c r="I178"/>
      <c r="J178"/>
    </row>
    <row r="179" spans="3:10" x14ac:dyDescent="0.2">
      <c r="C179"/>
      <c r="D179"/>
      <c r="E179"/>
      <c r="F179"/>
      <c r="G179"/>
      <c r="H179"/>
      <c r="I179"/>
      <c r="J179"/>
    </row>
    <row r="180" spans="3:10" x14ac:dyDescent="0.2">
      <c r="C180"/>
      <c r="D180"/>
      <c r="E180"/>
      <c r="F180"/>
      <c r="G180"/>
      <c r="H180"/>
      <c r="I180"/>
      <c r="J180"/>
    </row>
    <row r="181" spans="3:10" x14ac:dyDescent="0.2">
      <c r="C181"/>
      <c r="D181"/>
      <c r="E181"/>
      <c r="F181"/>
      <c r="G181"/>
      <c r="H181"/>
      <c r="I181"/>
      <c r="J181"/>
    </row>
    <row r="182" spans="3:10" x14ac:dyDescent="0.2">
      <c r="C182"/>
      <c r="D182"/>
      <c r="E182"/>
      <c r="F182"/>
      <c r="G182"/>
      <c r="H182"/>
      <c r="I182"/>
      <c r="J182"/>
    </row>
    <row r="183" spans="3:10" x14ac:dyDescent="0.2">
      <c r="C183"/>
      <c r="D183"/>
      <c r="E183"/>
      <c r="F183"/>
      <c r="G183"/>
      <c r="H183"/>
      <c r="I183"/>
      <c r="J183"/>
    </row>
    <row r="184" spans="3:10" x14ac:dyDescent="0.2">
      <c r="C184"/>
      <c r="D184"/>
      <c r="E184"/>
      <c r="F184"/>
      <c r="G184"/>
      <c r="H184"/>
      <c r="I184"/>
      <c r="J184"/>
    </row>
    <row r="185" spans="3:10" x14ac:dyDescent="0.2">
      <c r="C185"/>
      <c r="D185"/>
      <c r="E185"/>
      <c r="F185"/>
      <c r="G185"/>
      <c r="H185"/>
      <c r="I185"/>
      <c r="J185"/>
    </row>
    <row r="186" spans="3:10" x14ac:dyDescent="0.2">
      <c r="C186"/>
      <c r="D186"/>
      <c r="E186"/>
      <c r="F186"/>
      <c r="G186"/>
      <c r="H186"/>
      <c r="I186"/>
      <c r="J186"/>
    </row>
    <row r="187" spans="3:10" x14ac:dyDescent="0.2">
      <c r="C187"/>
      <c r="D187"/>
      <c r="E187"/>
      <c r="F187"/>
      <c r="G187"/>
      <c r="H187"/>
      <c r="I187"/>
      <c r="J187"/>
    </row>
    <row r="188" spans="3:10" x14ac:dyDescent="0.2">
      <c r="C188"/>
      <c r="D188"/>
      <c r="E188"/>
      <c r="F188"/>
      <c r="G188"/>
      <c r="H188"/>
      <c r="I188"/>
      <c r="J188"/>
    </row>
    <row r="189" spans="3:10" x14ac:dyDescent="0.2">
      <c r="C189"/>
      <c r="D189"/>
      <c r="E189"/>
      <c r="F189"/>
      <c r="G189"/>
      <c r="H189"/>
      <c r="I189"/>
      <c r="J189"/>
    </row>
    <row r="190" spans="3:10" x14ac:dyDescent="0.2">
      <c r="C190"/>
      <c r="D190"/>
      <c r="E190"/>
      <c r="F190"/>
      <c r="G190"/>
      <c r="H190"/>
      <c r="I190"/>
      <c r="J190"/>
    </row>
    <row r="191" spans="3:10" x14ac:dyDescent="0.2">
      <c r="C191"/>
      <c r="D191"/>
      <c r="E191"/>
      <c r="F191"/>
      <c r="G191"/>
      <c r="H191"/>
      <c r="I191"/>
      <c r="J191"/>
    </row>
    <row r="192" spans="3:10" x14ac:dyDescent="0.2">
      <c r="C192"/>
      <c r="D192"/>
      <c r="E192"/>
      <c r="F192"/>
      <c r="G192"/>
      <c r="H192"/>
      <c r="I192"/>
      <c r="J192"/>
    </row>
    <row r="193" spans="3:10" x14ac:dyDescent="0.2">
      <c r="C193"/>
      <c r="D193"/>
      <c r="E193"/>
      <c r="F193"/>
      <c r="G193"/>
      <c r="H193"/>
      <c r="I193"/>
      <c r="J193"/>
    </row>
    <row r="194" spans="3:10" x14ac:dyDescent="0.2">
      <c r="C194"/>
      <c r="D194"/>
      <c r="E194"/>
      <c r="F194"/>
      <c r="G194"/>
      <c r="H194"/>
      <c r="I194"/>
      <c r="J194"/>
    </row>
    <row r="195" spans="3:10" x14ac:dyDescent="0.2">
      <c r="C195"/>
      <c r="D195"/>
      <c r="E195"/>
      <c r="F195"/>
      <c r="G195"/>
      <c r="H195"/>
      <c r="I195"/>
      <c r="J195"/>
    </row>
    <row r="196" spans="3:10" x14ac:dyDescent="0.2">
      <c r="C196"/>
      <c r="D196"/>
      <c r="E196"/>
      <c r="F196"/>
      <c r="G196"/>
      <c r="H196"/>
      <c r="I196"/>
      <c r="J196"/>
    </row>
    <row r="197" spans="3:10" x14ac:dyDescent="0.2">
      <c r="C197"/>
      <c r="D197"/>
      <c r="E197"/>
      <c r="F197"/>
      <c r="G197"/>
      <c r="H197"/>
      <c r="I197"/>
      <c r="J197"/>
    </row>
    <row r="198" spans="3:10" x14ac:dyDescent="0.2">
      <c r="C198"/>
      <c r="D198"/>
      <c r="E198"/>
      <c r="F198"/>
      <c r="G198"/>
      <c r="H198"/>
      <c r="I198"/>
      <c r="J198"/>
    </row>
    <row r="199" spans="3:10" x14ac:dyDescent="0.2">
      <c r="C199"/>
      <c r="D199"/>
      <c r="E199"/>
      <c r="F199"/>
      <c r="G199"/>
      <c r="H199"/>
      <c r="I199"/>
      <c r="J199"/>
    </row>
    <row r="200" spans="3:10" x14ac:dyDescent="0.2">
      <c r="C200"/>
      <c r="D200"/>
      <c r="E200"/>
      <c r="F200"/>
      <c r="G200"/>
      <c r="H200"/>
      <c r="I200"/>
      <c r="J200"/>
    </row>
    <row r="201" spans="3:10" x14ac:dyDescent="0.2">
      <c r="C201"/>
      <c r="D201"/>
      <c r="E201"/>
      <c r="F201"/>
      <c r="G201"/>
      <c r="H201"/>
      <c r="I201"/>
      <c r="J201"/>
    </row>
    <row r="202" spans="3:10" x14ac:dyDescent="0.2">
      <c r="C202"/>
      <c r="D202"/>
      <c r="E202"/>
      <c r="F202"/>
      <c r="G202"/>
      <c r="H202"/>
      <c r="I202"/>
      <c r="J202"/>
    </row>
    <row r="203" spans="3:10" x14ac:dyDescent="0.2">
      <c r="C203"/>
      <c r="D203"/>
      <c r="E203"/>
      <c r="F203"/>
      <c r="G203"/>
      <c r="H203"/>
      <c r="I203"/>
      <c r="J203"/>
    </row>
    <row r="204" spans="3:10" x14ac:dyDescent="0.2">
      <c r="C204"/>
      <c r="D204"/>
      <c r="E204"/>
      <c r="F204"/>
      <c r="G204"/>
      <c r="H204"/>
      <c r="I204"/>
      <c r="J204"/>
    </row>
    <row r="205" spans="3:10" x14ac:dyDescent="0.2">
      <c r="C205"/>
      <c r="D205"/>
      <c r="E205"/>
      <c r="F205"/>
      <c r="G205"/>
      <c r="H205"/>
      <c r="I205"/>
      <c r="J205"/>
    </row>
    <row r="206" spans="3:10" x14ac:dyDescent="0.2">
      <c r="C206"/>
      <c r="D206"/>
      <c r="E206"/>
      <c r="F206"/>
      <c r="G206"/>
      <c r="H206"/>
      <c r="I206"/>
      <c r="J206"/>
    </row>
    <row r="207" spans="3:10" x14ac:dyDescent="0.2">
      <c r="C207"/>
      <c r="D207"/>
      <c r="E207"/>
      <c r="F207"/>
      <c r="G207"/>
      <c r="H207"/>
      <c r="I207"/>
      <c r="J207"/>
    </row>
    <row r="208" spans="3:10" x14ac:dyDescent="0.2">
      <c r="C208"/>
      <c r="D208"/>
      <c r="E208"/>
      <c r="F208"/>
      <c r="G208"/>
      <c r="H208"/>
      <c r="I208"/>
      <c r="J208"/>
    </row>
    <row r="209" spans="3:10" x14ac:dyDescent="0.2">
      <c r="C209"/>
      <c r="D209"/>
      <c r="E209"/>
      <c r="F209"/>
      <c r="G209"/>
      <c r="H209"/>
      <c r="I209"/>
      <c r="J209"/>
    </row>
    <row r="210" spans="3:10" x14ac:dyDescent="0.2">
      <c r="C210"/>
      <c r="D210"/>
      <c r="E210"/>
      <c r="F210"/>
      <c r="G210"/>
      <c r="H210"/>
      <c r="I210"/>
      <c r="J210"/>
    </row>
    <row r="211" spans="3:10" x14ac:dyDescent="0.2">
      <c r="C211"/>
      <c r="D211"/>
      <c r="E211"/>
      <c r="F211"/>
      <c r="G211"/>
      <c r="H211"/>
      <c r="I211"/>
      <c r="J211"/>
    </row>
    <row r="212" spans="3:10" x14ac:dyDescent="0.2">
      <c r="C212"/>
      <c r="D212"/>
      <c r="E212"/>
      <c r="F212"/>
      <c r="G212"/>
      <c r="H212"/>
      <c r="I212"/>
      <c r="J212"/>
    </row>
    <row r="213" spans="3:10" x14ac:dyDescent="0.2">
      <c r="C213"/>
      <c r="D213"/>
      <c r="E213"/>
      <c r="F213"/>
      <c r="G213"/>
      <c r="H213"/>
      <c r="I213"/>
      <c r="J213"/>
    </row>
    <row r="214" spans="3:10" x14ac:dyDescent="0.2">
      <c r="C214"/>
      <c r="D214"/>
      <c r="E214"/>
      <c r="F214"/>
      <c r="G214"/>
      <c r="H214"/>
      <c r="I214"/>
      <c r="J214"/>
    </row>
    <row r="215" spans="3:10" x14ac:dyDescent="0.2">
      <c r="C215"/>
      <c r="D215"/>
      <c r="E215"/>
      <c r="F215"/>
      <c r="G215"/>
      <c r="H215"/>
      <c r="I215"/>
      <c r="J215"/>
    </row>
    <row r="216" spans="3:10" x14ac:dyDescent="0.2">
      <c r="C216"/>
      <c r="D216"/>
      <c r="E216"/>
      <c r="F216"/>
      <c r="G216"/>
      <c r="H216"/>
      <c r="I216"/>
      <c r="J216"/>
    </row>
    <row r="217" spans="3:10" x14ac:dyDescent="0.2">
      <c r="C217"/>
      <c r="D217"/>
      <c r="E217"/>
      <c r="F217"/>
      <c r="G217"/>
      <c r="H217"/>
      <c r="I217"/>
      <c r="J217"/>
    </row>
    <row r="218" spans="3:10" x14ac:dyDescent="0.2">
      <c r="C218"/>
      <c r="D218"/>
      <c r="E218"/>
      <c r="F218"/>
      <c r="G218"/>
      <c r="H218"/>
      <c r="I218"/>
      <c r="J218"/>
    </row>
    <row r="219" spans="3:10" x14ac:dyDescent="0.2">
      <c r="C219"/>
      <c r="D219"/>
      <c r="E219"/>
      <c r="F219"/>
      <c r="G219"/>
      <c r="H219"/>
      <c r="I219"/>
      <c r="J219"/>
    </row>
    <row r="220" spans="3:10" x14ac:dyDescent="0.2">
      <c r="C220"/>
      <c r="D220"/>
      <c r="E220"/>
      <c r="F220"/>
      <c r="G220"/>
      <c r="H220"/>
      <c r="I220"/>
      <c r="J220"/>
    </row>
    <row r="221" spans="3:10" x14ac:dyDescent="0.2">
      <c r="C221"/>
      <c r="D221"/>
      <c r="E221"/>
      <c r="F221"/>
      <c r="G221"/>
      <c r="H221"/>
      <c r="I221"/>
      <c r="J221"/>
    </row>
    <row r="222" spans="3:10" x14ac:dyDescent="0.2">
      <c r="C222"/>
      <c r="D222"/>
      <c r="E222"/>
      <c r="F222"/>
      <c r="G222"/>
      <c r="H222"/>
      <c r="I222"/>
      <c r="J222"/>
    </row>
    <row r="223" spans="3:10" x14ac:dyDescent="0.2">
      <c r="C223"/>
      <c r="D223"/>
      <c r="E223"/>
      <c r="F223"/>
      <c r="G223"/>
      <c r="H223"/>
      <c r="I223"/>
      <c r="J223"/>
    </row>
    <row r="224" spans="3:10" x14ac:dyDescent="0.2">
      <c r="C224"/>
      <c r="D224"/>
      <c r="E224"/>
      <c r="F224"/>
      <c r="G224"/>
      <c r="H224"/>
      <c r="I224"/>
      <c r="J224"/>
    </row>
    <row r="225" spans="3:10" x14ac:dyDescent="0.2">
      <c r="C225"/>
      <c r="D225"/>
      <c r="E225"/>
      <c r="F225"/>
      <c r="G225"/>
      <c r="H225"/>
      <c r="I225"/>
      <c r="J225"/>
    </row>
    <row r="226" spans="3:10" x14ac:dyDescent="0.2">
      <c r="C226"/>
      <c r="D226"/>
      <c r="E226"/>
      <c r="F226"/>
      <c r="G226"/>
      <c r="H226"/>
      <c r="I226"/>
      <c r="J226"/>
    </row>
    <row r="227" spans="3:10" x14ac:dyDescent="0.2">
      <c r="C227"/>
      <c r="D227"/>
      <c r="E227"/>
      <c r="F227"/>
      <c r="G227"/>
      <c r="H227"/>
      <c r="I227"/>
      <c r="J227"/>
    </row>
    <row r="228" spans="3:10" x14ac:dyDescent="0.2">
      <c r="C228"/>
      <c r="D228"/>
      <c r="E228"/>
      <c r="F228"/>
      <c r="G228"/>
      <c r="H228"/>
      <c r="I228"/>
      <c r="J228"/>
    </row>
    <row r="229" spans="3:10" x14ac:dyDescent="0.2">
      <c r="C229"/>
      <c r="D229"/>
      <c r="E229"/>
      <c r="F229"/>
      <c r="G229"/>
      <c r="H229"/>
      <c r="I229"/>
      <c r="J229"/>
    </row>
    <row r="230" spans="3:10" x14ac:dyDescent="0.2">
      <c r="C230"/>
      <c r="D230"/>
      <c r="E230"/>
      <c r="F230"/>
      <c r="G230"/>
      <c r="H230"/>
      <c r="I230"/>
      <c r="J230"/>
    </row>
    <row r="231" spans="3:10" x14ac:dyDescent="0.2">
      <c r="C231"/>
      <c r="D231"/>
      <c r="E231"/>
      <c r="F231"/>
      <c r="G231"/>
      <c r="H231"/>
      <c r="I231"/>
      <c r="J231"/>
    </row>
    <row r="232" spans="3:10" x14ac:dyDescent="0.2">
      <c r="C232"/>
      <c r="D232"/>
      <c r="E232"/>
      <c r="F232"/>
      <c r="G232"/>
      <c r="H232"/>
      <c r="I232"/>
      <c r="J232"/>
    </row>
    <row r="233" spans="3:10" x14ac:dyDescent="0.2">
      <c r="C233"/>
      <c r="D233"/>
      <c r="E233"/>
      <c r="F233"/>
      <c r="G233"/>
      <c r="H233"/>
      <c r="I233"/>
      <c r="J233"/>
    </row>
    <row r="234" spans="3:10" x14ac:dyDescent="0.2">
      <c r="C234"/>
      <c r="D234"/>
      <c r="E234"/>
      <c r="F234"/>
      <c r="G234"/>
      <c r="H234"/>
      <c r="I234"/>
      <c r="J234"/>
    </row>
    <row r="235" spans="3:10" x14ac:dyDescent="0.2">
      <c r="C235"/>
      <c r="D235"/>
      <c r="E235"/>
      <c r="F235"/>
      <c r="G235"/>
      <c r="H235"/>
      <c r="I235"/>
      <c r="J235"/>
    </row>
    <row r="236" spans="3:10" x14ac:dyDescent="0.2">
      <c r="C236"/>
      <c r="D236"/>
      <c r="E236"/>
      <c r="F236"/>
      <c r="G236"/>
      <c r="H236"/>
      <c r="I236"/>
      <c r="J236"/>
    </row>
    <row r="237" spans="3:10" x14ac:dyDescent="0.2">
      <c r="C237"/>
      <c r="D237"/>
      <c r="E237"/>
      <c r="F237"/>
      <c r="G237"/>
      <c r="H237"/>
      <c r="I237"/>
      <c r="J237"/>
    </row>
    <row r="238" spans="3:10" x14ac:dyDescent="0.2">
      <c r="C238"/>
      <c r="D238"/>
      <c r="E238"/>
      <c r="F238"/>
      <c r="G238"/>
      <c r="H238"/>
      <c r="I238"/>
      <c r="J238"/>
    </row>
    <row r="239" spans="3:10" x14ac:dyDescent="0.2">
      <c r="C239"/>
      <c r="D239"/>
      <c r="E239"/>
      <c r="F239"/>
      <c r="G239"/>
      <c r="H239"/>
      <c r="I239"/>
      <c r="J239"/>
    </row>
    <row r="240" spans="3:10" x14ac:dyDescent="0.2">
      <c r="C240"/>
      <c r="D240"/>
      <c r="E240"/>
      <c r="F240"/>
      <c r="G240"/>
      <c r="H240"/>
      <c r="I240"/>
      <c r="J240"/>
    </row>
    <row r="241" spans="3:10" x14ac:dyDescent="0.2">
      <c r="C241"/>
      <c r="D241"/>
      <c r="E241"/>
      <c r="F241"/>
      <c r="G241"/>
      <c r="H241"/>
      <c r="I241"/>
      <c r="J241"/>
    </row>
    <row r="242" spans="3:10" x14ac:dyDescent="0.2">
      <c r="C242"/>
      <c r="D242"/>
      <c r="E242"/>
      <c r="F242"/>
      <c r="G242"/>
      <c r="H242"/>
      <c r="I242"/>
      <c r="J242"/>
    </row>
    <row r="243" spans="3:10" x14ac:dyDescent="0.2">
      <c r="C243"/>
      <c r="D243"/>
      <c r="E243"/>
      <c r="F243"/>
      <c r="G243"/>
      <c r="H243"/>
      <c r="I243"/>
      <c r="J243"/>
    </row>
    <row r="244" spans="3:10" x14ac:dyDescent="0.2">
      <c r="C244"/>
      <c r="D244"/>
      <c r="E244"/>
      <c r="F244"/>
      <c r="G244"/>
      <c r="H244"/>
      <c r="I244"/>
      <c r="J244"/>
    </row>
    <row r="245" spans="3:10" x14ac:dyDescent="0.2">
      <c r="C245"/>
      <c r="D245"/>
      <c r="E245"/>
      <c r="F245"/>
      <c r="G245"/>
      <c r="H245"/>
      <c r="I245"/>
      <c r="J245"/>
    </row>
    <row r="246" spans="3:10" x14ac:dyDescent="0.2">
      <c r="C246"/>
      <c r="D246"/>
      <c r="E246"/>
      <c r="F246"/>
      <c r="G246"/>
      <c r="H246"/>
      <c r="I246"/>
      <c r="J246"/>
    </row>
    <row r="247" spans="3:10" x14ac:dyDescent="0.2">
      <c r="C247"/>
      <c r="D247"/>
      <c r="E247"/>
      <c r="F247"/>
      <c r="G247"/>
      <c r="H247"/>
      <c r="I247"/>
      <c r="J247"/>
    </row>
    <row r="248" spans="3:10" x14ac:dyDescent="0.2">
      <c r="C248"/>
      <c r="D248"/>
      <c r="E248"/>
      <c r="F248"/>
      <c r="G248"/>
      <c r="H248"/>
      <c r="I248"/>
      <c r="J248"/>
    </row>
    <row r="249" spans="3:10" x14ac:dyDescent="0.2">
      <c r="C249"/>
      <c r="D249"/>
      <c r="E249"/>
      <c r="F249"/>
      <c r="G249"/>
      <c r="H249"/>
      <c r="I249"/>
      <c r="J249"/>
    </row>
    <row r="250" spans="3:10" x14ac:dyDescent="0.2">
      <c r="C250"/>
      <c r="D250"/>
      <c r="E250"/>
      <c r="F250"/>
      <c r="G250"/>
      <c r="H250"/>
      <c r="I250"/>
      <c r="J250"/>
    </row>
    <row r="251" spans="3:10" x14ac:dyDescent="0.2">
      <c r="C251"/>
      <c r="D251"/>
      <c r="E251"/>
      <c r="F251"/>
      <c r="G251"/>
      <c r="H251"/>
      <c r="I251"/>
      <c r="J251"/>
    </row>
    <row r="252" spans="3:10" x14ac:dyDescent="0.2">
      <c r="C252"/>
      <c r="D252"/>
      <c r="E252"/>
      <c r="F252"/>
      <c r="G252"/>
      <c r="H252"/>
      <c r="I252"/>
      <c r="J252"/>
    </row>
    <row r="253" spans="3:10" x14ac:dyDescent="0.2">
      <c r="C253"/>
      <c r="D253"/>
      <c r="E253"/>
      <c r="F253"/>
      <c r="G253"/>
      <c r="H253"/>
      <c r="I253"/>
      <c r="J253"/>
    </row>
    <row r="254" spans="3:10" x14ac:dyDescent="0.2">
      <c r="C254"/>
      <c r="D254"/>
      <c r="E254"/>
      <c r="F254"/>
      <c r="G254"/>
      <c r="H254"/>
      <c r="I254"/>
      <c r="J254"/>
    </row>
    <row r="255" spans="3:10" x14ac:dyDescent="0.2">
      <c r="C255"/>
      <c r="D255"/>
      <c r="E255"/>
      <c r="F255"/>
      <c r="G255"/>
      <c r="H255"/>
      <c r="I255"/>
      <c r="J255"/>
    </row>
    <row r="256" spans="3:10" x14ac:dyDescent="0.2">
      <c r="C256"/>
      <c r="D256"/>
      <c r="E256"/>
      <c r="F256"/>
      <c r="G256"/>
      <c r="H256"/>
      <c r="I256"/>
      <c r="J256"/>
    </row>
    <row r="257" spans="3:10" x14ac:dyDescent="0.2">
      <c r="C257"/>
      <c r="D257"/>
      <c r="E257"/>
      <c r="F257"/>
      <c r="G257"/>
      <c r="H257"/>
      <c r="I257"/>
      <c r="J257"/>
    </row>
    <row r="258" spans="3:10" x14ac:dyDescent="0.2">
      <c r="C258"/>
      <c r="D258"/>
      <c r="E258"/>
      <c r="F258"/>
      <c r="G258"/>
      <c r="H258"/>
      <c r="I258"/>
      <c r="J258"/>
    </row>
    <row r="259" spans="3:10" x14ac:dyDescent="0.2">
      <c r="C259"/>
      <c r="D259"/>
      <c r="E259"/>
      <c r="F259"/>
      <c r="G259"/>
      <c r="H259"/>
      <c r="I259"/>
      <c r="J259"/>
    </row>
    <row r="260" spans="3:10" x14ac:dyDescent="0.2">
      <c r="C260"/>
      <c r="D260"/>
      <c r="E260"/>
      <c r="F260"/>
      <c r="G260"/>
      <c r="H260"/>
      <c r="I260"/>
      <c r="J260"/>
    </row>
    <row r="261" spans="3:10" x14ac:dyDescent="0.2">
      <c r="C261"/>
      <c r="D261"/>
      <c r="E261"/>
      <c r="F261"/>
      <c r="G261"/>
      <c r="H261"/>
      <c r="I261"/>
      <c r="J261"/>
    </row>
    <row r="262" spans="3:10" x14ac:dyDescent="0.2">
      <c r="C262"/>
      <c r="D262"/>
      <c r="E262"/>
      <c r="F262"/>
      <c r="G262"/>
      <c r="H262"/>
      <c r="I262"/>
      <c r="J262"/>
    </row>
    <row r="263" spans="3:10" x14ac:dyDescent="0.2">
      <c r="C263"/>
      <c r="D263"/>
      <c r="E263"/>
      <c r="F263"/>
      <c r="G263"/>
      <c r="H263"/>
      <c r="I263"/>
      <c r="J263"/>
    </row>
    <row r="264" spans="3:10" x14ac:dyDescent="0.2">
      <c r="C264"/>
      <c r="D264"/>
      <c r="E264"/>
      <c r="F264"/>
      <c r="G264"/>
      <c r="H264"/>
      <c r="I264"/>
      <c r="J264"/>
    </row>
    <row r="265" spans="3:10" x14ac:dyDescent="0.2">
      <c r="C265"/>
      <c r="D265"/>
      <c r="E265"/>
      <c r="F265"/>
      <c r="G265"/>
      <c r="H265"/>
      <c r="I265"/>
      <c r="J265"/>
    </row>
    <row r="266" spans="3:10" x14ac:dyDescent="0.2">
      <c r="C266"/>
      <c r="D266"/>
      <c r="E266"/>
      <c r="F266"/>
      <c r="G266"/>
      <c r="H266"/>
      <c r="I266"/>
      <c r="J266"/>
    </row>
    <row r="267" spans="3:10" x14ac:dyDescent="0.2">
      <c r="C267"/>
      <c r="D267"/>
      <c r="E267"/>
      <c r="F267"/>
      <c r="G267"/>
      <c r="H267"/>
      <c r="I267"/>
      <c r="J267"/>
    </row>
    <row r="268" spans="3:10" x14ac:dyDescent="0.2">
      <c r="C268"/>
      <c r="D268"/>
      <c r="E268"/>
      <c r="F268"/>
      <c r="G268"/>
      <c r="H268"/>
      <c r="I268"/>
      <c r="J268"/>
    </row>
    <row r="269" spans="3:10" x14ac:dyDescent="0.2">
      <c r="C269"/>
      <c r="D269"/>
      <c r="E269"/>
      <c r="F269"/>
      <c r="G269"/>
      <c r="H269"/>
      <c r="I269"/>
      <c r="J269"/>
    </row>
    <row r="270" spans="3:10" x14ac:dyDescent="0.2">
      <c r="C270"/>
      <c r="D270"/>
      <c r="E270"/>
      <c r="F270"/>
      <c r="G270"/>
      <c r="H270"/>
      <c r="I270"/>
      <c r="J270"/>
    </row>
    <row r="271" spans="3:10" x14ac:dyDescent="0.2">
      <c r="C271"/>
      <c r="D271"/>
      <c r="E271"/>
      <c r="F271"/>
      <c r="G271"/>
      <c r="H271"/>
      <c r="I271"/>
      <c r="J271"/>
    </row>
    <row r="272" spans="3:10" x14ac:dyDescent="0.2">
      <c r="C272"/>
      <c r="D272"/>
      <c r="E272"/>
      <c r="F272"/>
      <c r="G272"/>
      <c r="H272"/>
      <c r="I272"/>
      <c r="J272"/>
    </row>
    <row r="273" spans="3:10" x14ac:dyDescent="0.2">
      <c r="C273"/>
      <c r="D273"/>
      <c r="E273"/>
      <c r="F273"/>
      <c r="G273"/>
      <c r="H273"/>
      <c r="I273"/>
      <c r="J273"/>
    </row>
    <row r="274" spans="3:10" x14ac:dyDescent="0.2">
      <c r="C274"/>
      <c r="D274"/>
      <c r="E274"/>
      <c r="F274"/>
      <c r="G274"/>
      <c r="H274"/>
      <c r="I274"/>
      <c r="J274"/>
    </row>
    <row r="275" spans="3:10" x14ac:dyDescent="0.2">
      <c r="C275"/>
      <c r="D275"/>
      <c r="E275"/>
      <c r="F275"/>
      <c r="G275"/>
      <c r="H275"/>
      <c r="I275"/>
      <c r="J275"/>
    </row>
    <row r="276" spans="3:10" x14ac:dyDescent="0.2">
      <c r="C276"/>
      <c r="D276"/>
      <c r="E276"/>
      <c r="F276"/>
      <c r="G276"/>
      <c r="H276"/>
      <c r="I276"/>
      <c r="J276"/>
    </row>
    <row r="277" spans="3:10" x14ac:dyDescent="0.2">
      <c r="C277"/>
      <c r="D277"/>
      <c r="E277"/>
      <c r="F277"/>
      <c r="G277"/>
      <c r="H277"/>
      <c r="I277"/>
      <c r="J277"/>
    </row>
    <row r="278" spans="3:10" x14ac:dyDescent="0.2">
      <c r="C278"/>
      <c r="D278"/>
      <c r="E278"/>
      <c r="F278"/>
      <c r="G278"/>
      <c r="H278"/>
      <c r="I278"/>
      <c r="J278"/>
    </row>
    <row r="279" spans="3:10" x14ac:dyDescent="0.2">
      <c r="C279"/>
      <c r="D279"/>
      <c r="E279"/>
      <c r="F279"/>
      <c r="G279"/>
      <c r="H279"/>
      <c r="I279"/>
      <c r="J279"/>
    </row>
    <row r="280" spans="3:10" x14ac:dyDescent="0.2">
      <c r="C280"/>
      <c r="D280"/>
      <c r="E280"/>
      <c r="F280"/>
      <c r="G280"/>
      <c r="H280"/>
      <c r="I280"/>
      <c r="J280"/>
    </row>
    <row r="281" spans="3:10" x14ac:dyDescent="0.2">
      <c r="C281"/>
      <c r="D281"/>
      <c r="E281"/>
      <c r="F281"/>
      <c r="G281"/>
      <c r="H281"/>
      <c r="I281"/>
      <c r="J281"/>
    </row>
    <row r="282" spans="3:10" x14ac:dyDescent="0.2">
      <c r="C282"/>
      <c r="D282"/>
      <c r="E282"/>
      <c r="F282"/>
      <c r="G282"/>
      <c r="H282"/>
      <c r="I282"/>
      <c r="J282"/>
    </row>
    <row r="283" spans="3:10" x14ac:dyDescent="0.2">
      <c r="C283"/>
      <c r="D283"/>
      <c r="E283"/>
      <c r="F283"/>
      <c r="G283"/>
      <c r="H283"/>
      <c r="I283"/>
      <c r="J283"/>
    </row>
    <row r="284" spans="3:10" x14ac:dyDescent="0.2">
      <c r="C284"/>
      <c r="D284"/>
      <c r="E284"/>
      <c r="F284"/>
      <c r="G284"/>
      <c r="H284"/>
      <c r="I284"/>
      <c r="J284"/>
    </row>
    <row r="285" spans="3:10" x14ac:dyDescent="0.2">
      <c r="C285"/>
      <c r="D285"/>
      <c r="E285"/>
      <c r="F285"/>
      <c r="G285"/>
      <c r="H285"/>
      <c r="I285"/>
      <c r="J285"/>
    </row>
    <row r="286" spans="3:10" x14ac:dyDescent="0.2">
      <c r="C286"/>
      <c r="D286"/>
      <c r="E286"/>
      <c r="F286"/>
      <c r="G286"/>
      <c r="H286"/>
      <c r="I286"/>
      <c r="J286"/>
    </row>
    <row r="287" spans="3:10" x14ac:dyDescent="0.2">
      <c r="C287"/>
      <c r="D287"/>
      <c r="E287"/>
      <c r="F287"/>
      <c r="G287"/>
      <c r="H287"/>
      <c r="I287"/>
      <c r="J287"/>
    </row>
    <row r="288" spans="3:10" x14ac:dyDescent="0.2">
      <c r="C288"/>
      <c r="D288"/>
      <c r="E288"/>
      <c r="F288"/>
      <c r="G288"/>
      <c r="H288"/>
      <c r="I288"/>
      <c r="J288"/>
    </row>
    <row r="289" spans="3:10" x14ac:dyDescent="0.2">
      <c r="C289"/>
      <c r="D289"/>
      <c r="E289"/>
      <c r="F289"/>
      <c r="G289"/>
      <c r="H289"/>
      <c r="I289"/>
      <c r="J289"/>
    </row>
    <row r="290" spans="3:10" x14ac:dyDescent="0.2">
      <c r="C290"/>
      <c r="D290"/>
      <c r="E290"/>
      <c r="F290"/>
      <c r="G290"/>
      <c r="H290"/>
      <c r="I290"/>
      <c r="J290"/>
    </row>
    <row r="291" spans="3:10" x14ac:dyDescent="0.2">
      <c r="C291"/>
      <c r="D291"/>
      <c r="E291"/>
      <c r="F291"/>
      <c r="G291"/>
      <c r="H291"/>
      <c r="I291"/>
      <c r="J291"/>
    </row>
    <row r="292" spans="3:10" x14ac:dyDescent="0.2">
      <c r="C292"/>
      <c r="D292"/>
      <c r="E292"/>
      <c r="F292"/>
      <c r="G292"/>
      <c r="H292"/>
      <c r="I292"/>
      <c r="J292"/>
    </row>
    <row r="293" spans="3:10" x14ac:dyDescent="0.2">
      <c r="C293"/>
      <c r="D293"/>
      <c r="E293"/>
      <c r="F293"/>
      <c r="G293"/>
      <c r="H293"/>
      <c r="I293"/>
      <c r="J293"/>
    </row>
    <row r="294" spans="3:10" x14ac:dyDescent="0.2">
      <c r="C294"/>
      <c r="D294"/>
      <c r="E294"/>
      <c r="F294"/>
      <c r="G294"/>
      <c r="H294"/>
      <c r="I294"/>
      <c r="J294"/>
    </row>
    <row r="295" spans="3:10" x14ac:dyDescent="0.2">
      <c r="C295"/>
      <c r="D295"/>
      <c r="E295"/>
      <c r="F295"/>
      <c r="G295"/>
      <c r="H295"/>
      <c r="I295"/>
      <c r="J295"/>
    </row>
    <row r="296" spans="3:10" x14ac:dyDescent="0.2">
      <c r="C296"/>
      <c r="D296"/>
      <c r="E296"/>
      <c r="F296"/>
      <c r="G296"/>
      <c r="H296"/>
      <c r="I296"/>
      <c r="J296"/>
    </row>
    <row r="297" spans="3:10" x14ac:dyDescent="0.2">
      <c r="C297"/>
      <c r="D297"/>
      <c r="E297"/>
      <c r="F297"/>
      <c r="G297"/>
      <c r="H297"/>
      <c r="I297"/>
      <c r="J297"/>
    </row>
    <row r="298" spans="3:10" x14ac:dyDescent="0.2">
      <c r="C298"/>
      <c r="D298"/>
      <c r="E298"/>
      <c r="F298"/>
      <c r="G298"/>
      <c r="H298"/>
      <c r="I298"/>
      <c r="J298"/>
    </row>
    <row r="299" spans="3:10" x14ac:dyDescent="0.2">
      <c r="C299"/>
      <c r="D299"/>
      <c r="E299"/>
      <c r="F299"/>
      <c r="G299"/>
      <c r="H299"/>
      <c r="I299"/>
      <c r="J299"/>
    </row>
    <row r="300" spans="3:10" x14ac:dyDescent="0.2">
      <c r="C300"/>
      <c r="D300"/>
      <c r="E300"/>
      <c r="F300"/>
      <c r="G300"/>
      <c r="H300"/>
      <c r="I300"/>
      <c r="J300"/>
    </row>
    <row r="301" spans="3:10" x14ac:dyDescent="0.2">
      <c r="C301"/>
      <c r="D301"/>
      <c r="E301"/>
      <c r="F301"/>
      <c r="G301"/>
      <c r="H301"/>
      <c r="I301"/>
      <c r="J301"/>
    </row>
    <row r="302" spans="3:10" x14ac:dyDescent="0.2">
      <c r="C302"/>
      <c r="D302"/>
      <c r="E302"/>
      <c r="F302"/>
      <c r="G302"/>
      <c r="H302"/>
      <c r="I302"/>
      <c r="J302"/>
    </row>
    <row r="303" spans="3:10" x14ac:dyDescent="0.2">
      <c r="C303"/>
      <c r="D303"/>
      <c r="E303"/>
      <c r="F303"/>
      <c r="G303"/>
      <c r="H303"/>
      <c r="I303"/>
      <c r="J303"/>
    </row>
    <row r="304" spans="3:10" x14ac:dyDescent="0.2">
      <c r="C304"/>
      <c r="D304"/>
      <c r="E304"/>
      <c r="F304"/>
      <c r="G304"/>
      <c r="H304"/>
      <c r="I304"/>
      <c r="J304"/>
    </row>
    <row r="305" spans="3:10" x14ac:dyDescent="0.2">
      <c r="C305"/>
      <c r="D305"/>
      <c r="E305"/>
      <c r="F305"/>
      <c r="G305"/>
      <c r="H305"/>
      <c r="I305"/>
      <c r="J305"/>
    </row>
    <row r="306" spans="3:10" x14ac:dyDescent="0.2">
      <c r="C306"/>
      <c r="D306"/>
      <c r="E306"/>
      <c r="F306"/>
      <c r="G306"/>
      <c r="H306"/>
      <c r="I306"/>
      <c r="J306"/>
    </row>
    <row r="307" spans="3:10" x14ac:dyDescent="0.2">
      <c r="C307"/>
      <c r="D307"/>
      <c r="E307"/>
      <c r="F307"/>
      <c r="G307"/>
      <c r="H307"/>
      <c r="I307"/>
      <c r="J307"/>
    </row>
    <row r="308" spans="3:10" x14ac:dyDescent="0.2">
      <c r="C308"/>
      <c r="D308"/>
      <c r="E308"/>
      <c r="F308"/>
      <c r="G308"/>
      <c r="H308"/>
      <c r="I308"/>
      <c r="J308"/>
    </row>
    <row r="309" spans="3:10" x14ac:dyDescent="0.2">
      <c r="C309"/>
      <c r="D309"/>
      <c r="E309"/>
      <c r="F309"/>
      <c r="G309"/>
      <c r="H309"/>
      <c r="I309"/>
      <c r="J309"/>
    </row>
    <row r="310" spans="3:10" x14ac:dyDescent="0.2">
      <c r="C310"/>
      <c r="D310"/>
      <c r="E310"/>
      <c r="F310"/>
      <c r="G310"/>
      <c r="H310"/>
      <c r="I310"/>
      <c r="J310"/>
    </row>
    <row r="311" spans="3:10" x14ac:dyDescent="0.2">
      <c r="C311"/>
      <c r="D311"/>
      <c r="E311"/>
      <c r="F311"/>
      <c r="G311"/>
      <c r="H311"/>
      <c r="I311"/>
      <c r="J311"/>
    </row>
    <row r="312" spans="3:10" x14ac:dyDescent="0.2">
      <c r="C312"/>
      <c r="D312"/>
      <c r="E312"/>
      <c r="F312"/>
      <c r="G312"/>
      <c r="H312"/>
      <c r="I312"/>
      <c r="J312"/>
    </row>
    <row r="313" spans="3:10" x14ac:dyDescent="0.2">
      <c r="C313"/>
      <c r="D313"/>
      <c r="E313"/>
      <c r="F313"/>
      <c r="G313"/>
      <c r="H313"/>
      <c r="I313"/>
      <c r="J313"/>
    </row>
    <row r="314" spans="3:10" x14ac:dyDescent="0.2">
      <c r="C314"/>
      <c r="D314"/>
      <c r="E314"/>
      <c r="F314"/>
      <c r="G314"/>
      <c r="H314"/>
      <c r="I314"/>
      <c r="J314"/>
    </row>
    <row r="315" spans="3:10" x14ac:dyDescent="0.2">
      <c r="C315"/>
      <c r="D315"/>
      <c r="E315"/>
      <c r="F315"/>
      <c r="G315"/>
      <c r="H315"/>
      <c r="I315"/>
      <c r="J315"/>
    </row>
    <row r="316" spans="3:10" x14ac:dyDescent="0.2">
      <c r="C316"/>
      <c r="D316"/>
      <c r="E316"/>
      <c r="F316"/>
      <c r="G316"/>
      <c r="H316"/>
      <c r="I316"/>
      <c r="J316"/>
    </row>
    <row r="317" spans="3:10" x14ac:dyDescent="0.2">
      <c r="C317"/>
      <c r="D317"/>
      <c r="E317"/>
      <c r="F317"/>
      <c r="G317"/>
      <c r="H317"/>
      <c r="I317"/>
      <c r="J317"/>
    </row>
    <row r="318" spans="3:10" x14ac:dyDescent="0.2">
      <c r="C318"/>
      <c r="D318"/>
      <c r="E318"/>
      <c r="F318"/>
      <c r="G318"/>
      <c r="H318"/>
      <c r="I318"/>
      <c r="J318"/>
    </row>
    <row r="319" spans="3:10" x14ac:dyDescent="0.2">
      <c r="C319"/>
      <c r="D319"/>
      <c r="E319"/>
      <c r="F319"/>
      <c r="G319"/>
      <c r="H319"/>
      <c r="I319"/>
      <c r="J319"/>
    </row>
    <row r="320" spans="3:10" x14ac:dyDescent="0.2">
      <c r="C320"/>
      <c r="D320"/>
      <c r="E320"/>
      <c r="F320"/>
      <c r="G320"/>
      <c r="H320"/>
      <c r="I320"/>
      <c r="J320"/>
    </row>
    <row r="321" spans="3:10" x14ac:dyDescent="0.2">
      <c r="C321"/>
      <c r="D321"/>
      <c r="E321"/>
      <c r="F321"/>
      <c r="G321"/>
      <c r="H321"/>
      <c r="I321"/>
      <c r="J321"/>
    </row>
    <row r="322" spans="3:10" x14ac:dyDescent="0.2">
      <c r="C322"/>
      <c r="D322"/>
      <c r="E322"/>
      <c r="F322"/>
      <c r="G322"/>
      <c r="H322"/>
      <c r="I322"/>
      <c r="J322"/>
    </row>
    <row r="323" spans="3:10" x14ac:dyDescent="0.2">
      <c r="C323"/>
      <c r="D323"/>
      <c r="E323"/>
      <c r="F323"/>
      <c r="G323"/>
      <c r="H323"/>
      <c r="I323"/>
      <c r="J323"/>
    </row>
    <row r="324" spans="3:10" x14ac:dyDescent="0.2">
      <c r="C324"/>
      <c r="D324"/>
      <c r="E324"/>
      <c r="F324"/>
      <c r="G324"/>
      <c r="H324"/>
      <c r="I324"/>
      <c r="J324"/>
    </row>
    <row r="325" spans="3:10" x14ac:dyDescent="0.2">
      <c r="C325"/>
      <c r="D325"/>
      <c r="E325"/>
      <c r="F325"/>
      <c r="G325"/>
      <c r="H325"/>
      <c r="I325"/>
      <c r="J325"/>
    </row>
    <row r="326" spans="3:10" x14ac:dyDescent="0.2">
      <c r="C326"/>
      <c r="D326"/>
      <c r="E326"/>
      <c r="F326"/>
      <c r="G326"/>
      <c r="H326"/>
      <c r="I326"/>
      <c r="J326"/>
    </row>
    <row r="327" spans="3:10" x14ac:dyDescent="0.2">
      <c r="C327"/>
      <c r="D327"/>
      <c r="E327"/>
      <c r="F327"/>
      <c r="G327"/>
      <c r="H327"/>
      <c r="I327"/>
      <c r="J327"/>
    </row>
    <row r="328" spans="3:10" x14ac:dyDescent="0.2">
      <c r="C328"/>
      <c r="D328"/>
      <c r="E328"/>
      <c r="F328"/>
      <c r="G328"/>
      <c r="H328"/>
      <c r="I328"/>
      <c r="J328"/>
    </row>
    <row r="329" spans="3:10" x14ac:dyDescent="0.2">
      <c r="C329"/>
      <c r="D329"/>
      <c r="E329"/>
      <c r="F329"/>
      <c r="G329"/>
      <c r="H329"/>
      <c r="I329"/>
      <c r="J329"/>
    </row>
    <row r="330" spans="3:10" x14ac:dyDescent="0.2">
      <c r="C330"/>
      <c r="D330"/>
      <c r="E330"/>
      <c r="F330"/>
      <c r="G330"/>
      <c r="H330"/>
      <c r="I330"/>
      <c r="J330"/>
    </row>
    <row r="331" spans="3:10" x14ac:dyDescent="0.2">
      <c r="C331"/>
      <c r="D331"/>
      <c r="E331"/>
      <c r="F331"/>
      <c r="G331"/>
      <c r="H331"/>
      <c r="I331"/>
      <c r="J331"/>
    </row>
    <row r="332" spans="3:10" x14ac:dyDescent="0.2">
      <c r="C332"/>
      <c r="D332"/>
      <c r="E332"/>
      <c r="F332"/>
      <c r="G332"/>
      <c r="H332"/>
      <c r="I332"/>
      <c r="J332"/>
    </row>
    <row r="333" spans="3:10" x14ac:dyDescent="0.2">
      <c r="C333"/>
      <c r="D333"/>
      <c r="E333"/>
      <c r="F333"/>
      <c r="G333"/>
      <c r="H333"/>
      <c r="I333"/>
      <c r="J333"/>
    </row>
    <row r="334" spans="3:10" x14ac:dyDescent="0.2">
      <c r="C334"/>
      <c r="D334"/>
      <c r="E334"/>
      <c r="F334"/>
      <c r="G334"/>
      <c r="H334"/>
      <c r="I334"/>
      <c r="J334"/>
    </row>
    <row r="335" spans="3:10" x14ac:dyDescent="0.2">
      <c r="C335"/>
      <c r="D335"/>
      <c r="E335"/>
      <c r="F335"/>
      <c r="G335"/>
      <c r="H335"/>
      <c r="I335"/>
      <c r="J335"/>
    </row>
    <row r="336" spans="3:10" x14ac:dyDescent="0.2">
      <c r="C336"/>
      <c r="D336"/>
      <c r="E336"/>
      <c r="F336"/>
      <c r="G336"/>
      <c r="H336"/>
      <c r="I336"/>
      <c r="J336"/>
    </row>
    <row r="337" spans="3:10" x14ac:dyDescent="0.2">
      <c r="C337"/>
      <c r="D337"/>
      <c r="E337"/>
      <c r="F337"/>
      <c r="G337"/>
      <c r="H337"/>
      <c r="I337"/>
      <c r="J337"/>
    </row>
    <row r="338" spans="3:10" x14ac:dyDescent="0.2">
      <c r="C338"/>
      <c r="D338"/>
      <c r="E338"/>
      <c r="F338"/>
      <c r="G338"/>
      <c r="H338"/>
      <c r="I338"/>
      <c r="J338"/>
    </row>
    <row r="339" spans="3:10" x14ac:dyDescent="0.2">
      <c r="C339"/>
      <c r="D339"/>
      <c r="E339"/>
      <c r="F339"/>
      <c r="G339"/>
      <c r="H339"/>
      <c r="I339"/>
      <c r="J339"/>
    </row>
    <row r="340" spans="3:10" x14ac:dyDescent="0.2">
      <c r="C340"/>
      <c r="D340"/>
      <c r="E340"/>
      <c r="F340"/>
      <c r="G340"/>
      <c r="H340"/>
      <c r="I340"/>
      <c r="J340"/>
    </row>
    <row r="341" spans="3:10" x14ac:dyDescent="0.2">
      <c r="C341"/>
      <c r="D341"/>
      <c r="E341"/>
      <c r="F341"/>
      <c r="G341"/>
      <c r="H341"/>
      <c r="I341"/>
      <c r="J341"/>
    </row>
    <row r="342" spans="3:10" x14ac:dyDescent="0.2">
      <c r="C342"/>
      <c r="D342"/>
      <c r="E342"/>
      <c r="F342"/>
      <c r="G342"/>
      <c r="H342"/>
      <c r="I342"/>
      <c r="J342"/>
    </row>
    <row r="343" spans="3:10" x14ac:dyDescent="0.2">
      <c r="C343"/>
      <c r="D343"/>
      <c r="E343"/>
      <c r="F343"/>
      <c r="G343"/>
      <c r="H343"/>
      <c r="I343"/>
      <c r="J343"/>
    </row>
    <row r="344" spans="3:10" x14ac:dyDescent="0.2">
      <c r="C344"/>
      <c r="D344"/>
      <c r="E344"/>
      <c r="F344"/>
      <c r="G344"/>
      <c r="H344"/>
      <c r="I344"/>
      <c r="J344"/>
    </row>
    <row r="345" spans="3:10" x14ac:dyDescent="0.2">
      <c r="C345"/>
      <c r="D345"/>
      <c r="E345"/>
      <c r="F345"/>
      <c r="G345"/>
      <c r="H345"/>
      <c r="I345"/>
      <c r="J345"/>
    </row>
    <row r="346" spans="3:10" x14ac:dyDescent="0.2">
      <c r="C346"/>
      <c r="D346"/>
      <c r="E346"/>
      <c r="F346"/>
      <c r="G346"/>
      <c r="H346"/>
      <c r="I346"/>
      <c r="J346"/>
    </row>
    <row r="347" spans="3:10" x14ac:dyDescent="0.2">
      <c r="C347"/>
      <c r="D347"/>
      <c r="E347"/>
      <c r="F347"/>
      <c r="G347"/>
      <c r="H347"/>
      <c r="I347"/>
      <c r="J347"/>
    </row>
    <row r="348" spans="3:10" x14ac:dyDescent="0.2">
      <c r="C348"/>
      <c r="D348"/>
      <c r="E348"/>
      <c r="F348"/>
      <c r="G348"/>
      <c r="H348"/>
      <c r="I348"/>
      <c r="J348"/>
    </row>
    <row r="349" spans="3:10" x14ac:dyDescent="0.2">
      <c r="C349"/>
      <c r="D349"/>
      <c r="E349"/>
      <c r="F349"/>
      <c r="G349"/>
      <c r="H349"/>
      <c r="I349"/>
      <c r="J349"/>
    </row>
    <row r="350" spans="3:10" x14ac:dyDescent="0.2">
      <c r="C350"/>
      <c r="D350"/>
      <c r="E350"/>
      <c r="F350"/>
      <c r="G350"/>
      <c r="H350"/>
      <c r="I350"/>
      <c r="J350"/>
    </row>
    <row r="351" spans="3:10" x14ac:dyDescent="0.2">
      <c r="C351"/>
      <c r="D351"/>
      <c r="E351"/>
      <c r="F351"/>
      <c r="G351"/>
      <c r="H351"/>
      <c r="I351"/>
      <c r="J351"/>
    </row>
    <row r="352" spans="3:10" x14ac:dyDescent="0.2">
      <c r="C352"/>
      <c r="D352"/>
      <c r="E352"/>
      <c r="F352"/>
      <c r="G352"/>
      <c r="H352"/>
      <c r="I352"/>
      <c r="J352"/>
    </row>
    <row r="353" spans="3:10" x14ac:dyDescent="0.2">
      <c r="C353"/>
      <c r="D353"/>
      <c r="E353"/>
      <c r="F353"/>
      <c r="G353"/>
      <c r="H353"/>
      <c r="I353"/>
      <c r="J353"/>
    </row>
    <row r="354" spans="3:10" x14ac:dyDescent="0.2">
      <c r="C354"/>
      <c r="D354"/>
      <c r="E354"/>
      <c r="F354"/>
      <c r="G354"/>
      <c r="H354"/>
      <c r="I354"/>
      <c r="J354"/>
    </row>
    <row r="355" spans="3:10" x14ac:dyDescent="0.2">
      <c r="C355"/>
      <c r="D355"/>
      <c r="E355"/>
      <c r="F355"/>
      <c r="G355"/>
      <c r="H355"/>
      <c r="I355"/>
      <c r="J355"/>
    </row>
    <row r="356" spans="3:10" x14ac:dyDescent="0.2">
      <c r="C356"/>
      <c r="D356"/>
      <c r="E356"/>
      <c r="F356"/>
      <c r="G356"/>
      <c r="H356"/>
      <c r="I356"/>
      <c r="J356"/>
    </row>
    <row r="357" spans="3:10" x14ac:dyDescent="0.2">
      <c r="C357"/>
      <c r="D357"/>
      <c r="E357"/>
      <c r="F357"/>
      <c r="G357"/>
      <c r="H357"/>
      <c r="I357"/>
      <c r="J357"/>
    </row>
    <row r="358" spans="3:10" x14ac:dyDescent="0.2">
      <c r="C358"/>
      <c r="D358"/>
      <c r="E358"/>
      <c r="F358"/>
      <c r="G358"/>
      <c r="H358"/>
      <c r="I358"/>
      <c r="J358"/>
    </row>
    <row r="359" spans="3:10" x14ac:dyDescent="0.2">
      <c r="C359"/>
      <c r="D359"/>
      <c r="E359"/>
      <c r="F359"/>
      <c r="G359"/>
      <c r="H359"/>
      <c r="I359"/>
      <c r="J359"/>
    </row>
    <row r="360" spans="3:10" x14ac:dyDescent="0.2">
      <c r="C360"/>
      <c r="D360"/>
      <c r="E360"/>
      <c r="F360"/>
      <c r="G360"/>
      <c r="H360"/>
      <c r="I360"/>
      <c r="J360"/>
    </row>
    <row r="361" spans="3:10" x14ac:dyDescent="0.2">
      <c r="C361"/>
      <c r="D361"/>
      <c r="E361"/>
      <c r="F361"/>
      <c r="G361"/>
      <c r="H361"/>
      <c r="I361"/>
      <c r="J361"/>
    </row>
    <row r="362" spans="3:10" x14ac:dyDescent="0.2">
      <c r="C362"/>
      <c r="D362"/>
      <c r="E362"/>
      <c r="F362"/>
      <c r="G362"/>
      <c r="H362"/>
      <c r="I362"/>
      <c r="J362"/>
    </row>
    <row r="363" spans="3:10" x14ac:dyDescent="0.2">
      <c r="C363"/>
      <c r="D363"/>
      <c r="E363"/>
      <c r="F363"/>
      <c r="G363"/>
      <c r="H363"/>
      <c r="I363"/>
      <c r="J363"/>
    </row>
    <row r="364" spans="3:10" x14ac:dyDescent="0.2">
      <c r="C364"/>
      <c r="D364"/>
      <c r="E364"/>
      <c r="F364"/>
      <c r="G364"/>
      <c r="H364"/>
      <c r="I364"/>
      <c r="J364"/>
    </row>
    <row r="365" spans="3:10" x14ac:dyDescent="0.2">
      <c r="C365"/>
      <c r="D365"/>
      <c r="E365"/>
      <c r="F365"/>
      <c r="G365"/>
      <c r="H365"/>
      <c r="I365"/>
      <c r="J365"/>
    </row>
    <row r="366" spans="3:10" x14ac:dyDescent="0.2">
      <c r="C366"/>
      <c r="D366"/>
      <c r="E366"/>
      <c r="F366"/>
      <c r="G366"/>
      <c r="H366"/>
      <c r="I366"/>
      <c r="J366"/>
    </row>
  </sheetData>
  <mergeCells count="3">
    <mergeCell ref="C3:N3"/>
    <mergeCell ref="C14:N14"/>
    <mergeCell ref="H16:H17"/>
  </mergeCells>
  <hyperlinks>
    <hyperlink ref="H16:H17" location="'GRAFICA ZONAS ALOJA PAI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K153"/>
  <sheetViews>
    <sheetView showGridLines="0" topLeftCell="B1" zoomScaleNormal="100" workbookViewId="0">
      <selection activeCell="L59" sqref="L59"/>
    </sheetView>
  </sheetViews>
  <sheetFormatPr baseColWidth="10" defaultRowHeight="12.75" x14ac:dyDescent="0.2"/>
  <cols>
    <col min="3" max="3" width="12.85546875" customWidth="1"/>
    <col min="10" max="10" width="12.28515625" customWidth="1"/>
  </cols>
  <sheetData>
    <row r="5" ht="18.75" customHeight="1" x14ac:dyDescent="0.2"/>
    <row r="34" spans="10:11" x14ac:dyDescent="0.2">
      <c r="J34" s="15"/>
      <c r="K34" s="15"/>
    </row>
    <row r="35" spans="10:11" x14ac:dyDescent="0.2">
      <c r="J35" s="15"/>
      <c r="K35" s="15"/>
    </row>
    <row r="36" spans="10:11" ht="17.25" customHeight="1" x14ac:dyDescent="0.2">
      <c r="J36" s="15"/>
      <c r="K36" s="15"/>
    </row>
    <row r="37" spans="10:11" x14ac:dyDescent="0.2">
      <c r="J37" s="15"/>
      <c r="K37" s="296" t="s">
        <v>76</v>
      </c>
    </row>
    <row r="38" spans="10:11" x14ac:dyDescent="0.2">
      <c r="J38" s="15"/>
      <c r="K38" s="296"/>
    </row>
    <row r="39" spans="10:11" x14ac:dyDescent="0.2">
      <c r="J39" s="15"/>
      <c r="K39" s="15"/>
    </row>
    <row r="40" spans="10:11" x14ac:dyDescent="0.2">
      <c r="J40" s="15"/>
      <c r="K40" s="15"/>
    </row>
    <row r="152" spans="4:5" ht="13.5" thickBot="1" x14ac:dyDescent="0.25"/>
    <row r="153" spans="4:5" x14ac:dyDescent="0.2">
      <c r="D153" s="155" t="e">
        <f>#REF!</f>
        <v>#REF!</v>
      </c>
      <c r="E153" s="157" t="e">
        <f>#REF!</f>
        <v>#REF!</v>
      </c>
    </row>
  </sheetData>
  <mergeCells count="1">
    <mergeCell ref="K37:K38"/>
  </mergeCells>
  <hyperlinks>
    <hyperlink ref="K37:K38" location="'Zonas de aloja Total y Paí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53"/>
  <sheetViews>
    <sheetView showGridLines="0" topLeftCell="A4" zoomScaleNormal="100" workbookViewId="0">
      <selection activeCell="L59" sqref="L59"/>
    </sheetView>
  </sheetViews>
  <sheetFormatPr baseColWidth="10" defaultRowHeight="12.75" x14ac:dyDescent="0.2"/>
  <cols>
    <col min="1" max="1" width="22.7109375" style="1" customWidth="1"/>
    <col min="2" max="2" width="22.28515625" style="1" customWidth="1"/>
    <col min="3" max="8" width="7.7109375" style="1" customWidth="1"/>
    <col min="9" max="12" width="7.7109375" style="1" hidden="1" customWidth="1"/>
    <col min="13" max="13" width="7.7109375" style="1" customWidth="1"/>
    <col min="14" max="14" width="20.85546875" style="1" customWidth="1"/>
    <col min="15" max="16384" width="11.42578125" style="1"/>
  </cols>
  <sheetData>
    <row r="2" spans="2:17" ht="23.25" customHeight="1" x14ac:dyDescent="0.2"/>
    <row r="3" spans="2:17" ht="29.25" customHeight="1" x14ac:dyDescent="0.2">
      <c r="B3" s="312" t="s">
        <v>236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2:17" ht="58.5" customHeight="1" x14ac:dyDescent="0.2">
      <c r="B4" s="10"/>
      <c r="C4" s="10">
        <v>2007</v>
      </c>
      <c r="D4" s="10">
        <v>2008</v>
      </c>
      <c r="E4" s="10">
        <v>2009</v>
      </c>
      <c r="F4" s="10">
        <v>2010</v>
      </c>
      <c r="G4" s="10">
        <v>2011</v>
      </c>
      <c r="H4" s="10">
        <v>2012</v>
      </c>
      <c r="I4" s="143" t="s">
        <v>58</v>
      </c>
      <c r="J4" s="143" t="s">
        <v>59</v>
      </c>
      <c r="K4" s="143" t="s">
        <v>60</v>
      </c>
      <c r="L4" s="143" t="s">
        <v>61</v>
      </c>
      <c r="M4" s="143" t="s">
        <v>62</v>
      </c>
    </row>
    <row r="5" spans="2:17" ht="15" customHeight="1" x14ac:dyDescent="0.2">
      <c r="B5" s="43" t="s">
        <v>237</v>
      </c>
      <c r="C5" s="13">
        <v>47.527272727272702</v>
      </c>
      <c r="D5" s="13">
        <v>50.109090909090909</v>
      </c>
      <c r="E5" s="13">
        <v>50.9</v>
      </c>
      <c r="F5" s="13">
        <v>54.218181818181819</v>
      </c>
      <c r="G5" s="13">
        <v>50.572727272727271</v>
      </c>
      <c r="H5" s="13">
        <v>52.081818181818178</v>
      </c>
      <c r="I5" s="14">
        <f t="shared" ref="I5:M11" si="0">D5/C5-1</f>
        <v>5.4322876817139099E-2</v>
      </c>
      <c r="J5" s="14">
        <f t="shared" si="0"/>
        <v>1.5783744557329449E-2</v>
      </c>
      <c r="K5" s="14">
        <f t="shared" si="0"/>
        <v>6.5190212537953318E-2</v>
      </c>
      <c r="L5" s="14">
        <f>G5/F5-1</f>
        <v>-6.7236753856472209E-2</v>
      </c>
      <c r="M5" s="14">
        <f>H5/G5-1</f>
        <v>2.9840014380729807E-2</v>
      </c>
    </row>
    <row r="6" spans="2:17" ht="15" customHeight="1" x14ac:dyDescent="0.2">
      <c r="B6" s="43" t="s">
        <v>238</v>
      </c>
      <c r="C6" s="13">
        <v>19.390909090909101</v>
      </c>
      <c r="D6" s="13">
        <v>19.136363636363637</v>
      </c>
      <c r="E6" s="13">
        <v>19.281818181818181</v>
      </c>
      <c r="F6" s="13">
        <v>18.109090909090909</v>
      </c>
      <c r="G6" s="13">
        <v>19.463636363636365</v>
      </c>
      <c r="H6" s="13">
        <v>18.7</v>
      </c>
      <c r="I6" s="14">
        <f t="shared" si="0"/>
        <v>-1.3127051101735177E-2</v>
      </c>
      <c r="J6" s="14">
        <f t="shared" si="0"/>
        <v>7.6009501187648265E-3</v>
      </c>
      <c r="K6" s="14">
        <f t="shared" si="0"/>
        <v>-6.0820367751060811E-2</v>
      </c>
      <c r="L6" s="14">
        <f t="shared" si="0"/>
        <v>7.4799196787148636E-2</v>
      </c>
      <c r="M6" s="14">
        <f t="shared" si="0"/>
        <v>-3.9234002802428836E-2</v>
      </c>
      <c r="O6" s="173"/>
      <c r="P6" s="173"/>
      <c r="Q6" s="174"/>
    </row>
    <row r="7" spans="2:17" ht="15" customHeight="1" x14ac:dyDescent="0.2">
      <c r="B7" s="43" t="s">
        <v>239</v>
      </c>
      <c r="C7" s="13">
        <v>13.472727272727299</v>
      </c>
      <c r="D7" s="13">
        <v>12.236363636363636</v>
      </c>
      <c r="E7" s="13">
        <v>11.981818181818182</v>
      </c>
      <c r="F7" s="13">
        <v>11.227272727272727</v>
      </c>
      <c r="G7" s="13">
        <v>12.718181818181819</v>
      </c>
      <c r="H7" s="13">
        <v>12.018181818181818</v>
      </c>
      <c r="I7" s="14">
        <f t="shared" si="0"/>
        <v>-9.1767881241567206E-2</v>
      </c>
      <c r="J7" s="14">
        <f t="shared" si="0"/>
        <v>-2.080237741456159E-2</v>
      </c>
      <c r="K7" s="14">
        <f t="shared" si="0"/>
        <v>-6.2974203338391654E-2</v>
      </c>
      <c r="L7" s="14">
        <f t="shared" si="0"/>
        <v>0.13279352226720653</v>
      </c>
      <c r="M7" s="14">
        <f t="shared" si="0"/>
        <v>-5.5039313795568368E-2</v>
      </c>
      <c r="O7" s="173"/>
      <c r="P7" s="173"/>
      <c r="Q7" s="174"/>
    </row>
    <row r="8" spans="2:17" ht="15" customHeight="1" x14ac:dyDescent="0.2">
      <c r="B8" s="43" t="s">
        <v>240</v>
      </c>
      <c r="C8" s="13">
        <v>8.6363636363636402</v>
      </c>
      <c r="D8" s="13">
        <v>9.463636363636363</v>
      </c>
      <c r="E8" s="13">
        <v>8.0272727272727273</v>
      </c>
      <c r="F8" s="13">
        <v>7.581818181818182</v>
      </c>
      <c r="G8" s="13">
        <v>8.745454545454546</v>
      </c>
      <c r="H8" s="13">
        <v>8.5727272727272723</v>
      </c>
      <c r="I8" s="14">
        <f>D8/C8-1</f>
        <v>9.578947368420998E-2</v>
      </c>
      <c r="J8" s="14">
        <f>E8/D8-1</f>
        <v>-0.15177713736791543</v>
      </c>
      <c r="K8" s="14">
        <f>F8/E8-1</f>
        <v>-5.5492638731596822E-2</v>
      </c>
      <c r="L8" s="14">
        <f>G8/F8-1</f>
        <v>0.15347721822541982</v>
      </c>
      <c r="M8" s="14">
        <f>H8/G8-1</f>
        <v>-1.975051975051989E-2</v>
      </c>
    </row>
    <row r="9" spans="2:17" ht="15" customHeight="1" x14ac:dyDescent="0.2">
      <c r="B9" s="43" t="s">
        <v>196</v>
      </c>
      <c r="C9" s="13">
        <v>10.6181818181818</v>
      </c>
      <c r="D9" s="13">
        <v>8.709090909090909</v>
      </c>
      <c r="E9" s="13">
        <v>9.3818181818181809</v>
      </c>
      <c r="F9" s="13">
        <v>8.3545454545454554</v>
      </c>
      <c r="G9" s="13">
        <v>8.1090909090909093</v>
      </c>
      <c r="H9" s="13">
        <v>8.1181818181818191</v>
      </c>
      <c r="I9" s="14">
        <f t="shared" si="0"/>
        <v>-0.17979452054794376</v>
      </c>
      <c r="J9" s="14">
        <f t="shared" si="0"/>
        <v>7.7244258872651184E-2</v>
      </c>
      <c r="K9" s="14">
        <f t="shared" si="0"/>
        <v>-0.10949612403100761</v>
      </c>
      <c r="L9" s="14">
        <f t="shared" si="0"/>
        <v>-2.9379760609358097E-2</v>
      </c>
      <c r="M9" s="14">
        <f t="shared" si="0"/>
        <v>1.1210762331839152E-3</v>
      </c>
    </row>
    <row r="10" spans="2:17" ht="15" customHeight="1" x14ac:dyDescent="0.2">
      <c r="B10" s="43" t="s">
        <v>241</v>
      </c>
      <c r="C10" s="144">
        <v>0.27272727272727298</v>
      </c>
      <c r="D10" s="144">
        <v>0.3</v>
      </c>
      <c r="E10" s="144">
        <v>0.38181818181818183</v>
      </c>
      <c r="F10" s="144">
        <v>0.48181818181818181</v>
      </c>
      <c r="G10" s="144">
        <v>0.34545454545454546</v>
      </c>
      <c r="H10" s="144">
        <v>0.46363636363636362</v>
      </c>
      <c r="I10" s="14">
        <f t="shared" si="0"/>
        <v>9.9999999999998979E-2</v>
      </c>
      <c r="J10" s="14">
        <f t="shared" si="0"/>
        <v>0.27272727272727293</v>
      </c>
      <c r="K10" s="14">
        <f t="shared" si="0"/>
        <v>0.26190476190476186</v>
      </c>
      <c r="L10" s="14">
        <f t="shared" si="0"/>
        <v>-0.28301886792452824</v>
      </c>
      <c r="M10" s="14">
        <f t="shared" si="0"/>
        <v>0.34210526315789469</v>
      </c>
    </row>
    <row r="11" spans="2:17" ht="15" customHeight="1" x14ac:dyDescent="0.2">
      <c r="B11" s="43" t="s">
        <v>242</v>
      </c>
      <c r="C11" s="144">
        <v>8.1818181818181804E-2</v>
      </c>
      <c r="D11" s="144">
        <v>4.5454545454545456E-2</v>
      </c>
      <c r="E11" s="144">
        <v>4.5454545454545456E-2</v>
      </c>
      <c r="F11" s="144">
        <v>2.7272727272727271E-2</v>
      </c>
      <c r="G11" s="144">
        <v>4.5454545454545456E-2</v>
      </c>
      <c r="H11" s="144">
        <v>4.5454545454545456E-2</v>
      </c>
      <c r="I11" s="14">
        <f t="shared" si="0"/>
        <v>-0.44444444444444431</v>
      </c>
      <c r="J11" s="14">
        <f t="shared" si="0"/>
        <v>0</v>
      </c>
      <c r="K11" s="14">
        <f t="shared" si="0"/>
        <v>-0.4</v>
      </c>
      <c r="L11" s="14">
        <f t="shared" si="0"/>
        <v>0.66666666666666674</v>
      </c>
      <c r="M11" s="14">
        <f t="shared" si="0"/>
        <v>0</v>
      </c>
    </row>
    <row r="12" spans="2:17" ht="15" customHeight="1" x14ac:dyDescent="0.2">
      <c r="B12" s="313" t="s">
        <v>243</v>
      </c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</row>
    <row r="13" spans="2:17" x14ac:dyDescent="0.2">
      <c r="N13" s="296" t="s">
        <v>102</v>
      </c>
    </row>
    <row r="14" spans="2:17" x14ac:dyDescent="0.2">
      <c r="N14" s="296"/>
    </row>
    <row r="15" spans="2:17" ht="27.75" customHeight="1" x14ac:dyDescent="0.2">
      <c r="B15" s="312" t="s">
        <v>244</v>
      </c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</row>
    <row r="16" spans="2:17" ht="25.5" x14ac:dyDescent="0.2">
      <c r="B16" s="10"/>
      <c r="C16" s="10">
        <v>2007</v>
      </c>
      <c r="D16" s="10">
        <v>2008</v>
      </c>
      <c r="E16" s="10">
        <v>2009</v>
      </c>
      <c r="F16" s="10">
        <v>2010</v>
      </c>
      <c r="G16" s="10">
        <v>2011</v>
      </c>
      <c r="H16" s="10">
        <v>2012</v>
      </c>
      <c r="I16" s="143" t="s">
        <v>58</v>
      </c>
      <c r="J16" s="143" t="s">
        <v>59</v>
      </c>
      <c r="K16" s="143" t="s">
        <v>60</v>
      </c>
      <c r="L16" s="143" t="s">
        <v>61</v>
      </c>
      <c r="M16" s="143" t="s">
        <v>62</v>
      </c>
    </row>
    <row r="17" spans="2:13" ht="15" customHeight="1" x14ac:dyDescent="0.2">
      <c r="B17" s="35" t="s">
        <v>245</v>
      </c>
      <c r="C17" s="13">
        <v>5.8363636363636404</v>
      </c>
      <c r="D17" s="13">
        <v>5.8636363636363633</v>
      </c>
      <c r="E17" s="13">
        <v>6.8909090909090907</v>
      </c>
      <c r="F17" s="13">
        <v>7.5181818181818185</v>
      </c>
      <c r="G17" s="13">
        <v>9.2272727272727266</v>
      </c>
      <c r="H17" s="13">
        <v>9.6909090909090914</v>
      </c>
      <c r="I17" s="14">
        <f t="shared" ref="I17:J29" si="1">D17/C17-1</f>
        <v>4.6728971962608501E-3</v>
      </c>
      <c r="J17" s="14">
        <f t="shared" si="1"/>
        <v>0.17519379844961236</v>
      </c>
      <c r="K17" s="14">
        <f>IFERROR(F17/E17-1,"-")</f>
        <v>9.1029023746701965E-2</v>
      </c>
      <c r="L17" s="14">
        <f>IFERROR(G17/F17-1,"-")</f>
        <v>0.2273276904474002</v>
      </c>
      <c r="M17" s="14">
        <f>IFERROR(H17/G17-1,"-")</f>
        <v>5.0246305418719439E-2</v>
      </c>
    </row>
    <row r="18" spans="2:13" ht="15" customHeight="1" x14ac:dyDescent="0.2">
      <c r="B18" s="35" t="s">
        <v>246</v>
      </c>
      <c r="C18" s="13">
        <v>35.636363636363598</v>
      </c>
      <c r="D18" s="13">
        <v>38.481818181818184</v>
      </c>
      <c r="E18" s="13">
        <v>37.972727272727276</v>
      </c>
      <c r="F18" s="13">
        <v>40.772727272727273</v>
      </c>
      <c r="G18" s="13">
        <v>35.336363636363636</v>
      </c>
      <c r="H18" s="13">
        <v>36.809090909090912</v>
      </c>
      <c r="I18" s="14">
        <f t="shared" si="1"/>
        <v>7.9846938775511411E-2</v>
      </c>
      <c r="J18" s="14">
        <f t="shared" si="1"/>
        <v>-1.3229388140798437E-2</v>
      </c>
      <c r="K18" s="14">
        <f t="shared" ref="K18:M32" si="2">IFERROR(F18/E18-1,"-")</f>
        <v>7.3737131912856135E-2</v>
      </c>
      <c r="L18" s="14">
        <f t="shared" si="2"/>
        <v>-0.1333333333333333</v>
      </c>
      <c r="M18" s="14">
        <f t="shared" si="2"/>
        <v>4.1677386158991636E-2</v>
      </c>
    </row>
    <row r="19" spans="2:13" ht="15" customHeight="1" x14ac:dyDescent="0.2">
      <c r="B19" s="35" t="s">
        <v>247</v>
      </c>
      <c r="C19" s="13">
        <v>5.4363636363636401</v>
      </c>
      <c r="D19" s="13">
        <v>5.127272727272727</v>
      </c>
      <c r="E19" s="13">
        <v>5.2545454545454549</v>
      </c>
      <c r="F19" s="13">
        <v>5.0272727272727273</v>
      </c>
      <c r="G19" s="13">
        <v>4.872727272727273</v>
      </c>
      <c r="H19" s="13">
        <v>4.5181818181818185</v>
      </c>
      <c r="I19" s="14">
        <f t="shared" si="1"/>
        <v>-5.6856187290970639E-2</v>
      </c>
      <c r="J19" s="14">
        <f t="shared" si="1"/>
        <v>2.4822695035461084E-2</v>
      </c>
      <c r="K19" s="14">
        <f t="shared" si="2"/>
        <v>-4.3252595155709339E-2</v>
      </c>
      <c r="L19" s="14">
        <f t="shared" si="2"/>
        <v>-3.0741410488245857E-2</v>
      </c>
      <c r="M19" s="14">
        <f t="shared" si="2"/>
        <v>-7.2761194029850706E-2</v>
      </c>
    </row>
    <row r="20" spans="2:13" ht="15" customHeight="1" x14ac:dyDescent="0.2">
      <c r="B20" s="35" t="s">
        <v>248</v>
      </c>
      <c r="C20" s="13">
        <v>0.4</v>
      </c>
      <c r="D20" s="13">
        <v>0.39090909090909093</v>
      </c>
      <c r="E20" s="13">
        <v>0.41818181818181815</v>
      </c>
      <c r="F20" s="13">
        <v>0.37272727272727274</v>
      </c>
      <c r="G20" s="13">
        <v>0.47272727272727272</v>
      </c>
      <c r="H20" s="13">
        <v>0.5636363636363636</v>
      </c>
      <c r="I20" s="14">
        <f t="shared" si="1"/>
        <v>-2.2727272727272707E-2</v>
      </c>
      <c r="J20" s="14">
        <f t="shared" si="1"/>
        <v>6.9767441860465018E-2</v>
      </c>
      <c r="K20" s="14">
        <f t="shared" si="2"/>
        <v>-0.10869565217391297</v>
      </c>
      <c r="L20" s="14">
        <f t="shared" si="2"/>
        <v>0.26829268292682928</v>
      </c>
      <c r="M20" s="14">
        <f t="shared" si="2"/>
        <v>0.19230769230769229</v>
      </c>
    </row>
    <row r="21" spans="2:13" ht="15" customHeight="1" x14ac:dyDescent="0.2">
      <c r="B21" s="35" t="s">
        <v>249</v>
      </c>
      <c r="C21" s="13">
        <v>3.2272727272727302</v>
      </c>
      <c r="D21" s="13">
        <v>3.2</v>
      </c>
      <c r="E21" s="13">
        <v>2.5181818181818181</v>
      </c>
      <c r="F21" s="13">
        <v>2.6</v>
      </c>
      <c r="G21" s="13">
        <v>3</v>
      </c>
      <c r="H21" s="13">
        <v>3.1272727272727274</v>
      </c>
      <c r="I21" s="14">
        <f t="shared" si="1"/>
        <v>-8.4507042253529896E-3</v>
      </c>
      <c r="J21" s="14">
        <f t="shared" si="1"/>
        <v>-0.21306818181818188</v>
      </c>
      <c r="K21" s="14">
        <f t="shared" si="2"/>
        <v>3.2490974729241895E-2</v>
      </c>
      <c r="L21" s="14">
        <f t="shared" si="2"/>
        <v>0.15384615384615374</v>
      </c>
      <c r="M21" s="14">
        <f t="shared" si="2"/>
        <v>4.2424242424242475E-2</v>
      </c>
    </row>
    <row r="22" spans="2:13" ht="15" customHeight="1" x14ac:dyDescent="0.2">
      <c r="B22" s="35" t="s">
        <v>250</v>
      </c>
      <c r="C22" s="13">
        <v>4.9909090909090903</v>
      </c>
      <c r="D22" s="13">
        <v>5.7818181818181822</v>
      </c>
      <c r="E22" s="13">
        <v>5.0545454545454547</v>
      </c>
      <c r="F22" s="13">
        <v>4.5727272727272723</v>
      </c>
      <c r="G22" s="13">
        <v>5.2</v>
      </c>
      <c r="H22" s="13">
        <v>5.0999999999999996</v>
      </c>
      <c r="I22" s="14">
        <f t="shared" si="1"/>
        <v>0.15846994535519143</v>
      </c>
      <c r="J22" s="14">
        <f t="shared" si="1"/>
        <v>-0.12578616352201266</v>
      </c>
      <c r="K22" s="14">
        <f t="shared" si="2"/>
        <v>-9.5323741007194318E-2</v>
      </c>
      <c r="L22" s="14">
        <f t="shared" si="2"/>
        <v>0.1371769383697814</v>
      </c>
      <c r="M22" s="14">
        <f t="shared" si="2"/>
        <v>-1.9230769230769384E-2</v>
      </c>
    </row>
    <row r="23" spans="2:13" ht="15" customHeight="1" x14ac:dyDescent="0.2">
      <c r="B23" s="35" t="s">
        <v>251</v>
      </c>
      <c r="C23" s="13">
        <v>0.20909090909090899</v>
      </c>
      <c r="D23" s="13">
        <v>0.3</v>
      </c>
      <c r="E23" s="13">
        <v>0.20909090909090908</v>
      </c>
      <c r="F23" s="13">
        <v>0.17272727272727273</v>
      </c>
      <c r="G23" s="13">
        <v>0.26363636363636361</v>
      </c>
      <c r="H23" s="13">
        <v>0.25454545454545452</v>
      </c>
      <c r="I23" s="14">
        <f t="shared" si="1"/>
        <v>0.43478260869565277</v>
      </c>
      <c r="J23" s="14">
        <f t="shared" si="1"/>
        <v>-0.30303030303030309</v>
      </c>
      <c r="K23" s="14">
        <f t="shared" si="2"/>
        <v>-0.17391304347826075</v>
      </c>
      <c r="L23" s="14">
        <f t="shared" si="2"/>
        <v>0.52631578947368407</v>
      </c>
      <c r="M23" s="14">
        <f t="shared" si="2"/>
        <v>-3.4482758620689724E-2</v>
      </c>
    </row>
    <row r="24" spans="2:13" ht="15" customHeight="1" x14ac:dyDescent="0.2">
      <c r="B24" s="35" t="s">
        <v>252</v>
      </c>
      <c r="C24" s="13">
        <v>12.954545454545499</v>
      </c>
      <c r="D24" s="13">
        <v>13.063636363636364</v>
      </c>
      <c r="E24" s="13">
        <v>12.845454545454546</v>
      </c>
      <c r="F24" s="13">
        <v>12.445454545454545</v>
      </c>
      <c r="G24" s="13">
        <v>13.681818181818182</v>
      </c>
      <c r="H24" s="13">
        <v>13.381818181818181</v>
      </c>
      <c r="I24" s="14">
        <f t="shared" si="1"/>
        <v>8.4210526315755541E-3</v>
      </c>
      <c r="J24" s="14">
        <f t="shared" si="1"/>
        <v>-1.6701461377870652E-2</v>
      </c>
      <c r="K24" s="14">
        <f t="shared" si="2"/>
        <v>-3.1139419674451552E-2</v>
      </c>
      <c r="L24" s="14">
        <f t="shared" si="2"/>
        <v>9.9342585829072405E-2</v>
      </c>
      <c r="M24" s="14">
        <f t="shared" si="2"/>
        <v>-2.1926910299003399E-2</v>
      </c>
    </row>
    <row r="25" spans="2:13" ht="15" customHeight="1" x14ac:dyDescent="0.2">
      <c r="B25" s="35" t="s">
        <v>253</v>
      </c>
      <c r="C25" s="13">
        <v>4.6909090909090896</v>
      </c>
      <c r="D25" s="13">
        <v>4.6363636363636367</v>
      </c>
      <c r="E25" s="13">
        <v>4.4636363636363638</v>
      </c>
      <c r="F25" s="13">
        <v>3.7727272727272729</v>
      </c>
      <c r="G25" s="13">
        <v>3.6818181818181817</v>
      </c>
      <c r="H25" s="13">
        <v>3.2</v>
      </c>
      <c r="I25" s="14">
        <f t="shared" si="1"/>
        <v>-1.1627906976743874E-2</v>
      </c>
      <c r="J25" s="14">
        <f t="shared" si="1"/>
        <v>-3.7254901960784292E-2</v>
      </c>
      <c r="K25" s="14">
        <f t="shared" si="2"/>
        <v>-0.15478615071283097</v>
      </c>
      <c r="L25" s="14">
        <f t="shared" si="2"/>
        <v>-2.4096385542168752E-2</v>
      </c>
      <c r="M25" s="14">
        <f t="shared" si="2"/>
        <v>-0.13086419753086409</v>
      </c>
    </row>
    <row r="26" spans="2:13" ht="15" customHeight="1" x14ac:dyDescent="0.2">
      <c r="B26" s="35" t="s">
        <v>254</v>
      </c>
      <c r="C26" s="13">
        <v>1.3</v>
      </c>
      <c r="D26" s="13">
        <v>1.1363636363636365</v>
      </c>
      <c r="E26" s="13">
        <v>1.490909090909091</v>
      </c>
      <c r="F26" s="13">
        <v>1.4272727272727272</v>
      </c>
      <c r="G26" s="13">
        <v>1.6</v>
      </c>
      <c r="H26" s="13">
        <v>1.6454545454545455</v>
      </c>
      <c r="I26" s="14">
        <f t="shared" si="1"/>
        <v>-0.12587412587412583</v>
      </c>
      <c r="J26" s="14">
        <f t="shared" si="1"/>
        <v>0.31199999999999983</v>
      </c>
      <c r="K26" s="14">
        <f t="shared" si="2"/>
        <v>-4.2682926829268331E-2</v>
      </c>
      <c r="L26" s="14">
        <f t="shared" si="2"/>
        <v>0.12101910828025475</v>
      </c>
      <c r="M26" s="14">
        <f t="shared" si="2"/>
        <v>2.8409090909090828E-2</v>
      </c>
    </row>
    <row r="27" spans="2:13" ht="15" customHeight="1" x14ac:dyDescent="0.2">
      <c r="B27" s="35" t="s">
        <v>255</v>
      </c>
      <c r="C27" s="13">
        <v>13.472727272727299</v>
      </c>
      <c r="D27" s="13">
        <v>12.236363636363636</v>
      </c>
      <c r="E27" s="13">
        <v>11.981818181818182</v>
      </c>
      <c r="F27" s="13">
        <v>11.227272727272727</v>
      </c>
      <c r="G27" s="13">
        <v>12.718181818181819</v>
      </c>
      <c r="H27" s="13">
        <v>12.018181818181818</v>
      </c>
      <c r="I27" s="14">
        <f t="shared" si="1"/>
        <v>-9.1767881241567206E-2</v>
      </c>
      <c r="J27" s="14">
        <f t="shared" si="1"/>
        <v>-2.080237741456159E-2</v>
      </c>
      <c r="K27" s="14">
        <f t="shared" si="2"/>
        <v>-6.2974203338391654E-2</v>
      </c>
      <c r="L27" s="14">
        <f t="shared" si="2"/>
        <v>0.13279352226720653</v>
      </c>
      <c r="M27" s="14">
        <f t="shared" si="2"/>
        <v>-5.5039313795568368E-2</v>
      </c>
    </row>
    <row r="28" spans="2:13" ht="15" customHeight="1" x14ac:dyDescent="0.2">
      <c r="B28" s="35" t="s">
        <v>196</v>
      </c>
      <c r="C28" s="13">
        <v>10.2909090909091</v>
      </c>
      <c r="D28" s="13">
        <v>8.5</v>
      </c>
      <c r="E28" s="13">
        <v>9.036363636363637</v>
      </c>
      <c r="F28" s="13">
        <v>8.0727272727272723</v>
      </c>
      <c r="G28" s="13">
        <v>7.8181818181818183</v>
      </c>
      <c r="H28" s="13">
        <v>7.8454545454545457</v>
      </c>
      <c r="I28" s="14">
        <f t="shared" si="1"/>
        <v>-0.17402826855123743</v>
      </c>
      <c r="J28" s="14">
        <f t="shared" si="1"/>
        <v>6.3101604278074985E-2</v>
      </c>
      <c r="K28" s="14">
        <f t="shared" si="2"/>
        <v>-0.10663983903420537</v>
      </c>
      <c r="L28" s="14">
        <f t="shared" si="2"/>
        <v>-3.1531531531531432E-2</v>
      </c>
      <c r="M28" s="14">
        <f t="shared" si="2"/>
        <v>3.4883720930232176E-3</v>
      </c>
    </row>
    <row r="29" spans="2:13" ht="15" customHeight="1" x14ac:dyDescent="0.2">
      <c r="B29" s="35" t="s">
        <v>256</v>
      </c>
      <c r="C29" s="13">
        <v>0.27272727272727298</v>
      </c>
      <c r="D29" s="13">
        <v>0.30909090909090908</v>
      </c>
      <c r="E29" s="13">
        <v>0.38181818181818183</v>
      </c>
      <c r="F29" s="13">
        <v>0.48181818181818181</v>
      </c>
      <c r="G29" s="13">
        <v>0.34545454545454546</v>
      </c>
      <c r="H29" s="13">
        <v>0.46363636363636362</v>
      </c>
      <c r="I29" s="14">
        <f t="shared" si="1"/>
        <v>0.13333333333333219</v>
      </c>
      <c r="J29" s="14">
        <f t="shared" si="1"/>
        <v>0.23529411764705888</v>
      </c>
      <c r="K29" s="14">
        <f t="shared" si="2"/>
        <v>0.26190476190476186</v>
      </c>
      <c r="L29" s="14">
        <f t="shared" si="2"/>
        <v>-0.28301886792452824</v>
      </c>
      <c r="M29" s="14">
        <f t="shared" si="2"/>
        <v>0.34210526315789469</v>
      </c>
    </row>
    <row r="30" spans="2:13" ht="15" customHeight="1" x14ac:dyDescent="0.2">
      <c r="B30" s="35" t="s">
        <v>257</v>
      </c>
      <c r="C30" s="13">
        <v>2.7272727272727299E-2</v>
      </c>
      <c r="D30" s="13">
        <v>9.0909090909090905E-3</v>
      </c>
      <c r="E30" s="13">
        <v>0</v>
      </c>
      <c r="F30" s="13">
        <v>9.0909090909090905E-3</v>
      </c>
      <c r="G30" s="13">
        <v>0</v>
      </c>
      <c r="H30" s="13">
        <v>9.0909090909090905E-3</v>
      </c>
      <c r="I30" s="14" t="s">
        <v>98</v>
      </c>
      <c r="J30" s="14" t="s">
        <v>98</v>
      </c>
      <c r="K30" s="14" t="str">
        <f t="shared" si="2"/>
        <v>-</v>
      </c>
      <c r="L30" s="14">
        <f t="shared" si="2"/>
        <v>-1</v>
      </c>
      <c r="M30" s="14" t="str">
        <f t="shared" si="2"/>
        <v>-</v>
      </c>
    </row>
    <row r="31" spans="2:13" ht="15" customHeight="1" x14ac:dyDescent="0.2">
      <c r="B31" s="35" t="s">
        <v>258</v>
      </c>
      <c r="C31" s="13">
        <v>3.6363636363636397E-2</v>
      </c>
      <c r="D31" s="13">
        <v>3.6363636363636362E-2</v>
      </c>
      <c r="E31" s="13">
        <v>3.6363636363636362E-2</v>
      </c>
      <c r="F31" s="13">
        <v>1.8181818181818181E-2</v>
      </c>
      <c r="G31" s="13">
        <v>4.5454545454545456E-2</v>
      </c>
      <c r="H31" s="13">
        <v>3.6363636363636362E-2</v>
      </c>
      <c r="I31" s="14" t="s">
        <v>98</v>
      </c>
      <c r="J31" s="14" t="s">
        <v>98</v>
      </c>
      <c r="K31" s="14">
        <f t="shared" si="2"/>
        <v>-0.5</v>
      </c>
      <c r="L31" s="14">
        <f t="shared" si="2"/>
        <v>1.5</v>
      </c>
      <c r="M31" s="14">
        <f t="shared" si="2"/>
        <v>-0.20000000000000007</v>
      </c>
    </row>
    <row r="32" spans="2:13" ht="15" customHeight="1" x14ac:dyDescent="0.2">
      <c r="B32" s="35" t="s">
        <v>71</v>
      </c>
      <c r="C32" s="13">
        <v>1.21818181818182</v>
      </c>
      <c r="D32" s="13">
        <v>0.92727272727272725</v>
      </c>
      <c r="E32" s="13">
        <v>1.4454545454545455</v>
      </c>
      <c r="F32" s="13">
        <v>1.509090909090909</v>
      </c>
      <c r="G32" s="13">
        <v>1.7363636363636363</v>
      </c>
      <c r="H32" s="13">
        <v>1.3363636363636364</v>
      </c>
      <c r="I32" s="14">
        <f>D32/C32-1</f>
        <v>-0.23880597014925486</v>
      </c>
      <c r="J32" s="14">
        <f>E32/D32-1</f>
        <v>0.55882352941176494</v>
      </c>
      <c r="K32" s="14">
        <f t="shared" si="2"/>
        <v>4.4025157232704393E-2</v>
      </c>
      <c r="L32" s="14">
        <f t="shared" si="2"/>
        <v>0.15060240963855431</v>
      </c>
      <c r="M32" s="14">
        <f t="shared" si="2"/>
        <v>-0.23036649214659677</v>
      </c>
    </row>
    <row r="33" spans="2:13" ht="15" customHeight="1" x14ac:dyDescent="0.2">
      <c r="B33" s="313" t="s">
        <v>243</v>
      </c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</row>
    <row r="34" spans="2:13" ht="27" customHeight="1" x14ac:dyDescent="0.2"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2:13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</row>
    <row r="152" spans="4:5" ht="13.5" thickBot="1" x14ac:dyDescent="0.25"/>
    <row r="153" spans="4:5" x14ac:dyDescent="0.2">
      <c r="D153" s="155" t="e">
        <f>#REF!</f>
        <v>#REF!</v>
      </c>
      <c r="E153" s="157" t="e">
        <f>#REF!</f>
        <v>#REF!</v>
      </c>
    </row>
  </sheetData>
  <mergeCells count="5">
    <mergeCell ref="B3:M3"/>
    <mergeCell ref="B12:M12"/>
    <mergeCell ref="N13:N14"/>
    <mergeCell ref="B15:M15"/>
    <mergeCell ref="B33:M33"/>
  </mergeCells>
  <hyperlinks>
    <hyperlink ref="N13:N14" location="'gráfica tipo alojamien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9:Q153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0" max="10" width="6.28515625" customWidth="1"/>
  </cols>
  <sheetData>
    <row r="19" spans="10:17" x14ac:dyDescent="0.2">
      <c r="Q19" t="s">
        <v>178</v>
      </c>
    </row>
    <row r="30" spans="10:17" x14ac:dyDescent="0.2">
      <c r="J30" s="15"/>
      <c r="K30" s="15"/>
      <c r="L30" s="15"/>
      <c r="M30" s="15"/>
    </row>
    <row r="31" spans="10:17" ht="15.75" customHeight="1" x14ac:dyDescent="0.2">
      <c r="J31" s="15"/>
      <c r="K31" s="15"/>
      <c r="L31" s="15"/>
      <c r="M31" s="15"/>
    </row>
    <row r="32" spans="10:17" x14ac:dyDescent="0.2">
      <c r="J32" s="15"/>
      <c r="K32" s="15"/>
      <c r="L32" s="15"/>
      <c r="M32" s="15"/>
    </row>
    <row r="33" spans="10:13" x14ac:dyDescent="0.2">
      <c r="J33" s="15"/>
      <c r="K33" s="296" t="s">
        <v>76</v>
      </c>
      <c r="L33" s="15"/>
      <c r="M33" s="15"/>
    </row>
    <row r="34" spans="10:13" x14ac:dyDescent="0.2">
      <c r="J34" s="15"/>
      <c r="K34" s="296"/>
      <c r="L34" s="15"/>
      <c r="M34" s="15"/>
    </row>
    <row r="35" spans="10:13" x14ac:dyDescent="0.2">
      <c r="J35" s="15"/>
      <c r="K35" s="15"/>
      <c r="L35" s="15"/>
      <c r="M35" s="15"/>
    </row>
    <row r="36" spans="10:13" x14ac:dyDescent="0.2">
      <c r="J36" s="15"/>
      <c r="K36" s="15"/>
      <c r="L36" s="15"/>
      <c r="M36" s="15"/>
    </row>
    <row r="37" spans="10:13" x14ac:dyDescent="0.2">
      <c r="J37" s="15"/>
      <c r="K37" s="15"/>
      <c r="L37" s="15"/>
      <c r="M37" s="15"/>
    </row>
    <row r="38" spans="10:13" x14ac:dyDescent="0.2">
      <c r="J38" s="15"/>
      <c r="K38" s="15"/>
      <c r="L38" s="15"/>
      <c r="M38" s="15"/>
    </row>
    <row r="153" spans="4:5" x14ac:dyDescent="0.2">
      <c r="D153" s="176" t="e">
        <f>#REF!</f>
        <v>#REF!</v>
      </c>
      <c r="E153" s="177" t="e">
        <f>#REF!</f>
        <v>#REF!</v>
      </c>
    </row>
  </sheetData>
  <mergeCells count="1">
    <mergeCell ref="K33:K34"/>
  </mergeCells>
  <hyperlinks>
    <hyperlink ref="K33:K34" location="'Tipo de alojamiento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N153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3" max="3" width="15.85546875" customWidth="1"/>
    <col min="4" max="9" width="8.7109375" customWidth="1"/>
    <col min="10" max="13" width="8.7109375" hidden="1" customWidth="1"/>
    <col min="14" max="14" width="8.7109375" customWidth="1"/>
    <col min="15" max="15" width="12.28515625" bestFit="1" customWidth="1"/>
    <col min="16" max="16" width="13.28515625" customWidth="1"/>
    <col min="17" max="17" width="14.85546875" customWidth="1"/>
    <col min="18" max="18" width="17.140625" bestFit="1" customWidth="1"/>
    <col min="19" max="19" width="11.42578125" customWidth="1"/>
  </cols>
  <sheetData>
    <row r="2" spans="3:14" ht="32.25" customHeight="1" x14ac:dyDescent="0.2"/>
    <row r="3" spans="3:14" ht="36" customHeight="1" x14ac:dyDescent="0.2">
      <c r="C3" s="308" t="s">
        <v>259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3:14" ht="44.25" customHeight="1" x14ac:dyDescent="0.2">
      <c r="C4" s="1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2" t="s">
        <v>260</v>
      </c>
      <c r="K4" s="142" t="s">
        <v>261</v>
      </c>
      <c r="L4" s="142" t="s">
        <v>262</v>
      </c>
      <c r="M4" s="142" t="s">
        <v>263</v>
      </c>
      <c r="N4" s="142" t="s">
        <v>264</v>
      </c>
    </row>
    <row r="5" spans="3:14" ht="15" customHeight="1" x14ac:dyDescent="0.2">
      <c r="C5" s="150" t="s">
        <v>100</v>
      </c>
      <c r="D5" s="144">
        <v>12.222972972973</v>
      </c>
      <c r="E5" s="144">
        <v>12.29245283018868</v>
      </c>
      <c r="F5" s="144">
        <v>12.730769230769228</v>
      </c>
      <c r="G5" s="144">
        <v>12.011049723756901</v>
      </c>
      <c r="H5" s="144">
        <v>12.660079051383395</v>
      </c>
      <c r="I5" s="144">
        <v>12.836257309941523</v>
      </c>
      <c r="J5" s="178">
        <f t="shared" ref="J5:N20" si="0">E5-D5</f>
        <v>6.9479857215679175E-2</v>
      </c>
      <c r="K5" s="178">
        <f t="shared" si="0"/>
        <v>0.43831640058054866</v>
      </c>
      <c r="L5" s="178">
        <f t="shared" si="0"/>
        <v>-0.71971950701232679</v>
      </c>
      <c r="M5" s="178">
        <f t="shared" si="0"/>
        <v>0.64902932762649357</v>
      </c>
      <c r="N5" s="178">
        <f t="shared" si="0"/>
        <v>0.17617825855812796</v>
      </c>
    </row>
    <row r="6" spans="3:14" ht="15" customHeight="1" x14ac:dyDescent="0.2">
      <c r="C6" s="150" t="s">
        <v>89</v>
      </c>
      <c r="D6" s="144">
        <v>12.4801734820322</v>
      </c>
      <c r="E6" s="144">
        <v>11.987508674531574</v>
      </c>
      <c r="F6" s="144">
        <v>12.729985443959256</v>
      </c>
      <c r="G6" s="144">
        <v>12.22560113154174</v>
      </c>
      <c r="H6" s="144">
        <v>11.65563380281691</v>
      </c>
      <c r="I6" s="144">
        <v>11.756373937677058</v>
      </c>
      <c r="J6" s="178">
        <f t="shared" si="0"/>
        <v>-0.49266480750062591</v>
      </c>
      <c r="K6" s="178">
        <f t="shared" si="0"/>
        <v>0.74247676942768237</v>
      </c>
      <c r="L6" s="178">
        <f t="shared" si="0"/>
        <v>-0.5043843124175158</v>
      </c>
      <c r="M6" s="178">
        <f t="shared" si="0"/>
        <v>-0.56996732872483058</v>
      </c>
      <c r="N6" s="178">
        <f t="shared" si="0"/>
        <v>0.10074013486014799</v>
      </c>
    </row>
    <row r="7" spans="3:14" ht="15" customHeight="1" x14ac:dyDescent="0.2">
      <c r="C7" s="150" t="s">
        <v>88</v>
      </c>
      <c r="D7" s="144">
        <v>10.6407407407407</v>
      </c>
      <c r="E7" s="144">
        <v>11.213709677419347</v>
      </c>
      <c r="F7" s="144">
        <v>10.334384858044166</v>
      </c>
      <c r="G7" s="144">
        <v>10.79559748427673</v>
      </c>
      <c r="H7" s="144">
        <v>10.099378881987576</v>
      </c>
      <c r="I7" s="144">
        <v>10.43108504398827</v>
      </c>
      <c r="J7" s="178">
        <f t="shared" si="0"/>
        <v>0.57296893667864701</v>
      </c>
      <c r="K7" s="178">
        <f t="shared" si="0"/>
        <v>-0.87932481937518148</v>
      </c>
      <c r="L7" s="178">
        <f t="shared" si="0"/>
        <v>0.4612126262325642</v>
      </c>
      <c r="M7" s="178">
        <f t="shared" si="0"/>
        <v>-0.69621860228915367</v>
      </c>
      <c r="N7" s="178">
        <f t="shared" si="0"/>
        <v>0.33170616200069425</v>
      </c>
    </row>
    <row r="8" spans="3:14" ht="15" customHeight="1" x14ac:dyDescent="0.2">
      <c r="C8" s="150" t="s">
        <v>95</v>
      </c>
      <c r="D8" s="144">
        <v>11.108843537415</v>
      </c>
      <c r="E8" s="144">
        <v>9.3632286995515663</v>
      </c>
      <c r="F8" s="144">
        <v>12.916666666666664</v>
      </c>
      <c r="G8" s="144">
        <v>10.214876033057855</v>
      </c>
      <c r="H8" s="144">
        <v>10.650349650349652</v>
      </c>
      <c r="I8" s="144">
        <v>10.311203319502068</v>
      </c>
      <c r="J8" s="178">
        <f t="shared" si="0"/>
        <v>-1.7456148378634335</v>
      </c>
      <c r="K8" s="178">
        <f t="shared" si="0"/>
        <v>3.553437967115098</v>
      </c>
      <c r="L8" s="178">
        <f t="shared" si="0"/>
        <v>-2.7017906336088089</v>
      </c>
      <c r="M8" s="178">
        <f t="shared" si="0"/>
        <v>0.43547361729179634</v>
      </c>
      <c r="N8" s="178">
        <f t="shared" si="0"/>
        <v>-0.3391463308475835</v>
      </c>
    </row>
    <row r="9" spans="3:14" ht="15" customHeight="1" x14ac:dyDescent="0.2">
      <c r="C9" s="162" t="s">
        <v>93</v>
      </c>
      <c r="D9" s="118">
        <v>12.25</v>
      </c>
      <c r="E9" s="118">
        <v>10.357142857142859</v>
      </c>
      <c r="F9" s="118">
        <v>10.3525641025641</v>
      </c>
      <c r="G9" s="118">
        <v>11.253164556962023</v>
      </c>
      <c r="H9" s="118">
        <v>10.21857923497268</v>
      </c>
      <c r="I9" s="118">
        <v>9.7883597883597808</v>
      </c>
      <c r="J9" s="178">
        <f t="shared" si="0"/>
        <v>-1.8928571428571406</v>
      </c>
      <c r="K9" s="178">
        <f t="shared" si="0"/>
        <v>-4.5787545787590034E-3</v>
      </c>
      <c r="L9" s="178">
        <f t="shared" si="0"/>
        <v>0.90060045439792269</v>
      </c>
      <c r="M9" s="178">
        <f t="shared" si="0"/>
        <v>-1.0345853219893435</v>
      </c>
      <c r="N9" s="178">
        <f t="shared" si="0"/>
        <v>-0.43021944661289879</v>
      </c>
    </row>
    <row r="10" spans="3:14" ht="15" customHeight="1" x14ac:dyDescent="0.2">
      <c r="C10" s="154" t="s">
        <v>86</v>
      </c>
      <c r="D10" s="144">
        <v>9.2694300518134707</v>
      </c>
      <c r="E10" s="144">
        <v>9.9530685920577628</v>
      </c>
      <c r="F10" s="144">
        <v>10.963525835866257</v>
      </c>
      <c r="G10" s="144">
        <v>11.863468634686358</v>
      </c>
      <c r="H10" s="144">
        <v>8.5210843373494036</v>
      </c>
      <c r="I10" s="144">
        <v>9.7296296296296294</v>
      </c>
      <c r="J10" s="178">
        <f t="shared" si="0"/>
        <v>0.68363854024429216</v>
      </c>
      <c r="K10" s="178">
        <f t="shared" si="0"/>
        <v>1.010457243808494</v>
      </c>
      <c r="L10" s="178">
        <f t="shared" si="0"/>
        <v>0.89994279882010098</v>
      </c>
      <c r="M10" s="178">
        <f t="shared" si="0"/>
        <v>-3.3423842973369542</v>
      </c>
      <c r="N10" s="178">
        <f t="shared" si="0"/>
        <v>1.2085452922802258</v>
      </c>
    </row>
    <row r="11" spans="3:14" ht="15" customHeight="1" x14ac:dyDescent="0.2">
      <c r="C11" s="150" t="s">
        <v>87</v>
      </c>
      <c r="D11" s="144">
        <v>9.6851591760299698</v>
      </c>
      <c r="E11" s="144">
        <v>9.6778264228689164</v>
      </c>
      <c r="F11" s="144">
        <v>9.916947832857522</v>
      </c>
      <c r="G11" s="144">
        <v>10.005880848887726</v>
      </c>
      <c r="H11" s="144">
        <v>9.6732897384305421</v>
      </c>
      <c r="I11" s="144">
        <v>9.6347781482431589</v>
      </c>
      <c r="J11" s="178">
        <f t="shared" si="0"/>
        <v>-7.332753161053418E-3</v>
      </c>
      <c r="K11" s="178">
        <f t="shared" si="0"/>
        <v>0.23912140998860565</v>
      </c>
      <c r="L11" s="178">
        <f t="shared" si="0"/>
        <v>8.893301603020376E-2</v>
      </c>
      <c r="M11" s="178">
        <f t="shared" si="0"/>
        <v>-0.3325911104571837</v>
      </c>
      <c r="N11" s="178">
        <f t="shared" si="0"/>
        <v>-3.8511590187383149E-2</v>
      </c>
    </row>
    <row r="12" spans="3:14" ht="15" customHeight="1" x14ac:dyDescent="0.2">
      <c r="C12" s="150" t="s">
        <v>91</v>
      </c>
      <c r="D12" s="144">
        <v>9.8372093023255793</v>
      </c>
      <c r="E12" s="144">
        <v>10.193905817174523</v>
      </c>
      <c r="F12" s="144">
        <v>10.179894179894184</v>
      </c>
      <c r="G12" s="144">
        <v>9.9603174603174587</v>
      </c>
      <c r="H12" s="144">
        <v>9.6693989071038366</v>
      </c>
      <c r="I12" s="144">
        <v>9.5430107526881685</v>
      </c>
      <c r="J12" s="178">
        <f t="shared" si="0"/>
        <v>0.35669651484894338</v>
      </c>
      <c r="K12" s="178">
        <f t="shared" si="0"/>
        <v>-1.4011637280338718E-2</v>
      </c>
      <c r="L12" s="178">
        <f t="shared" si="0"/>
        <v>-0.21957671957672531</v>
      </c>
      <c r="M12" s="178">
        <f t="shared" si="0"/>
        <v>-0.29091855321362203</v>
      </c>
      <c r="N12" s="178">
        <f t="shared" si="0"/>
        <v>-0.1263881544156682</v>
      </c>
    </row>
    <row r="13" spans="3:14" ht="15" customHeight="1" x14ac:dyDescent="0.2">
      <c r="C13" s="152" t="s">
        <v>90</v>
      </c>
      <c r="D13" s="104">
        <v>9.5459090909091202</v>
      </c>
      <c r="E13" s="104">
        <v>9.4019999999999264</v>
      </c>
      <c r="F13" s="104">
        <v>9.6280909090909255</v>
      </c>
      <c r="G13" s="104">
        <v>9.6505454545454583</v>
      </c>
      <c r="H13" s="104">
        <v>9.4033636363636877</v>
      </c>
      <c r="I13" s="104">
        <v>9.4065454545454159</v>
      </c>
      <c r="J13" s="104">
        <f t="shared" si="0"/>
        <v>-0.14390909090919379</v>
      </c>
      <c r="K13" s="104">
        <f t="shared" si="0"/>
        <v>0.22609090909099905</v>
      </c>
      <c r="L13" s="104">
        <f t="shared" si="0"/>
        <v>2.2454545454532848E-2</v>
      </c>
      <c r="M13" s="104">
        <f t="shared" si="0"/>
        <v>-0.24718181818177065</v>
      </c>
      <c r="N13" s="104">
        <f t="shared" si="0"/>
        <v>3.1818181817282465E-3</v>
      </c>
    </row>
    <row r="14" spans="3:14" ht="15" customHeight="1" x14ac:dyDescent="0.2">
      <c r="C14" s="153" t="s">
        <v>83</v>
      </c>
      <c r="D14" s="118">
        <v>10.237500000000001</v>
      </c>
      <c r="E14" s="118">
        <v>11.876651982378855</v>
      </c>
      <c r="F14" s="118">
        <v>12.210280373831774</v>
      </c>
      <c r="G14" s="118">
        <v>10.255681818181817</v>
      </c>
      <c r="H14" s="118">
        <v>9.3205128205128247</v>
      </c>
      <c r="I14" s="118">
        <v>9.3278008298755211</v>
      </c>
      <c r="J14" s="178">
        <f t="shared" si="0"/>
        <v>1.6391519823788538</v>
      </c>
      <c r="K14" s="178">
        <f t="shared" si="0"/>
        <v>0.333628391452919</v>
      </c>
      <c r="L14" s="178">
        <f t="shared" si="0"/>
        <v>-1.954598555649957</v>
      </c>
      <c r="M14" s="178">
        <f t="shared" si="0"/>
        <v>-0.93516899766899186</v>
      </c>
      <c r="N14" s="178">
        <f t="shared" si="0"/>
        <v>7.2880093626963571E-3</v>
      </c>
    </row>
    <row r="15" spans="3:14" ht="15" customHeight="1" x14ac:dyDescent="0.2">
      <c r="C15" s="150" t="s">
        <v>84</v>
      </c>
      <c r="D15" s="144">
        <v>8.9155844155844104</v>
      </c>
      <c r="E15" s="144">
        <v>9.8515205724508128</v>
      </c>
      <c r="F15" s="144">
        <v>10.528061224489806</v>
      </c>
      <c r="G15" s="144">
        <v>10.528712871287135</v>
      </c>
      <c r="H15" s="144">
        <v>8.7120555073720745</v>
      </c>
      <c r="I15" s="144">
        <v>9.1769834350479425</v>
      </c>
      <c r="J15" s="178">
        <f t="shared" si="0"/>
        <v>0.93593615686640241</v>
      </c>
      <c r="K15" s="178">
        <f t="shared" si="0"/>
        <v>0.67654065203899272</v>
      </c>
      <c r="L15" s="178">
        <f t="shared" si="0"/>
        <v>6.5164679732987452E-4</v>
      </c>
      <c r="M15" s="178">
        <f t="shared" si="0"/>
        <v>-1.8166573639150609</v>
      </c>
      <c r="N15" s="178">
        <f t="shared" si="0"/>
        <v>0.46492792767586799</v>
      </c>
    </row>
    <row r="16" spans="3:14" ht="15" customHeight="1" x14ac:dyDescent="0.2">
      <c r="C16" s="162" t="s">
        <v>92</v>
      </c>
      <c r="D16" s="118">
        <v>9.5425101214574894</v>
      </c>
      <c r="E16" s="118">
        <v>9.5263157894736814</v>
      </c>
      <c r="F16" s="118">
        <v>10.827450980392157</v>
      </c>
      <c r="G16" s="118">
        <v>9.4440789473684159</v>
      </c>
      <c r="H16" s="118">
        <v>9.6267029972752187</v>
      </c>
      <c r="I16" s="118">
        <v>9.1479452054794539</v>
      </c>
      <c r="J16" s="178">
        <f t="shared" si="0"/>
        <v>-1.6194331983808041E-2</v>
      </c>
      <c r="K16" s="178">
        <f t="shared" si="0"/>
        <v>1.3011351909184761</v>
      </c>
      <c r="L16" s="178">
        <f t="shared" si="0"/>
        <v>-1.3833720330237416</v>
      </c>
      <c r="M16" s="178">
        <f t="shared" si="0"/>
        <v>0.18262404990680281</v>
      </c>
      <c r="N16" s="178">
        <f t="shared" si="0"/>
        <v>-0.47875779179576483</v>
      </c>
    </row>
    <row r="17" spans="3:14" ht="15" customHeight="1" x14ac:dyDescent="0.2">
      <c r="C17" s="154" t="s">
        <v>82</v>
      </c>
      <c r="D17" s="144">
        <v>8.4362416107382607</v>
      </c>
      <c r="E17" s="144">
        <v>9.1702127659574408</v>
      </c>
      <c r="F17" s="144">
        <v>10.627906976744182</v>
      </c>
      <c r="G17" s="144">
        <v>10.371757925072048</v>
      </c>
      <c r="H17" s="144">
        <v>8.8220338983050901</v>
      </c>
      <c r="I17" s="144">
        <v>9.1292682926829176</v>
      </c>
      <c r="J17" s="179">
        <f t="shared" si="0"/>
        <v>0.7339711552191801</v>
      </c>
      <c r="K17" s="179">
        <f t="shared" si="0"/>
        <v>1.457694210786741</v>
      </c>
      <c r="L17" s="179">
        <f t="shared" si="0"/>
        <v>-0.25614905167213387</v>
      </c>
      <c r="M17" s="179">
        <f t="shared" si="0"/>
        <v>-1.5497240267669579</v>
      </c>
      <c r="N17" s="179">
        <f t="shared" si="0"/>
        <v>0.30723439437782751</v>
      </c>
    </row>
    <row r="18" spans="3:14" ht="15" customHeight="1" x14ac:dyDescent="0.2">
      <c r="C18" s="150" t="s">
        <v>224</v>
      </c>
      <c r="D18" s="144">
        <v>9.1081081081081106</v>
      </c>
      <c r="E18" s="144">
        <v>8.8877005347593538</v>
      </c>
      <c r="F18" s="144">
        <v>7.8387096774193505</v>
      </c>
      <c r="G18" s="144">
        <v>10.30813953488372</v>
      </c>
      <c r="H18" s="144">
        <v>8.7237569060773499</v>
      </c>
      <c r="I18" s="144">
        <v>8.9221556886227535</v>
      </c>
      <c r="J18" s="178">
        <f t="shared" si="0"/>
        <v>-0.22040757334875671</v>
      </c>
      <c r="K18" s="178">
        <f t="shared" si="0"/>
        <v>-1.0489908573400033</v>
      </c>
      <c r="L18" s="178">
        <f t="shared" si="0"/>
        <v>2.4694298574643696</v>
      </c>
      <c r="M18" s="178">
        <f t="shared" si="0"/>
        <v>-1.5843826288063703</v>
      </c>
      <c r="N18" s="178">
        <f t="shared" si="0"/>
        <v>0.19839878254540366</v>
      </c>
    </row>
    <row r="19" spans="3:14" ht="15" customHeight="1" x14ac:dyDescent="0.2">
      <c r="C19" s="150" t="s">
        <v>170</v>
      </c>
      <c r="D19" s="144">
        <v>8.9225589225589204</v>
      </c>
      <c r="E19" s="144">
        <v>9.7369668246445471</v>
      </c>
      <c r="F19" s="144">
        <v>8.762917933130705</v>
      </c>
      <c r="G19" s="144">
        <v>9.2868852459016367</v>
      </c>
      <c r="H19" s="144">
        <v>9.143507972665164</v>
      </c>
      <c r="I19" s="144">
        <v>8.8045540796963913</v>
      </c>
      <c r="J19" s="178">
        <f t="shared" si="0"/>
        <v>0.81440790208562674</v>
      </c>
      <c r="K19" s="178">
        <f t="shared" si="0"/>
        <v>-0.97404889151384211</v>
      </c>
      <c r="L19" s="178">
        <f t="shared" si="0"/>
        <v>0.52396731277093167</v>
      </c>
      <c r="M19" s="178">
        <f t="shared" si="0"/>
        <v>-0.14337727323647265</v>
      </c>
      <c r="N19" s="178">
        <f t="shared" si="0"/>
        <v>-0.33895389296877276</v>
      </c>
    </row>
    <row r="20" spans="3:14" ht="15" customHeight="1" x14ac:dyDescent="0.2">
      <c r="C20" s="154" t="s">
        <v>85</v>
      </c>
      <c r="D20" s="144">
        <v>8.4139194139194107</v>
      </c>
      <c r="E20" s="144">
        <v>8.92631578947368</v>
      </c>
      <c r="F20" s="144">
        <v>8.6678200692041596</v>
      </c>
      <c r="G20" s="144">
        <v>9.3287037037037024</v>
      </c>
      <c r="H20" s="144">
        <v>8.2060085836909913</v>
      </c>
      <c r="I20" s="144">
        <v>8.4424778761061887</v>
      </c>
      <c r="J20" s="179">
        <f t="shared" si="0"/>
        <v>0.51239637555426931</v>
      </c>
      <c r="K20" s="179">
        <f t="shared" si="0"/>
        <v>-0.25849572026952039</v>
      </c>
      <c r="L20" s="179">
        <f t="shared" si="0"/>
        <v>0.66088363449954279</v>
      </c>
      <c r="M20" s="179">
        <f t="shared" si="0"/>
        <v>-1.1226951200127111</v>
      </c>
      <c r="N20" s="179">
        <f t="shared" si="0"/>
        <v>0.23646929241519743</v>
      </c>
    </row>
    <row r="21" spans="3:14" ht="15" customHeight="1" x14ac:dyDescent="0.2">
      <c r="C21" s="154" t="s">
        <v>96</v>
      </c>
      <c r="D21" s="144" t="s">
        <v>98</v>
      </c>
      <c r="E21" s="144">
        <v>6.8946466809421914</v>
      </c>
      <c r="F21" s="144">
        <v>6.7626491155902819</v>
      </c>
      <c r="G21" s="144">
        <v>7.0329625051503895</v>
      </c>
      <c r="H21" s="144">
        <v>7.1735579377233369</v>
      </c>
      <c r="I21" s="144">
        <v>6.8839378238342004</v>
      </c>
      <c r="J21" s="178" t="s">
        <v>98</v>
      </c>
      <c r="K21" s="178">
        <f t="shared" ref="K21:N23" si="1">F21-E21</f>
        <v>-0.13199756535190943</v>
      </c>
      <c r="L21" s="178">
        <f t="shared" si="1"/>
        <v>0.27031338956010753</v>
      </c>
      <c r="M21" s="178">
        <f t="shared" si="1"/>
        <v>0.14059543257294749</v>
      </c>
      <c r="N21" s="178">
        <f t="shared" si="1"/>
        <v>-0.28962011388913655</v>
      </c>
    </row>
    <row r="22" spans="3:14" ht="15" customHeight="1" x14ac:dyDescent="0.2">
      <c r="C22" s="150" t="s">
        <v>99</v>
      </c>
      <c r="D22" s="144">
        <v>6.8464566929133897</v>
      </c>
      <c r="E22" s="144">
        <v>6.6617412140575079</v>
      </c>
      <c r="F22" s="144">
        <v>6.5333076626877169</v>
      </c>
      <c r="G22" s="144">
        <v>6.8487824037706213</v>
      </c>
      <c r="H22" s="144">
        <v>6.983446932814025</v>
      </c>
      <c r="I22" s="144">
        <v>6.7462462462462591</v>
      </c>
      <c r="J22" s="178">
        <f>E22-D22</f>
        <v>-0.1847154788558818</v>
      </c>
      <c r="K22" s="178">
        <f t="shared" si="1"/>
        <v>-0.12843355136979095</v>
      </c>
      <c r="L22" s="178">
        <f t="shared" si="1"/>
        <v>0.31547474108290441</v>
      </c>
      <c r="M22" s="178">
        <f t="shared" si="1"/>
        <v>0.13466452904340365</v>
      </c>
      <c r="N22" s="178">
        <f t="shared" si="1"/>
        <v>-0.23720068656776583</v>
      </c>
    </row>
    <row r="23" spans="3:14" ht="15" customHeight="1" x14ac:dyDescent="0.2">
      <c r="C23" s="154" t="s">
        <v>101</v>
      </c>
      <c r="D23" s="144" t="s">
        <v>98</v>
      </c>
      <c r="E23" s="144">
        <v>3.4437869822485192</v>
      </c>
      <c r="F23" s="144">
        <v>3.174698795180722</v>
      </c>
      <c r="G23" s="144">
        <v>3.0924369747899161</v>
      </c>
      <c r="H23" s="144">
        <v>3.0631578947368419</v>
      </c>
      <c r="I23" s="144">
        <v>2.8382352941176485</v>
      </c>
      <c r="J23" s="178" t="s">
        <v>98</v>
      </c>
      <c r="K23" s="178">
        <f t="shared" si="1"/>
        <v>-0.26908818706779725</v>
      </c>
      <c r="L23" s="178">
        <f t="shared" si="1"/>
        <v>-8.2261820390805873E-2</v>
      </c>
      <c r="M23" s="178">
        <f t="shared" si="1"/>
        <v>-2.9279080053074225E-2</v>
      </c>
      <c r="N23" s="178">
        <f t="shared" si="1"/>
        <v>-0.22492260061919334</v>
      </c>
    </row>
    <row r="24" spans="3:14" ht="15" customHeight="1" x14ac:dyDescent="0.2">
      <c r="C24" s="297" t="s">
        <v>215</v>
      </c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</row>
    <row r="25" spans="3:14" x14ac:dyDescent="0.2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3:14" x14ac:dyDescent="0.2">
      <c r="C26" s="15"/>
      <c r="D26" s="15"/>
      <c r="E26" s="15"/>
      <c r="F26" s="15"/>
      <c r="G26" s="15"/>
      <c r="H26" s="15"/>
      <c r="I26" s="15"/>
      <c r="J26" s="15"/>
      <c r="L26" s="15"/>
      <c r="M26" s="15"/>
      <c r="N26" s="15"/>
    </row>
    <row r="27" spans="3:14" x14ac:dyDescent="0.2">
      <c r="C27" s="15"/>
      <c r="D27" s="15"/>
      <c r="E27" s="15"/>
      <c r="F27" s="15"/>
      <c r="G27" s="15"/>
      <c r="H27" s="15"/>
      <c r="I27" s="296" t="s">
        <v>102</v>
      </c>
      <c r="J27" s="15"/>
      <c r="L27" s="15"/>
      <c r="M27" s="15"/>
      <c r="N27" s="15"/>
    </row>
    <row r="28" spans="3:14" x14ac:dyDescent="0.2">
      <c r="C28" s="15"/>
      <c r="D28" s="15"/>
      <c r="E28" s="15"/>
      <c r="F28" s="15"/>
      <c r="G28" s="15"/>
      <c r="H28" s="15"/>
      <c r="I28" s="296"/>
      <c r="J28" s="15"/>
      <c r="L28" s="15"/>
      <c r="M28" s="15"/>
      <c r="N28" s="15"/>
    </row>
    <row r="29" spans="3:14" x14ac:dyDescent="0.2">
      <c r="C29" s="15"/>
      <c r="D29" s="15"/>
      <c r="E29" s="15"/>
      <c r="F29" s="15"/>
      <c r="G29" s="15"/>
      <c r="H29" s="15"/>
      <c r="I29" s="15"/>
      <c r="J29" s="15"/>
      <c r="L29" s="15"/>
      <c r="M29" s="15"/>
      <c r="N29" s="15"/>
    </row>
    <row r="30" spans="3:14" x14ac:dyDescent="0.2">
      <c r="C30" s="15"/>
      <c r="D30" s="15"/>
      <c r="E30" s="15"/>
      <c r="F30" s="15"/>
      <c r="G30" s="15"/>
      <c r="H30" s="15"/>
      <c r="I30" s="15"/>
      <c r="J30" s="15"/>
      <c r="L30" s="15"/>
      <c r="M30" s="15"/>
      <c r="N30" s="15"/>
    </row>
    <row r="31" spans="3:14" x14ac:dyDescent="0.2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3:14" x14ac:dyDescent="0.2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3:14" x14ac:dyDescent="0.2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3:14" x14ac:dyDescent="0.2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153" spans="4:5" x14ac:dyDescent="0.2">
      <c r="D153" s="180" t="e">
        <f>#REF!</f>
        <v>#REF!</v>
      </c>
      <c r="E153" s="181" t="e">
        <f>#REF!</f>
        <v>#REF!</v>
      </c>
    </row>
  </sheetData>
  <mergeCells count="3">
    <mergeCell ref="C3:N3"/>
    <mergeCell ref="C24:N24"/>
    <mergeCell ref="I27:I28"/>
  </mergeCells>
  <hyperlinks>
    <hyperlink ref="I27:I28" location="'GRAFICA estancia medi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5:M153"/>
  <sheetViews>
    <sheetView showGridLines="0" topLeftCell="B1" zoomScaleNormal="100" workbookViewId="0">
      <selection activeCell="L59" sqref="L59"/>
    </sheetView>
  </sheetViews>
  <sheetFormatPr baseColWidth="10" defaultRowHeight="12.75" x14ac:dyDescent="0.2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 x14ac:dyDescent="0.2">
      <c r="J35" s="15"/>
      <c r="K35" s="15"/>
      <c r="L35" s="15"/>
      <c r="M35" s="15"/>
    </row>
    <row r="36" spans="10:13" x14ac:dyDescent="0.2">
      <c r="J36" s="15"/>
      <c r="K36" s="15"/>
      <c r="L36" s="15"/>
      <c r="M36" s="15"/>
    </row>
    <row r="37" spans="10:13" x14ac:dyDescent="0.2">
      <c r="J37" s="15"/>
      <c r="K37" s="15"/>
      <c r="L37" s="15"/>
      <c r="M37" s="15"/>
    </row>
    <row r="38" spans="10:13" x14ac:dyDescent="0.2">
      <c r="J38" s="15"/>
      <c r="K38" s="15"/>
      <c r="L38" s="296" t="s">
        <v>76</v>
      </c>
      <c r="M38" s="15"/>
    </row>
    <row r="39" spans="10:13" x14ac:dyDescent="0.2">
      <c r="J39" s="15"/>
      <c r="K39" s="15"/>
      <c r="L39" s="296"/>
      <c r="M39" s="15"/>
    </row>
    <row r="40" spans="10:13" x14ac:dyDescent="0.2">
      <c r="J40" s="15"/>
      <c r="K40" s="15"/>
      <c r="L40" s="15"/>
      <c r="M40" s="15"/>
    </row>
    <row r="41" spans="10:13" x14ac:dyDescent="0.2">
      <c r="J41" s="15"/>
      <c r="K41" s="15"/>
      <c r="L41" s="15"/>
      <c r="M41" s="15"/>
    </row>
    <row r="152" spans="4:5" ht="13.5" thickBot="1" x14ac:dyDescent="0.25"/>
    <row r="153" spans="4:5" x14ac:dyDescent="0.2">
      <c r="D153" s="182" t="e">
        <f>#REF!</f>
        <v>#REF!</v>
      </c>
      <c r="E153" s="157" t="e">
        <f>#REF!</f>
        <v>#REF!</v>
      </c>
    </row>
  </sheetData>
  <mergeCells count="1">
    <mergeCell ref="L38:L39"/>
  </mergeCells>
  <hyperlinks>
    <hyperlink ref="L38:L39" location="'estancia medi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N16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3" max="3" width="18.7109375" customWidth="1"/>
    <col min="4" max="9" width="7.7109375" customWidth="1"/>
    <col min="10" max="13" width="7.7109375" hidden="1" customWidth="1"/>
    <col min="14" max="14" width="7.7109375" customWidth="1"/>
  </cols>
  <sheetData>
    <row r="5" spans="3:14" ht="36" customHeight="1" x14ac:dyDescent="0.2">
      <c r="C5" s="305" t="s">
        <v>265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</row>
    <row r="6" spans="3:14" ht="57" customHeight="1" x14ac:dyDescent="0.2">
      <c r="C6" s="183"/>
      <c r="D6" s="10">
        <v>2007</v>
      </c>
      <c r="E6" s="10">
        <v>2008</v>
      </c>
      <c r="F6" s="10">
        <v>2009</v>
      </c>
      <c r="G6" s="10">
        <v>2010</v>
      </c>
      <c r="H6" s="10">
        <v>2011</v>
      </c>
      <c r="I6" s="10">
        <v>2012</v>
      </c>
      <c r="J6" s="143" t="s">
        <v>58</v>
      </c>
      <c r="K6" s="143" t="s">
        <v>59</v>
      </c>
      <c r="L6" s="143" t="s">
        <v>60</v>
      </c>
      <c r="M6" s="143" t="s">
        <v>61</v>
      </c>
      <c r="N6" s="143" t="s">
        <v>62</v>
      </c>
    </row>
    <row r="7" spans="3:14" ht="15" customHeight="1" x14ac:dyDescent="0.2">
      <c r="C7" s="36" t="s">
        <v>266</v>
      </c>
      <c r="D7" s="90">
        <f t="shared" ref="D7:I7" si="0">SUM(D8,D10,D12)</f>
        <v>37.172727272727307</v>
      </c>
      <c r="E7" s="90">
        <f t="shared" si="0"/>
        <v>37.1</v>
      </c>
      <c r="F7" s="90">
        <f t="shared" si="0"/>
        <v>38.136363636363633</v>
      </c>
      <c r="G7" s="90">
        <f t="shared" si="0"/>
        <v>38.909090909090907</v>
      </c>
      <c r="H7" s="90">
        <f t="shared" si="0"/>
        <v>36.736363636363635</v>
      </c>
      <c r="I7" s="90">
        <f t="shared" si="0"/>
        <v>37.972727272727269</v>
      </c>
      <c r="J7" s="129">
        <f>E7/D7-1</f>
        <v>-1.9564685742243793E-3</v>
      </c>
      <c r="K7" s="129">
        <f t="shared" ref="K7:N8" si="1">F7/E7-1</f>
        <v>2.7934329821122095E-2</v>
      </c>
      <c r="L7" s="129">
        <f t="shared" si="1"/>
        <v>2.0262216924910703E-2</v>
      </c>
      <c r="M7" s="129">
        <f t="shared" si="1"/>
        <v>-5.5841121495327051E-2</v>
      </c>
      <c r="N7" s="129">
        <f>I7/H7-1</f>
        <v>3.3655035882207418E-2</v>
      </c>
    </row>
    <row r="8" spans="3:14" ht="15" customHeight="1" x14ac:dyDescent="0.2">
      <c r="C8" s="184" t="s">
        <v>267</v>
      </c>
      <c r="D8" s="185">
        <v>34.363636363636402</v>
      </c>
      <c r="E8" s="185">
        <v>34.200000000000003</v>
      </c>
      <c r="F8" s="185">
        <v>35.281818181818181</v>
      </c>
      <c r="G8" s="185">
        <v>36.209090909090911</v>
      </c>
      <c r="H8" s="185">
        <v>33.854545454545452</v>
      </c>
      <c r="I8" s="185">
        <v>35.445454545454545</v>
      </c>
      <c r="J8" s="186">
        <f>E8/D8-1</f>
        <v>-4.7619047619058552E-3</v>
      </c>
      <c r="K8" s="186">
        <f t="shared" si="1"/>
        <v>3.1632110579478789E-2</v>
      </c>
      <c r="L8" s="186">
        <f t="shared" si="1"/>
        <v>2.6281886111826802E-2</v>
      </c>
      <c r="M8" s="186">
        <f t="shared" si="1"/>
        <v>-6.5026362038664409E-2</v>
      </c>
      <c r="N8" s="186">
        <f t="shared" si="1"/>
        <v>4.6992481203007586E-2</v>
      </c>
    </row>
    <row r="9" spans="3:14" ht="15" customHeight="1" x14ac:dyDescent="0.2">
      <c r="C9" s="187" t="s">
        <v>268</v>
      </c>
      <c r="D9" s="88">
        <v>5.5276712328767204</v>
      </c>
      <c r="E9" s="88">
        <v>5.556684051605826</v>
      </c>
      <c r="F9" s="88">
        <v>5.8538106861947261</v>
      </c>
      <c r="G9" s="88">
        <v>5.8549374500931606</v>
      </c>
      <c r="H9" s="88">
        <v>6.0805216898213752</v>
      </c>
      <c r="I9" s="88">
        <v>6.2488962472406087</v>
      </c>
      <c r="J9" s="188">
        <f>E9-D9</f>
        <v>2.9012818729105661E-2</v>
      </c>
      <c r="K9" s="188">
        <f>F9-E9</f>
        <v>0.2971266345889001</v>
      </c>
      <c r="L9" s="188">
        <f>G9-F9</f>
        <v>1.1267638984344686E-3</v>
      </c>
      <c r="M9" s="188">
        <f>H9-G9</f>
        <v>0.22558423972821462</v>
      </c>
      <c r="N9" s="188">
        <f>I9-H9</f>
        <v>0.16837455741923346</v>
      </c>
    </row>
    <row r="10" spans="3:14" ht="15" customHeight="1" x14ac:dyDescent="0.2">
      <c r="C10" s="184" t="s">
        <v>269</v>
      </c>
      <c r="D10" s="185">
        <v>1.6454545454545499</v>
      </c>
      <c r="E10" s="185">
        <v>1.7636363636363637</v>
      </c>
      <c r="F10" s="185">
        <v>1.7454545454545454</v>
      </c>
      <c r="G10" s="185">
        <v>1.6181818181818182</v>
      </c>
      <c r="H10" s="185">
        <v>1.7363636363636363</v>
      </c>
      <c r="I10" s="185">
        <v>1.4090909090909092</v>
      </c>
      <c r="J10" s="186">
        <f>E10/D10-1</f>
        <v>7.1823204419886544E-2</v>
      </c>
      <c r="K10" s="186">
        <f t="shared" ref="J10:N15" si="2">F10/E10-1</f>
        <v>-1.0309278350515538E-2</v>
      </c>
      <c r="L10" s="186">
        <f t="shared" si="2"/>
        <v>-7.291666666666663E-2</v>
      </c>
      <c r="M10" s="186">
        <f t="shared" si="2"/>
        <v>7.3033707865168607E-2</v>
      </c>
      <c r="N10" s="186">
        <f t="shared" si="2"/>
        <v>-0.18848167539267013</v>
      </c>
    </row>
    <row r="11" spans="3:14" ht="15" customHeight="1" x14ac:dyDescent="0.2">
      <c r="C11" s="187" t="s">
        <v>270</v>
      </c>
      <c r="D11" s="88">
        <v>6.4909090909090903</v>
      </c>
      <c r="E11" s="88">
        <v>6.7865168539325804</v>
      </c>
      <c r="F11" s="88">
        <v>6.9939759036144569</v>
      </c>
      <c r="G11" s="88">
        <v>8.317880794701983</v>
      </c>
      <c r="H11" s="88">
        <v>7.2614379084967311</v>
      </c>
      <c r="I11" s="88">
        <v>7.5530303030303036</v>
      </c>
      <c r="J11" s="188">
        <f>E11-D11</f>
        <v>0.29560776302349012</v>
      </c>
      <c r="K11" s="188">
        <f>F11-E11</f>
        <v>0.20745904968187645</v>
      </c>
      <c r="L11" s="188">
        <f>G11-F11</f>
        <v>1.3239048910875262</v>
      </c>
      <c r="M11" s="188">
        <f>H11-G11</f>
        <v>-1.056442886205252</v>
      </c>
      <c r="N11" s="188">
        <f>I11-H11</f>
        <v>0.29159239453357255</v>
      </c>
    </row>
    <row r="12" spans="3:14" ht="15" customHeight="1" x14ac:dyDescent="0.2">
      <c r="C12" s="184" t="s">
        <v>271</v>
      </c>
      <c r="D12" s="185">
        <v>1.16363636363636</v>
      </c>
      <c r="E12" s="185">
        <v>1.1363636363636365</v>
      </c>
      <c r="F12" s="185">
        <v>1.1090909090909091</v>
      </c>
      <c r="G12" s="185">
        <v>1.0818181818181818</v>
      </c>
      <c r="H12" s="185">
        <v>1.1454545454545455</v>
      </c>
      <c r="I12" s="185">
        <v>1.1181818181818182</v>
      </c>
      <c r="J12" s="186">
        <f t="shared" si="2"/>
        <v>-2.3437499999996891E-2</v>
      </c>
      <c r="K12" s="186">
        <f t="shared" si="2"/>
        <v>-2.4000000000000021E-2</v>
      </c>
      <c r="L12" s="186">
        <f t="shared" si="2"/>
        <v>-2.4590163934426257E-2</v>
      </c>
      <c r="M12" s="186">
        <f t="shared" si="2"/>
        <v>5.8823529411764719E-2</v>
      </c>
      <c r="N12" s="186">
        <f t="shared" si="2"/>
        <v>-2.3809523809523836E-2</v>
      </c>
    </row>
    <row r="13" spans="3:14" ht="15" customHeight="1" x14ac:dyDescent="0.2">
      <c r="C13" s="187" t="s">
        <v>272</v>
      </c>
      <c r="D13" s="88">
        <v>18.117647058823501</v>
      </c>
      <c r="E13" s="88">
        <v>12.990384615384615</v>
      </c>
      <c r="F13" s="88">
        <v>13.919999999999996</v>
      </c>
      <c r="G13" s="88">
        <v>19.163265306122451</v>
      </c>
      <c r="H13" s="88">
        <v>15.638095238095241</v>
      </c>
      <c r="I13" s="88">
        <v>18.404040404040408</v>
      </c>
      <c r="J13" s="188">
        <f>E13-D13</f>
        <v>-5.1272624434388856</v>
      </c>
      <c r="K13" s="188">
        <f>F13-E13</f>
        <v>0.9296153846153814</v>
      </c>
      <c r="L13" s="188">
        <f>G13-F13</f>
        <v>5.2432653061224546</v>
      </c>
      <c r="M13" s="188">
        <f>H13-G13</f>
        <v>-3.5251700680272098</v>
      </c>
      <c r="N13" s="188">
        <f>I13-H13</f>
        <v>2.7659451659451673</v>
      </c>
    </row>
    <row r="14" spans="3:14" ht="15" customHeight="1" x14ac:dyDescent="0.2">
      <c r="C14" s="189" t="s">
        <v>273</v>
      </c>
      <c r="D14" s="33">
        <v>54.218181818181797</v>
      </c>
      <c r="E14" s="33">
        <v>54.4</v>
      </c>
      <c r="F14" s="33">
        <v>56.245454545454542</v>
      </c>
      <c r="G14" s="33">
        <v>54.981818181818184</v>
      </c>
      <c r="H14" s="33">
        <v>57.4</v>
      </c>
      <c r="I14" s="33">
        <v>60.372727272727275</v>
      </c>
      <c r="J14" s="190">
        <f t="shared" si="2"/>
        <v>3.3534540576798388E-3</v>
      </c>
      <c r="K14" s="190">
        <f t="shared" si="2"/>
        <v>3.3923796791443861E-2</v>
      </c>
      <c r="L14" s="190">
        <f t="shared" si="2"/>
        <v>-2.2466461936317961E-2</v>
      </c>
      <c r="M14" s="190">
        <f t="shared" si="2"/>
        <v>4.3981481481481399E-2</v>
      </c>
      <c r="N14" s="190">
        <f t="shared" si="2"/>
        <v>5.1789673740893383E-2</v>
      </c>
    </row>
    <row r="15" spans="3:14" ht="15" customHeight="1" x14ac:dyDescent="0.2">
      <c r="C15" s="191" t="s">
        <v>142</v>
      </c>
      <c r="D15" s="88">
        <v>8.6090909090909093</v>
      </c>
      <c r="E15" s="88">
        <v>8.5</v>
      </c>
      <c r="F15" s="88">
        <v>5.6181818181818182</v>
      </c>
      <c r="G15" s="88">
        <v>6.1090909090909093</v>
      </c>
      <c r="H15" s="88">
        <v>5.8636363636363633</v>
      </c>
      <c r="I15" s="88">
        <v>1.6545454545454545</v>
      </c>
      <c r="J15" s="192">
        <f t="shared" si="2"/>
        <v>-1.2671594508975703E-2</v>
      </c>
      <c r="K15" s="192">
        <f t="shared" si="2"/>
        <v>-0.33903743315508017</v>
      </c>
      <c r="L15" s="192">
        <f t="shared" si="2"/>
        <v>8.737864077669899E-2</v>
      </c>
      <c r="M15" s="192">
        <f t="shared" si="2"/>
        <v>-4.0178571428571508E-2</v>
      </c>
      <c r="N15" s="192">
        <f t="shared" si="2"/>
        <v>-0.71782945736434112</v>
      </c>
    </row>
    <row r="16" spans="3:14" ht="15" customHeight="1" x14ac:dyDescent="0.2">
      <c r="C16" s="314" t="s">
        <v>274</v>
      </c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</row>
  </sheetData>
  <mergeCells count="2">
    <mergeCell ref="C5:N5"/>
    <mergeCell ref="C16:N1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ignoredErrors>
    <ignoredError sqref="J9:M13" formula="1"/>
  </ignoredErrors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63"/>
  <sheetViews>
    <sheetView showGridLines="0" topLeftCell="A36" zoomScaleNormal="100" workbookViewId="0">
      <selection activeCell="L59" sqref="L59"/>
    </sheetView>
  </sheetViews>
  <sheetFormatPr baseColWidth="10" defaultRowHeight="12.75" x14ac:dyDescent="0.2"/>
  <cols>
    <col min="1" max="1" width="5.28515625" style="193" customWidth="1"/>
    <col min="2" max="2" width="16.42578125" style="193" customWidth="1"/>
    <col min="3" max="3" width="29.140625" style="193" customWidth="1"/>
    <col min="4" max="4" width="8.5703125" style="193" customWidth="1"/>
    <col min="5" max="5" width="9" style="193" customWidth="1"/>
    <col min="6" max="6" width="9.42578125" style="193" customWidth="1"/>
    <col min="7" max="7" width="11.28515625" style="193" customWidth="1"/>
    <col min="8" max="9" width="7.7109375" style="193" customWidth="1"/>
    <col min="10" max="13" width="7.7109375" style="193" hidden="1" customWidth="1"/>
    <col min="14" max="14" width="7.7109375" style="193" customWidth="1"/>
    <col min="15" max="15" width="22.5703125" style="193" customWidth="1"/>
    <col min="16" max="253" width="11.42578125" style="193"/>
    <col min="254" max="254" width="5.28515625" style="193" customWidth="1"/>
    <col min="255" max="255" width="57" style="193" bestFit="1" customWidth="1"/>
    <col min="256" max="258" width="10.7109375" style="193" customWidth="1"/>
    <col min="259" max="509" width="11.42578125" style="193"/>
    <col min="510" max="510" width="5.28515625" style="193" customWidth="1"/>
    <col min="511" max="511" width="57" style="193" bestFit="1" customWidth="1"/>
    <col min="512" max="514" width="10.7109375" style="193" customWidth="1"/>
    <col min="515" max="765" width="11.42578125" style="193"/>
    <col min="766" max="766" width="5.28515625" style="193" customWidth="1"/>
    <col min="767" max="767" width="57" style="193" bestFit="1" customWidth="1"/>
    <col min="768" max="770" width="10.7109375" style="193" customWidth="1"/>
    <col min="771" max="1021" width="11.42578125" style="193"/>
    <col min="1022" max="1022" width="5.28515625" style="193" customWidth="1"/>
    <col min="1023" max="1023" width="57" style="193" bestFit="1" customWidth="1"/>
    <col min="1024" max="1026" width="10.7109375" style="193" customWidth="1"/>
    <col min="1027" max="1277" width="11.42578125" style="193"/>
    <col min="1278" max="1278" width="5.28515625" style="193" customWidth="1"/>
    <col min="1279" max="1279" width="57" style="193" bestFit="1" customWidth="1"/>
    <col min="1280" max="1282" width="10.7109375" style="193" customWidth="1"/>
    <col min="1283" max="1533" width="11.42578125" style="193"/>
    <col min="1534" max="1534" width="5.28515625" style="193" customWidth="1"/>
    <col min="1535" max="1535" width="57" style="193" bestFit="1" customWidth="1"/>
    <col min="1536" max="1538" width="10.7109375" style="193" customWidth="1"/>
    <col min="1539" max="1789" width="11.42578125" style="193"/>
    <col min="1790" max="1790" width="5.28515625" style="193" customWidth="1"/>
    <col min="1791" max="1791" width="57" style="193" bestFit="1" customWidth="1"/>
    <col min="1792" max="1794" width="10.7109375" style="193" customWidth="1"/>
    <col min="1795" max="2045" width="11.42578125" style="193"/>
    <col min="2046" max="2046" width="5.28515625" style="193" customWidth="1"/>
    <col min="2047" max="2047" width="57" style="193" bestFit="1" customWidth="1"/>
    <col min="2048" max="2050" width="10.7109375" style="193" customWidth="1"/>
    <col min="2051" max="2301" width="11.42578125" style="193"/>
    <col min="2302" max="2302" width="5.28515625" style="193" customWidth="1"/>
    <col min="2303" max="2303" width="57" style="193" bestFit="1" customWidth="1"/>
    <col min="2304" max="2306" width="10.7109375" style="193" customWidth="1"/>
    <col min="2307" max="2557" width="11.42578125" style="193"/>
    <col min="2558" max="2558" width="5.28515625" style="193" customWidth="1"/>
    <col min="2559" max="2559" width="57" style="193" bestFit="1" customWidth="1"/>
    <col min="2560" max="2562" width="10.7109375" style="193" customWidth="1"/>
    <col min="2563" max="2813" width="11.42578125" style="193"/>
    <col min="2814" max="2814" width="5.28515625" style="193" customWidth="1"/>
    <col min="2815" max="2815" width="57" style="193" bestFit="1" customWidth="1"/>
    <col min="2816" max="2818" width="10.7109375" style="193" customWidth="1"/>
    <col min="2819" max="3069" width="11.42578125" style="193"/>
    <col min="3070" max="3070" width="5.28515625" style="193" customWidth="1"/>
    <col min="3071" max="3071" width="57" style="193" bestFit="1" customWidth="1"/>
    <col min="3072" max="3074" width="10.7109375" style="193" customWidth="1"/>
    <col min="3075" max="3325" width="11.42578125" style="193"/>
    <col min="3326" max="3326" width="5.28515625" style="193" customWidth="1"/>
    <col min="3327" max="3327" width="57" style="193" bestFit="1" customWidth="1"/>
    <col min="3328" max="3330" width="10.7109375" style="193" customWidth="1"/>
    <col min="3331" max="3581" width="11.42578125" style="193"/>
    <col min="3582" max="3582" width="5.28515625" style="193" customWidth="1"/>
    <col min="3583" max="3583" width="57" style="193" bestFit="1" customWidth="1"/>
    <col min="3584" max="3586" width="10.7109375" style="193" customWidth="1"/>
    <col min="3587" max="3837" width="11.42578125" style="193"/>
    <col min="3838" max="3838" width="5.28515625" style="193" customWidth="1"/>
    <col min="3839" max="3839" width="57" style="193" bestFit="1" customWidth="1"/>
    <col min="3840" max="3842" width="10.7109375" style="193" customWidth="1"/>
    <col min="3843" max="4093" width="11.42578125" style="193"/>
    <col min="4094" max="4094" width="5.28515625" style="193" customWidth="1"/>
    <col min="4095" max="4095" width="57" style="193" bestFit="1" customWidth="1"/>
    <col min="4096" max="4098" width="10.7109375" style="193" customWidth="1"/>
    <col min="4099" max="4349" width="11.42578125" style="193"/>
    <col min="4350" max="4350" width="5.28515625" style="193" customWidth="1"/>
    <col min="4351" max="4351" width="57" style="193" bestFit="1" customWidth="1"/>
    <col min="4352" max="4354" width="10.7109375" style="193" customWidth="1"/>
    <col min="4355" max="4605" width="11.42578125" style="193"/>
    <col min="4606" max="4606" width="5.28515625" style="193" customWidth="1"/>
    <col min="4607" max="4607" width="57" style="193" bestFit="1" customWidth="1"/>
    <col min="4608" max="4610" width="10.7109375" style="193" customWidth="1"/>
    <col min="4611" max="4861" width="11.42578125" style="193"/>
    <col min="4862" max="4862" width="5.28515625" style="193" customWidth="1"/>
    <col min="4863" max="4863" width="57" style="193" bestFit="1" customWidth="1"/>
    <col min="4864" max="4866" width="10.7109375" style="193" customWidth="1"/>
    <col min="4867" max="5117" width="11.42578125" style="193"/>
    <col min="5118" max="5118" width="5.28515625" style="193" customWidth="1"/>
    <col min="5119" max="5119" width="57" style="193" bestFit="1" customWidth="1"/>
    <col min="5120" max="5122" width="10.7109375" style="193" customWidth="1"/>
    <col min="5123" max="5373" width="11.42578125" style="193"/>
    <col min="5374" max="5374" width="5.28515625" style="193" customWidth="1"/>
    <col min="5375" max="5375" width="57" style="193" bestFit="1" customWidth="1"/>
    <col min="5376" max="5378" width="10.7109375" style="193" customWidth="1"/>
    <col min="5379" max="5629" width="11.42578125" style="193"/>
    <col min="5630" max="5630" width="5.28515625" style="193" customWidth="1"/>
    <col min="5631" max="5631" width="57" style="193" bestFit="1" customWidth="1"/>
    <col min="5632" max="5634" width="10.7109375" style="193" customWidth="1"/>
    <col min="5635" max="5885" width="11.42578125" style="193"/>
    <col min="5886" max="5886" width="5.28515625" style="193" customWidth="1"/>
    <col min="5887" max="5887" width="57" style="193" bestFit="1" customWidth="1"/>
    <col min="5888" max="5890" width="10.7109375" style="193" customWidth="1"/>
    <col min="5891" max="6141" width="11.42578125" style="193"/>
    <col min="6142" max="6142" width="5.28515625" style="193" customWidth="1"/>
    <col min="6143" max="6143" width="57" style="193" bestFit="1" customWidth="1"/>
    <col min="6144" max="6146" width="10.7109375" style="193" customWidth="1"/>
    <col min="6147" max="6397" width="11.42578125" style="193"/>
    <col min="6398" max="6398" width="5.28515625" style="193" customWidth="1"/>
    <col min="6399" max="6399" width="57" style="193" bestFit="1" customWidth="1"/>
    <col min="6400" max="6402" width="10.7109375" style="193" customWidth="1"/>
    <col min="6403" max="6653" width="11.42578125" style="193"/>
    <col min="6654" max="6654" width="5.28515625" style="193" customWidth="1"/>
    <col min="6655" max="6655" width="57" style="193" bestFit="1" customWidth="1"/>
    <col min="6656" max="6658" width="10.7109375" style="193" customWidth="1"/>
    <col min="6659" max="6909" width="11.42578125" style="193"/>
    <col min="6910" max="6910" width="5.28515625" style="193" customWidth="1"/>
    <col min="6911" max="6911" width="57" style="193" bestFit="1" customWidth="1"/>
    <col min="6912" max="6914" width="10.7109375" style="193" customWidth="1"/>
    <col min="6915" max="7165" width="11.42578125" style="193"/>
    <col min="7166" max="7166" width="5.28515625" style="193" customWidth="1"/>
    <col min="7167" max="7167" width="57" style="193" bestFit="1" customWidth="1"/>
    <col min="7168" max="7170" width="10.7109375" style="193" customWidth="1"/>
    <col min="7171" max="7421" width="11.42578125" style="193"/>
    <col min="7422" max="7422" width="5.28515625" style="193" customWidth="1"/>
    <col min="7423" max="7423" width="57" style="193" bestFit="1" customWidth="1"/>
    <col min="7424" max="7426" width="10.7109375" style="193" customWidth="1"/>
    <col min="7427" max="7677" width="11.42578125" style="193"/>
    <col min="7678" max="7678" width="5.28515625" style="193" customWidth="1"/>
    <col min="7679" max="7679" width="57" style="193" bestFit="1" customWidth="1"/>
    <col min="7680" max="7682" width="10.7109375" style="193" customWidth="1"/>
    <col min="7683" max="7933" width="11.42578125" style="193"/>
    <col min="7934" max="7934" width="5.28515625" style="193" customWidth="1"/>
    <col min="7935" max="7935" width="57" style="193" bestFit="1" customWidth="1"/>
    <col min="7936" max="7938" width="10.7109375" style="193" customWidth="1"/>
    <col min="7939" max="8189" width="11.42578125" style="193"/>
    <col min="8190" max="8190" width="5.28515625" style="193" customWidth="1"/>
    <col min="8191" max="8191" width="57" style="193" bestFit="1" customWidth="1"/>
    <col min="8192" max="8194" width="10.7109375" style="193" customWidth="1"/>
    <col min="8195" max="8445" width="11.42578125" style="193"/>
    <col min="8446" max="8446" width="5.28515625" style="193" customWidth="1"/>
    <col min="8447" max="8447" width="57" style="193" bestFit="1" customWidth="1"/>
    <col min="8448" max="8450" width="10.7109375" style="193" customWidth="1"/>
    <col min="8451" max="8701" width="11.42578125" style="193"/>
    <col min="8702" max="8702" width="5.28515625" style="193" customWidth="1"/>
    <col min="8703" max="8703" width="57" style="193" bestFit="1" customWidth="1"/>
    <col min="8704" max="8706" width="10.7109375" style="193" customWidth="1"/>
    <col min="8707" max="8957" width="11.42578125" style="193"/>
    <col min="8958" max="8958" width="5.28515625" style="193" customWidth="1"/>
    <col min="8959" max="8959" width="57" style="193" bestFit="1" customWidth="1"/>
    <col min="8960" max="8962" width="10.7109375" style="193" customWidth="1"/>
    <col min="8963" max="9213" width="11.42578125" style="193"/>
    <col min="9214" max="9214" width="5.28515625" style="193" customWidth="1"/>
    <col min="9215" max="9215" width="57" style="193" bestFit="1" customWidth="1"/>
    <col min="9216" max="9218" width="10.7109375" style="193" customWidth="1"/>
    <col min="9219" max="9469" width="11.42578125" style="193"/>
    <col min="9470" max="9470" width="5.28515625" style="193" customWidth="1"/>
    <col min="9471" max="9471" width="57" style="193" bestFit="1" customWidth="1"/>
    <col min="9472" max="9474" width="10.7109375" style="193" customWidth="1"/>
    <col min="9475" max="9725" width="11.42578125" style="193"/>
    <col min="9726" max="9726" width="5.28515625" style="193" customWidth="1"/>
    <col min="9727" max="9727" width="57" style="193" bestFit="1" customWidth="1"/>
    <col min="9728" max="9730" width="10.7109375" style="193" customWidth="1"/>
    <col min="9731" max="9981" width="11.42578125" style="193"/>
    <col min="9982" max="9982" width="5.28515625" style="193" customWidth="1"/>
    <col min="9983" max="9983" width="57" style="193" bestFit="1" customWidth="1"/>
    <col min="9984" max="9986" width="10.7109375" style="193" customWidth="1"/>
    <col min="9987" max="10237" width="11.42578125" style="193"/>
    <col min="10238" max="10238" width="5.28515625" style="193" customWidth="1"/>
    <col min="10239" max="10239" width="57" style="193" bestFit="1" customWidth="1"/>
    <col min="10240" max="10242" width="10.7109375" style="193" customWidth="1"/>
    <col min="10243" max="10493" width="11.42578125" style="193"/>
    <col min="10494" max="10494" width="5.28515625" style="193" customWidth="1"/>
    <col min="10495" max="10495" width="57" style="193" bestFit="1" customWidth="1"/>
    <col min="10496" max="10498" width="10.7109375" style="193" customWidth="1"/>
    <col min="10499" max="10749" width="11.42578125" style="193"/>
    <col min="10750" max="10750" width="5.28515625" style="193" customWidth="1"/>
    <col min="10751" max="10751" width="57" style="193" bestFit="1" customWidth="1"/>
    <col min="10752" max="10754" width="10.7109375" style="193" customWidth="1"/>
    <col min="10755" max="11005" width="11.42578125" style="193"/>
    <col min="11006" max="11006" width="5.28515625" style="193" customWidth="1"/>
    <col min="11007" max="11007" width="57" style="193" bestFit="1" customWidth="1"/>
    <col min="11008" max="11010" width="10.7109375" style="193" customWidth="1"/>
    <col min="11011" max="11261" width="11.42578125" style="193"/>
    <col min="11262" max="11262" width="5.28515625" style="193" customWidth="1"/>
    <col min="11263" max="11263" width="57" style="193" bestFit="1" customWidth="1"/>
    <col min="11264" max="11266" width="10.7109375" style="193" customWidth="1"/>
    <col min="11267" max="11517" width="11.42578125" style="193"/>
    <col min="11518" max="11518" width="5.28515625" style="193" customWidth="1"/>
    <col min="11519" max="11519" width="57" style="193" bestFit="1" customWidth="1"/>
    <col min="11520" max="11522" width="10.7109375" style="193" customWidth="1"/>
    <col min="11523" max="11773" width="11.42578125" style="193"/>
    <col min="11774" max="11774" width="5.28515625" style="193" customWidth="1"/>
    <col min="11775" max="11775" width="57" style="193" bestFit="1" customWidth="1"/>
    <col min="11776" max="11778" width="10.7109375" style="193" customWidth="1"/>
    <col min="11779" max="12029" width="11.42578125" style="193"/>
    <col min="12030" max="12030" width="5.28515625" style="193" customWidth="1"/>
    <col min="12031" max="12031" width="57" style="193" bestFit="1" customWidth="1"/>
    <col min="12032" max="12034" width="10.7109375" style="193" customWidth="1"/>
    <col min="12035" max="12285" width="11.42578125" style="193"/>
    <col min="12286" max="12286" width="5.28515625" style="193" customWidth="1"/>
    <col min="12287" max="12287" width="57" style="193" bestFit="1" customWidth="1"/>
    <col min="12288" max="12290" width="10.7109375" style="193" customWidth="1"/>
    <col min="12291" max="12541" width="11.42578125" style="193"/>
    <col min="12542" max="12542" width="5.28515625" style="193" customWidth="1"/>
    <col min="12543" max="12543" width="57" style="193" bestFit="1" customWidth="1"/>
    <col min="12544" max="12546" width="10.7109375" style="193" customWidth="1"/>
    <col min="12547" max="12797" width="11.42578125" style="193"/>
    <col min="12798" max="12798" width="5.28515625" style="193" customWidth="1"/>
    <col min="12799" max="12799" width="57" style="193" bestFit="1" customWidth="1"/>
    <col min="12800" max="12802" width="10.7109375" style="193" customWidth="1"/>
    <col min="12803" max="13053" width="11.42578125" style="193"/>
    <col min="13054" max="13054" width="5.28515625" style="193" customWidth="1"/>
    <col min="13055" max="13055" width="57" style="193" bestFit="1" customWidth="1"/>
    <col min="13056" max="13058" width="10.7109375" style="193" customWidth="1"/>
    <col min="13059" max="13309" width="11.42578125" style="193"/>
    <col min="13310" max="13310" width="5.28515625" style="193" customWidth="1"/>
    <col min="13311" max="13311" width="57" style="193" bestFit="1" customWidth="1"/>
    <col min="13312" max="13314" width="10.7109375" style="193" customWidth="1"/>
    <col min="13315" max="13565" width="11.42578125" style="193"/>
    <col min="13566" max="13566" width="5.28515625" style="193" customWidth="1"/>
    <col min="13567" max="13567" width="57" style="193" bestFit="1" customWidth="1"/>
    <col min="13568" max="13570" width="10.7109375" style="193" customWidth="1"/>
    <col min="13571" max="13821" width="11.42578125" style="193"/>
    <col min="13822" max="13822" width="5.28515625" style="193" customWidth="1"/>
    <col min="13823" max="13823" width="57" style="193" bestFit="1" customWidth="1"/>
    <col min="13824" max="13826" width="10.7109375" style="193" customWidth="1"/>
    <col min="13827" max="14077" width="11.42578125" style="193"/>
    <col min="14078" max="14078" width="5.28515625" style="193" customWidth="1"/>
    <col min="14079" max="14079" width="57" style="193" bestFit="1" customWidth="1"/>
    <col min="14080" max="14082" width="10.7109375" style="193" customWidth="1"/>
    <col min="14083" max="14333" width="11.42578125" style="193"/>
    <col min="14334" max="14334" width="5.28515625" style="193" customWidth="1"/>
    <col min="14335" max="14335" width="57" style="193" bestFit="1" customWidth="1"/>
    <col min="14336" max="14338" width="10.7109375" style="193" customWidth="1"/>
    <col min="14339" max="14589" width="11.42578125" style="193"/>
    <col min="14590" max="14590" width="5.28515625" style="193" customWidth="1"/>
    <col min="14591" max="14591" width="57" style="193" bestFit="1" customWidth="1"/>
    <col min="14592" max="14594" width="10.7109375" style="193" customWidth="1"/>
    <col min="14595" max="14845" width="11.42578125" style="193"/>
    <col min="14846" max="14846" width="5.28515625" style="193" customWidth="1"/>
    <col min="14847" max="14847" width="57" style="193" bestFit="1" customWidth="1"/>
    <col min="14848" max="14850" width="10.7109375" style="193" customWidth="1"/>
    <col min="14851" max="15101" width="11.42578125" style="193"/>
    <col min="15102" max="15102" width="5.28515625" style="193" customWidth="1"/>
    <col min="15103" max="15103" width="57" style="193" bestFit="1" customWidth="1"/>
    <col min="15104" max="15106" width="10.7109375" style="193" customWidth="1"/>
    <col min="15107" max="15357" width="11.42578125" style="193"/>
    <col min="15358" max="15358" width="5.28515625" style="193" customWidth="1"/>
    <col min="15359" max="15359" width="57" style="193" bestFit="1" customWidth="1"/>
    <col min="15360" max="15362" width="10.7109375" style="193" customWidth="1"/>
    <col min="15363" max="15613" width="11.42578125" style="193"/>
    <col min="15614" max="15614" width="5.28515625" style="193" customWidth="1"/>
    <col min="15615" max="15615" width="57" style="193" bestFit="1" customWidth="1"/>
    <col min="15616" max="15618" width="10.7109375" style="193" customWidth="1"/>
    <col min="15619" max="15869" width="11.42578125" style="193"/>
    <col min="15870" max="15870" width="5.28515625" style="193" customWidth="1"/>
    <col min="15871" max="15871" width="57" style="193" bestFit="1" customWidth="1"/>
    <col min="15872" max="15874" width="10.7109375" style="193" customWidth="1"/>
    <col min="15875" max="16125" width="11.42578125" style="193"/>
    <col min="16126" max="16126" width="5.28515625" style="193" customWidth="1"/>
    <col min="16127" max="16127" width="57" style="193" bestFit="1" customWidth="1"/>
    <col min="16128" max="16130" width="10.7109375" style="193" customWidth="1"/>
    <col min="16131" max="16384" width="11.42578125" style="193"/>
  </cols>
  <sheetData>
    <row r="2" spans="3:14" ht="53.25" customHeight="1" x14ac:dyDescent="0.2"/>
    <row r="3" spans="3:14" ht="18" customHeight="1" x14ac:dyDescent="0.2">
      <c r="C3" s="305" t="s">
        <v>275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3:14" ht="57.75" customHeight="1" x14ac:dyDescent="0.2">
      <c r="C4" s="183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4" ht="27" customHeight="1" x14ac:dyDescent="0.2">
      <c r="C5" s="191" t="s">
        <v>276</v>
      </c>
      <c r="D5" s="88">
        <v>39.681818181818201</v>
      </c>
      <c r="E5" s="88">
        <v>41.263636363636365</v>
      </c>
      <c r="F5" s="88">
        <v>43.900000000000006</v>
      </c>
      <c r="G5" s="88">
        <v>44.645454545454541</v>
      </c>
      <c r="H5" s="88">
        <v>47.427272727272729</v>
      </c>
      <c r="I5" s="88">
        <v>47.31818181818182</v>
      </c>
      <c r="J5" s="194">
        <f>E5/D5-1</f>
        <v>3.9862542955326097E-2</v>
      </c>
      <c r="K5" s="194">
        <f>F5/E5-1</f>
        <v>6.3890724829257728E-2</v>
      </c>
      <c r="L5" s="194">
        <f>G5/F5-1</f>
        <v>1.6980741354317486E-2</v>
      </c>
      <c r="M5" s="194">
        <f>H5/G5-1</f>
        <v>6.23091020158828E-2</v>
      </c>
      <c r="N5" s="194">
        <f>I5/H5-1</f>
        <v>-2.3001725129384587E-3</v>
      </c>
    </row>
    <row r="6" spans="3:14" ht="15" customHeight="1" x14ac:dyDescent="0.2">
      <c r="C6" s="191" t="s">
        <v>277</v>
      </c>
      <c r="D6" s="88">
        <v>53.845454545454501</v>
      </c>
      <c r="E6" s="88">
        <v>55.354545454545452</v>
      </c>
      <c r="F6" s="88">
        <v>54.327272727272728</v>
      </c>
      <c r="G6" s="88">
        <v>54.381818181818183</v>
      </c>
      <c r="H6" s="88">
        <v>50.172727272727272</v>
      </c>
      <c r="I6" s="88">
        <v>50.6</v>
      </c>
      <c r="J6" s="194">
        <f t="shared" ref="J6:N8" si="0">E6/D6-1</f>
        <v>2.8026338004390361E-2</v>
      </c>
      <c r="K6" s="194">
        <f t="shared" si="0"/>
        <v>-1.8558055509935834E-2</v>
      </c>
      <c r="L6" s="194">
        <f t="shared" si="0"/>
        <v>1.0040160642570406E-3</v>
      </c>
      <c r="M6" s="194">
        <f t="shared" si="0"/>
        <v>-7.7398863256435968E-2</v>
      </c>
      <c r="N6" s="194">
        <f t="shared" si="0"/>
        <v>8.5160355136799648E-3</v>
      </c>
    </row>
    <row r="7" spans="3:14" ht="15" customHeight="1" x14ac:dyDescent="0.2">
      <c r="C7" s="191" t="s">
        <v>278</v>
      </c>
      <c r="D7" s="88">
        <v>2.2999999999999998</v>
      </c>
      <c r="E7" s="88">
        <v>1.0363636363636364</v>
      </c>
      <c r="F7" s="88">
        <v>0.81818181818181823</v>
      </c>
      <c r="G7" s="88">
        <v>0.46363636363636362</v>
      </c>
      <c r="H7" s="88">
        <v>0.78181818181818186</v>
      </c>
      <c r="I7" s="88">
        <v>0.76363636363636367</v>
      </c>
      <c r="J7" s="194">
        <f t="shared" si="0"/>
        <v>-0.54940711462450587</v>
      </c>
      <c r="K7" s="194">
        <f t="shared" si="0"/>
        <v>-0.21052631578947367</v>
      </c>
      <c r="L7" s="194">
        <f t="shared" si="0"/>
        <v>-0.43333333333333335</v>
      </c>
      <c r="M7" s="194">
        <f t="shared" si="0"/>
        <v>0.6862745098039218</v>
      </c>
      <c r="N7" s="194">
        <f t="shared" si="0"/>
        <v>-2.3255813953488413E-2</v>
      </c>
    </row>
    <row r="8" spans="3:14" ht="15" customHeight="1" x14ac:dyDescent="0.2">
      <c r="C8" s="191" t="s">
        <v>71</v>
      </c>
      <c r="D8" s="88">
        <v>4.1727272727272702</v>
      </c>
      <c r="E8" s="88">
        <v>2.3454545454545452</v>
      </c>
      <c r="F8" s="88">
        <v>0.95454545454545459</v>
      </c>
      <c r="G8" s="88">
        <v>0.50909090909090904</v>
      </c>
      <c r="H8" s="88">
        <v>1.6181818181818182</v>
      </c>
      <c r="I8" s="88">
        <v>1.3181818181818181</v>
      </c>
      <c r="J8" s="194">
        <f t="shared" si="0"/>
        <v>-0.43790849673202581</v>
      </c>
      <c r="K8" s="194">
        <f t="shared" si="0"/>
        <v>-0.59302325581395343</v>
      </c>
      <c r="L8" s="194">
        <f t="shared" si="0"/>
        <v>-0.46666666666666679</v>
      </c>
      <c r="M8" s="194">
        <f t="shared" si="0"/>
        <v>2.1785714285714288</v>
      </c>
      <c r="N8" s="194">
        <f t="shared" si="0"/>
        <v>-0.1853932584269663</v>
      </c>
    </row>
    <row r="9" spans="3:14" ht="15" customHeight="1" x14ac:dyDescent="0.2">
      <c r="C9" s="314" t="s">
        <v>274</v>
      </c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</row>
    <row r="10" spans="3:14" x14ac:dyDescent="0.2"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</row>
    <row r="12" spans="3:14" ht="26.25" customHeight="1" x14ac:dyDescent="0.2">
      <c r="C12" s="305" t="s">
        <v>279</v>
      </c>
      <c r="D12" s="305"/>
      <c r="E12" s="305"/>
      <c r="F12" s="305"/>
      <c r="G12" s="305"/>
    </row>
    <row r="13" spans="3:14" ht="24.75" customHeight="1" x14ac:dyDescent="0.2">
      <c r="C13" s="196"/>
      <c r="D13" s="143" t="s">
        <v>280</v>
      </c>
      <c r="E13" s="143">
        <v>2011</v>
      </c>
      <c r="F13" s="143">
        <v>2012</v>
      </c>
      <c r="G13" s="143" t="s">
        <v>62</v>
      </c>
    </row>
    <row r="14" spans="3:14" ht="21.75" customHeight="1" x14ac:dyDescent="0.2">
      <c r="C14" s="183" t="s">
        <v>285</v>
      </c>
      <c r="D14" s="197">
        <v>68.845454545454544</v>
      </c>
      <c r="E14" s="197">
        <v>69.5</v>
      </c>
      <c r="F14" s="197">
        <v>69.209090909090918</v>
      </c>
      <c r="G14" s="194">
        <v>-4.1857423152386053E-3</v>
      </c>
    </row>
    <row r="15" spans="3:14" ht="25.5" x14ac:dyDescent="0.2">
      <c r="C15" s="198" t="s">
        <v>286</v>
      </c>
      <c r="D15" s="88">
        <v>44.718181818181819</v>
      </c>
      <c r="E15" s="88">
        <v>40.136363636363633</v>
      </c>
      <c r="F15" s="88">
        <v>37.754545454545458</v>
      </c>
      <c r="G15" s="194">
        <v>-5.934314835787069E-2</v>
      </c>
    </row>
    <row r="16" spans="3:14" ht="12" customHeight="1" x14ac:dyDescent="0.2">
      <c r="C16" s="198" t="s">
        <v>287</v>
      </c>
      <c r="D16" s="88">
        <v>24.127272727272725</v>
      </c>
      <c r="E16" s="88">
        <v>29.363636363636363</v>
      </c>
      <c r="F16" s="88">
        <v>31.454545454545457</v>
      </c>
      <c r="G16" s="194">
        <v>7.1207430340557432E-2</v>
      </c>
    </row>
    <row r="17" spans="3:11" ht="21.75" customHeight="1" x14ac:dyDescent="0.2">
      <c r="C17" s="183" t="s">
        <v>281</v>
      </c>
      <c r="D17" s="197">
        <v>26.545454545454547</v>
      </c>
      <c r="E17" s="197">
        <v>28.172727272727272</v>
      </c>
      <c r="F17" s="197">
        <v>29</v>
      </c>
      <c r="G17" s="194">
        <v>2.9364311068086568E-2</v>
      </c>
    </row>
    <row r="18" spans="3:11" x14ac:dyDescent="0.2">
      <c r="C18" s="198" t="s">
        <v>282</v>
      </c>
      <c r="D18" s="88">
        <v>1.6090909090909091</v>
      </c>
      <c r="E18" s="88">
        <v>1.6454545454545455</v>
      </c>
      <c r="F18" s="88">
        <v>1.4545454545454546</v>
      </c>
      <c r="G18" s="194">
        <v>-0.11602209944751385</v>
      </c>
    </row>
    <row r="19" spans="3:11" x14ac:dyDescent="0.2">
      <c r="C19" s="198" t="s">
        <v>283</v>
      </c>
      <c r="D19" s="88">
        <v>20.918181818181818</v>
      </c>
      <c r="E19" s="88">
        <v>17.172727272727272</v>
      </c>
      <c r="F19" s="88">
        <v>18.118181818181817</v>
      </c>
      <c r="G19" s="194">
        <v>5.5055584965590265E-2</v>
      </c>
    </row>
    <row r="20" spans="3:11" x14ac:dyDescent="0.2">
      <c r="C20" s="198" t="s">
        <v>284</v>
      </c>
      <c r="D20" s="88">
        <v>4.0181818181818185</v>
      </c>
      <c r="E20" s="88">
        <v>9.3545454545454554</v>
      </c>
      <c r="F20" s="88">
        <v>9.4272727272727277</v>
      </c>
      <c r="G20" s="194">
        <v>7.7745383867833251E-3</v>
      </c>
    </row>
    <row r="21" spans="3:11" x14ac:dyDescent="0.2">
      <c r="C21" s="199" t="s">
        <v>71</v>
      </c>
      <c r="D21" s="88">
        <v>4.6090909090909093</v>
      </c>
      <c r="E21" s="88">
        <v>2.3272727272727272</v>
      </c>
      <c r="F21" s="88">
        <v>1.790909090909091</v>
      </c>
      <c r="G21" s="194">
        <v>-0.23046874999999989</v>
      </c>
    </row>
    <row r="22" spans="3:11" ht="52.5" customHeight="1" x14ac:dyDescent="0.2">
      <c r="C22" s="314" t="s">
        <v>288</v>
      </c>
      <c r="D22" s="314"/>
      <c r="E22" s="314"/>
      <c r="F22" s="314"/>
      <c r="G22" s="314"/>
    </row>
    <row r="23" spans="3:11" x14ac:dyDescent="0.2">
      <c r="G23" s="202"/>
      <c r="J23" s="202"/>
    </row>
    <row r="25" spans="3:11" ht="27.75" customHeight="1" x14ac:dyDescent="0.2">
      <c r="C25" s="305" t="s">
        <v>289</v>
      </c>
      <c r="D25" s="305"/>
      <c r="E25" s="305"/>
      <c r="F25" s="305"/>
      <c r="K25"/>
    </row>
    <row r="26" spans="3:11" ht="22.5" customHeight="1" x14ac:dyDescent="0.2">
      <c r="C26" s="196"/>
      <c r="D26" s="143">
        <v>2011</v>
      </c>
      <c r="E26" s="143">
        <v>2012</v>
      </c>
      <c r="F26" s="143" t="s">
        <v>62</v>
      </c>
      <c r="K26"/>
    </row>
    <row r="27" spans="3:11" x14ac:dyDescent="0.2">
      <c r="C27" s="183" t="s">
        <v>301</v>
      </c>
      <c r="D27" s="197">
        <v>67.427272727272722</v>
      </c>
      <c r="E27" s="197">
        <v>68.318181818181813</v>
      </c>
      <c r="F27" s="203">
        <v>1.3212889308345632E-2</v>
      </c>
      <c r="K27"/>
    </row>
    <row r="28" spans="3:11" ht="25.5" x14ac:dyDescent="0.2">
      <c r="C28" s="198" t="s">
        <v>302</v>
      </c>
      <c r="D28" s="200">
        <v>37.854545454545452</v>
      </c>
      <c r="E28" s="200">
        <v>35.536363636363632</v>
      </c>
      <c r="F28" s="194">
        <v>-6.1239193083573507E-2</v>
      </c>
      <c r="K28"/>
    </row>
    <row r="29" spans="3:11" ht="25.5" x14ac:dyDescent="0.2">
      <c r="C29" s="198" t="s">
        <v>303</v>
      </c>
      <c r="D29" s="200">
        <v>29.572727272727271</v>
      </c>
      <c r="E29" s="200">
        <v>32.781818181818181</v>
      </c>
      <c r="F29" s="194">
        <v>0.108515216723025</v>
      </c>
      <c r="K29"/>
    </row>
    <row r="30" spans="3:11" x14ac:dyDescent="0.2">
      <c r="C30" s="183" t="s">
        <v>290</v>
      </c>
      <c r="D30" s="201">
        <v>12.881818181818183</v>
      </c>
      <c r="E30" s="201">
        <v>12.590909090909092</v>
      </c>
      <c r="F30" s="203">
        <v>-2.2582921665490474E-2</v>
      </c>
      <c r="K30"/>
    </row>
    <row r="31" spans="3:11" x14ac:dyDescent="0.2">
      <c r="C31" s="198" t="s">
        <v>291</v>
      </c>
      <c r="D31" s="200">
        <v>2.709090909090909</v>
      </c>
      <c r="E31" s="200">
        <v>2.4545454545454546</v>
      </c>
      <c r="F31" s="194">
        <v>-9.3959731543624136E-2</v>
      </c>
      <c r="K31"/>
    </row>
    <row r="32" spans="3:11" x14ac:dyDescent="0.2">
      <c r="C32" s="198" t="s">
        <v>292</v>
      </c>
      <c r="D32" s="200">
        <v>6.6727272727272728</v>
      </c>
      <c r="E32" s="200">
        <v>6.4272727272727277</v>
      </c>
      <c r="F32" s="194">
        <v>-3.6784741144414101E-2</v>
      </c>
      <c r="K32"/>
    </row>
    <row r="33" spans="3:11" x14ac:dyDescent="0.2">
      <c r="C33" s="198" t="s">
        <v>293</v>
      </c>
      <c r="D33" s="200">
        <v>3.5</v>
      </c>
      <c r="E33" s="200">
        <v>3.709090909090909</v>
      </c>
      <c r="F33" s="194">
        <v>5.9740259740259649E-2</v>
      </c>
      <c r="K33"/>
    </row>
    <row r="34" spans="3:11" x14ac:dyDescent="0.2">
      <c r="C34" s="191" t="s">
        <v>294</v>
      </c>
      <c r="D34" s="200">
        <v>0.6454545454545455</v>
      </c>
      <c r="E34" s="200">
        <v>0.53636363636363638</v>
      </c>
      <c r="F34" s="194">
        <v>-0.16901408450704225</v>
      </c>
      <c r="K34"/>
    </row>
    <row r="35" spans="3:11" x14ac:dyDescent="0.2">
      <c r="C35" s="191" t="s">
        <v>295</v>
      </c>
      <c r="D35" s="200">
        <v>2.290909090909091</v>
      </c>
      <c r="E35" s="200">
        <v>2.4</v>
      </c>
      <c r="F35" s="194">
        <v>4.761904761904745E-2</v>
      </c>
      <c r="K35"/>
    </row>
    <row r="36" spans="3:11" x14ac:dyDescent="0.2">
      <c r="C36" s="191" t="s">
        <v>296</v>
      </c>
      <c r="D36" s="200">
        <v>5.7545454545454549</v>
      </c>
      <c r="E36" s="200">
        <v>5.5454545454545459</v>
      </c>
      <c r="F36" s="194">
        <v>-3.6334913112164302E-2</v>
      </c>
      <c r="K36"/>
    </row>
    <row r="37" spans="3:11" x14ac:dyDescent="0.2">
      <c r="C37" s="191" t="s">
        <v>196</v>
      </c>
      <c r="D37" s="200">
        <v>8.163636363636364</v>
      </c>
      <c r="E37" s="200">
        <v>8.2727272727272734</v>
      </c>
      <c r="F37" s="194">
        <v>1.3363028953229383E-2</v>
      </c>
      <c r="K37"/>
    </row>
    <row r="38" spans="3:11" x14ac:dyDescent="0.2">
      <c r="C38" s="191" t="s">
        <v>297</v>
      </c>
      <c r="D38" s="200">
        <v>0.79090909090909089</v>
      </c>
      <c r="E38" s="200">
        <v>0.89090909090909087</v>
      </c>
      <c r="F38" s="194">
        <v>0.12643678160919536</v>
      </c>
      <c r="K38"/>
    </row>
    <row r="39" spans="3:11" x14ac:dyDescent="0.2">
      <c r="C39" s="191" t="s">
        <v>298</v>
      </c>
      <c r="D39" s="200">
        <v>0.45454545454545453</v>
      </c>
      <c r="E39" s="200">
        <v>0.27272727272727271</v>
      </c>
      <c r="F39" s="194">
        <v>-0.4</v>
      </c>
      <c r="K39"/>
    </row>
    <row r="40" spans="3:11" x14ac:dyDescent="0.2">
      <c r="C40" s="191" t="s">
        <v>299</v>
      </c>
      <c r="D40" s="200">
        <v>7.2727272727272724E-2</v>
      </c>
      <c r="E40" s="200">
        <v>1.8181818181818181E-2</v>
      </c>
      <c r="F40" s="194">
        <v>-0.75</v>
      </c>
      <c r="K40"/>
    </row>
    <row r="41" spans="3:11" x14ac:dyDescent="0.2">
      <c r="C41" s="191" t="s">
        <v>71</v>
      </c>
      <c r="D41" s="200">
        <v>1.5181818181818181</v>
      </c>
      <c r="E41" s="200">
        <v>1.1545454545454545</v>
      </c>
      <c r="F41" s="194">
        <v>-0.23952095808383234</v>
      </c>
      <c r="K41"/>
    </row>
    <row r="42" spans="3:11" ht="41.25" customHeight="1" x14ac:dyDescent="0.2">
      <c r="C42" s="314" t="s">
        <v>300</v>
      </c>
      <c r="D42" s="314"/>
      <c r="E42" s="314"/>
      <c r="F42" s="314"/>
      <c r="K42"/>
    </row>
    <row r="44" spans="3:11" ht="24.75" customHeight="1" x14ac:dyDescent="0.2">
      <c r="C44" s="305" t="s">
        <v>304</v>
      </c>
      <c r="D44" s="305"/>
      <c r="E44" s="305"/>
      <c r="F44" s="305"/>
    </row>
    <row r="45" spans="3:11" ht="22.5" customHeight="1" x14ac:dyDescent="0.2">
      <c r="C45" s="196"/>
      <c r="D45" s="143">
        <v>2011</v>
      </c>
      <c r="E45" s="143">
        <v>2012</v>
      </c>
      <c r="F45" s="143" t="s">
        <v>62</v>
      </c>
    </row>
    <row r="46" spans="3:11" x14ac:dyDescent="0.2">
      <c r="C46" s="183" t="s">
        <v>305</v>
      </c>
      <c r="D46" s="197"/>
      <c r="E46" s="197"/>
      <c r="F46" s="197"/>
    </row>
    <row r="47" spans="3:11" x14ac:dyDescent="0.2">
      <c r="C47" s="198" t="s">
        <v>306</v>
      </c>
      <c r="D47" s="200">
        <v>41.781818181818181</v>
      </c>
      <c r="E47" s="200">
        <v>39.209090909090911</v>
      </c>
      <c r="F47" s="194">
        <v>-6.1575282854656188E-2</v>
      </c>
    </row>
    <row r="48" spans="3:11" x14ac:dyDescent="0.2">
      <c r="C48" s="198" t="s">
        <v>307</v>
      </c>
      <c r="D48" s="200">
        <v>55.890909090909091</v>
      </c>
      <c r="E48" s="200">
        <v>59.000000000000007</v>
      </c>
      <c r="F48" s="194">
        <v>5.5627846454131546E-2</v>
      </c>
    </row>
    <row r="49" spans="3:6" x14ac:dyDescent="0.2">
      <c r="C49" s="198" t="s">
        <v>71</v>
      </c>
      <c r="D49" s="200">
        <v>2.3272727272727272</v>
      </c>
      <c r="E49" s="200">
        <v>1.790909090909091</v>
      </c>
      <c r="F49" s="194">
        <v>-0.23046874999999989</v>
      </c>
    </row>
    <row r="50" spans="3:6" x14ac:dyDescent="0.2">
      <c r="C50" s="183" t="s">
        <v>290</v>
      </c>
      <c r="D50" s="201"/>
      <c r="E50" s="201"/>
      <c r="F50" s="201"/>
    </row>
    <row r="51" spans="3:6" x14ac:dyDescent="0.2">
      <c r="C51" s="198" t="s">
        <v>306</v>
      </c>
      <c r="D51" s="200">
        <v>40.563636363636363</v>
      </c>
      <c r="E51" s="200">
        <v>37.990909090909085</v>
      </c>
      <c r="F51" s="194">
        <v>-6.3424473330345288E-2</v>
      </c>
    </row>
    <row r="52" spans="3:6" x14ac:dyDescent="0.2">
      <c r="C52" s="198" t="s">
        <v>307</v>
      </c>
      <c r="D52" s="200">
        <v>39.745454545454542</v>
      </c>
      <c r="E52" s="200">
        <v>42.918181818181822</v>
      </c>
      <c r="F52" s="194">
        <v>7.9826166514181285E-2</v>
      </c>
    </row>
    <row r="53" spans="3:6" x14ac:dyDescent="0.2">
      <c r="C53" s="198" t="s">
        <v>299</v>
      </c>
      <c r="D53" s="200">
        <v>18.172727272727272</v>
      </c>
      <c r="E53" s="200">
        <v>17.936363636363641</v>
      </c>
      <c r="F53" s="194">
        <v>-1.3006503251625556E-2</v>
      </c>
    </row>
    <row r="54" spans="3:6" x14ac:dyDescent="0.2">
      <c r="C54" s="198" t="s">
        <v>71</v>
      </c>
      <c r="D54" s="200">
        <v>1.5181818181818181</v>
      </c>
      <c r="E54" s="200">
        <v>1.1545454545454545</v>
      </c>
      <c r="F54" s="194">
        <v>-0.23952095808383234</v>
      </c>
    </row>
    <row r="55" spans="3:6" ht="33" customHeight="1" x14ac:dyDescent="0.2">
      <c r="C55" s="314" t="s">
        <v>274</v>
      </c>
      <c r="D55" s="314"/>
      <c r="E55" s="314"/>
      <c r="F55" s="314"/>
    </row>
    <row r="161" spans="2:2" x14ac:dyDescent="0.2">
      <c r="B161" s="204"/>
    </row>
    <row r="163" spans="2:2" x14ac:dyDescent="0.2">
      <c r="B163" s="204"/>
    </row>
  </sheetData>
  <mergeCells count="8">
    <mergeCell ref="C44:F44"/>
    <mergeCell ref="C55:F55"/>
    <mergeCell ref="C25:F25"/>
    <mergeCell ref="C42:F42"/>
    <mergeCell ref="C22:G22"/>
    <mergeCell ref="C3:N3"/>
    <mergeCell ref="C9:N9"/>
    <mergeCell ref="C12:G12"/>
  </mergeCells>
  <printOptions horizontalCentered="1" verticalCentered="1"/>
  <pageMargins left="0.39370078740157483" right="0.39370078740157483" top="0.43307086614173229" bottom="0.39370078740157483" header="0.11811023622047245" footer="0.11811023622047245"/>
  <pageSetup paperSize="9" scale="83" orientation="portrait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N95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2" width="14.85546875" customWidth="1"/>
    <col min="3" max="3" width="26.7109375" bestFit="1" customWidth="1"/>
    <col min="4" max="9" width="7.7109375" customWidth="1"/>
    <col min="10" max="13" width="7.7109375" hidden="1" customWidth="1"/>
    <col min="14" max="14" width="7.7109375" customWidth="1"/>
  </cols>
  <sheetData>
    <row r="1" spans="3:14" ht="33" customHeight="1" x14ac:dyDescent="0.2"/>
    <row r="2" spans="3:14" ht="33" customHeight="1" x14ac:dyDescent="0.2"/>
    <row r="3" spans="3:14" ht="33.75" customHeight="1" x14ac:dyDescent="0.2">
      <c r="C3" s="315" t="s">
        <v>309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40.5" customHeight="1" x14ac:dyDescent="0.2">
      <c r="C4" s="1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4" ht="15" customHeight="1" x14ac:dyDescent="0.2">
      <c r="C5" s="207" t="s">
        <v>85</v>
      </c>
      <c r="D5" s="208">
        <v>84.981684981685007</v>
      </c>
      <c r="E5" s="208">
        <v>82.10526315789474</v>
      </c>
      <c r="F5" s="208">
        <v>82.352941176470594</v>
      </c>
      <c r="G5" s="208">
        <v>71.296296296296291</v>
      </c>
      <c r="H5" s="208">
        <v>78.111587982832617</v>
      </c>
      <c r="I5" s="208">
        <v>80.530973451327441</v>
      </c>
      <c r="J5" s="209">
        <f t="shared" ref="J5:N20" si="0">E5/D5-1</f>
        <v>-3.3847549909256092E-2</v>
      </c>
      <c r="K5" s="209">
        <f t="shared" si="0"/>
        <v>3.0165912518853588E-3</v>
      </c>
      <c r="L5" s="209">
        <f t="shared" si="0"/>
        <v>-0.13425925925925941</v>
      </c>
      <c r="M5" s="209">
        <f t="shared" si="0"/>
        <v>9.5591104174795216E-2</v>
      </c>
      <c r="N5" s="209">
        <f t="shared" si="0"/>
        <v>3.0973451327433787E-2</v>
      </c>
    </row>
    <row r="6" spans="3:14" ht="15" customHeight="1" x14ac:dyDescent="0.2">
      <c r="C6" s="207" t="s">
        <v>82</v>
      </c>
      <c r="D6" s="208">
        <v>78.523489932885894</v>
      </c>
      <c r="E6" s="208">
        <v>82.674772036474167</v>
      </c>
      <c r="F6" s="208">
        <v>72.383720930232556</v>
      </c>
      <c r="G6" s="208">
        <v>75.50432276657061</v>
      </c>
      <c r="H6" s="208">
        <v>76.55367231638418</v>
      </c>
      <c r="I6" s="208">
        <v>79.268292682926827</v>
      </c>
      <c r="J6" s="209">
        <f t="shared" si="0"/>
        <v>5.2866754994414844E-2</v>
      </c>
      <c r="K6" s="209">
        <f t="shared" si="0"/>
        <v>-0.12447631668946657</v>
      </c>
      <c r="L6" s="209">
        <f t="shared" si="0"/>
        <v>4.3111928983947445E-2</v>
      </c>
      <c r="M6" s="209">
        <f t="shared" si="0"/>
        <v>1.3897873808599526E-2</v>
      </c>
      <c r="N6" s="209">
        <f t="shared" si="0"/>
        <v>3.5460354603545907E-2</v>
      </c>
    </row>
    <row r="7" spans="3:14" ht="15" customHeight="1" x14ac:dyDescent="0.2">
      <c r="C7" s="205" t="s">
        <v>84</v>
      </c>
      <c r="D7" s="210">
        <v>78.679653679653697</v>
      </c>
      <c r="E7" s="210">
        <v>78.890876565295173</v>
      </c>
      <c r="F7" s="210">
        <v>74.149659863945573</v>
      </c>
      <c r="G7" s="210">
        <v>73.56435643564356</v>
      </c>
      <c r="H7" s="210">
        <v>78.317432784041628</v>
      </c>
      <c r="I7" s="210">
        <v>76.547515257192671</v>
      </c>
      <c r="J7" s="211">
        <f t="shared" si="0"/>
        <v>2.684593484631792E-3</v>
      </c>
      <c r="K7" s="211">
        <f t="shared" si="0"/>
        <v>-6.0098415783547132E-2</v>
      </c>
      <c r="L7" s="211">
        <f t="shared" si="0"/>
        <v>-7.8935416477426967E-3</v>
      </c>
      <c r="M7" s="211">
        <f t="shared" si="0"/>
        <v>6.4611132057631915E-2</v>
      </c>
      <c r="N7" s="211">
        <f t="shared" si="0"/>
        <v>-2.2599279163420194E-2</v>
      </c>
    </row>
    <row r="8" spans="3:14" ht="15" customHeight="1" x14ac:dyDescent="0.2">
      <c r="C8" s="205" t="s">
        <v>91</v>
      </c>
      <c r="D8" s="210">
        <v>76.453488372093005</v>
      </c>
      <c r="E8" s="210">
        <v>81.16343490304709</v>
      </c>
      <c r="F8" s="210">
        <v>79.894179894179899</v>
      </c>
      <c r="G8" s="210">
        <v>75.925925925925924</v>
      </c>
      <c r="H8" s="210">
        <v>73.497267759562845</v>
      </c>
      <c r="I8" s="210">
        <v>74.193548387096769</v>
      </c>
      <c r="J8" s="211">
        <f t="shared" si="0"/>
        <v>6.1605384283201836E-2</v>
      </c>
      <c r="K8" s="211">
        <f t="shared" si="0"/>
        <v>-1.5638261372049711E-2</v>
      </c>
      <c r="L8" s="211">
        <f t="shared" si="0"/>
        <v>-4.9668874172185573E-2</v>
      </c>
      <c r="M8" s="211">
        <f t="shared" si="0"/>
        <v>-3.1987205117952722E-2</v>
      </c>
      <c r="N8" s="211">
        <f t="shared" si="0"/>
        <v>9.473557980573144E-3</v>
      </c>
    </row>
    <row r="9" spans="3:14" ht="15" customHeight="1" x14ac:dyDescent="0.2">
      <c r="C9" s="207" t="s">
        <v>86</v>
      </c>
      <c r="D9" s="208">
        <v>77.202072538860094</v>
      </c>
      <c r="E9" s="208">
        <v>79.42238267148015</v>
      </c>
      <c r="F9" s="208">
        <v>74.772036474164139</v>
      </c>
      <c r="G9" s="208">
        <v>72.693726937269375</v>
      </c>
      <c r="H9" s="208">
        <v>80.120481927710841</v>
      </c>
      <c r="I9" s="208">
        <v>72.962962962962962</v>
      </c>
      <c r="J9" s="209">
        <f t="shared" si="0"/>
        <v>2.8759721852058551E-2</v>
      </c>
      <c r="K9" s="209">
        <f t="shared" si="0"/>
        <v>-5.8552086211660637E-2</v>
      </c>
      <c r="L9" s="209">
        <f t="shared" si="0"/>
        <v>-2.7795277952779585E-2</v>
      </c>
      <c r="M9" s="209">
        <f t="shared" si="0"/>
        <v>0.10216500519845884</v>
      </c>
      <c r="N9" s="209">
        <f t="shared" si="0"/>
        <v>-8.9334447229184044E-2</v>
      </c>
    </row>
    <row r="10" spans="3:14" ht="15" customHeight="1" x14ac:dyDescent="0.2">
      <c r="C10" s="207" t="s">
        <v>83</v>
      </c>
      <c r="D10" s="208">
        <v>70</v>
      </c>
      <c r="E10" s="208">
        <v>68.722466960352421</v>
      </c>
      <c r="F10" s="208">
        <v>64.953271028037378</v>
      </c>
      <c r="G10" s="208">
        <v>73.86363636363636</v>
      </c>
      <c r="H10" s="208">
        <v>78.632478632478637</v>
      </c>
      <c r="I10" s="208">
        <v>72.199170124481327</v>
      </c>
      <c r="J10" s="209">
        <f t="shared" si="0"/>
        <v>-1.8250471994965434E-2</v>
      </c>
      <c r="K10" s="209">
        <f t="shared" si="0"/>
        <v>-5.4846633117661248E-2</v>
      </c>
      <c r="L10" s="209">
        <f t="shared" si="0"/>
        <v>0.13718116415958148</v>
      </c>
      <c r="M10" s="209">
        <f t="shared" si="0"/>
        <v>6.4562787639710795E-2</v>
      </c>
      <c r="N10" s="209">
        <f t="shared" si="0"/>
        <v>-8.1814901677791929E-2</v>
      </c>
    </row>
    <row r="11" spans="3:14" ht="15" customHeight="1" x14ac:dyDescent="0.2">
      <c r="C11" s="205" t="s">
        <v>89</v>
      </c>
      <c r="D11" s="210">
        <v>75.774473358116495</v>
      </c>
      <c r="E11" s="210">
        <v>72.519083969465655</v>
      </c>
      <c r="F11" s="210">
        <v>73.289665211062598</v>
      </c>
      <c r="G11" s="210">
        <v>72.701555869872706</v>
      </c>
      <c r="H11" s="210">
        <v>67.394366197183103</v>
      </c>
      <c r="I11" s="210">
        <v>63.385269121813032</v>
      </c>
      <c r="J11" s="211">
        <f t="shared" si="0"/>
        <v>-4.2961557426675845E-2</v>
      </c>
      <c r="K11" s="211">
        <f t="shared" si="0"/>
        <v>1.0625909752547402E-2</v>
      </c>
      <c r="L11" s="211">
        <f t="shared" si="0"/>
        <v>-8.0244511896218063E-3</v>
      </c>
      <c r="M11" s="211">
        <f t="shared" si="0"/>
        <v>-7.2999671178823888E-2</v>
      </c>
      <c r="N11" s="211">
        <f t="shared" si="0"/>
        <v>-5.9487124838301986E-2</v>
      </c>
    </row>
    <row r="12" spans="3:14" ht="15" customHeight="1" x14ac:dyDescent="0.2">
      <c r="C12" s="205" t="s">
        <v>93</v>
      </c>
      <c r="D12" s="210">
        <v>61.538461538461497</v>
      </c>
      <c r="E12" s="210">
        <v>77.272727272727266</v>
      </c>
      <c r="F12" s="210">
        <v>68.589743589743591</v>
      </c>
      <c r="G12" s="210">
        <v>67.088607594936704</v>
      </c>
      <c r="H12" s="210">
        <v>67.213114754098356</v>
      </c>
      <c r="I12" s="210">
        <v>61.375661375661373</v>
      </c>
      <c r="J12" s="211">
        <f t="shared" si="0"/>
        <v>0.25568181818181901</v>
      </c>
      <c r="K12" s="211">
        <f t="shared" si="0"/>
        <v>-0.11236802413272995</v>
      </c>
      <c r="L12" s="211">
        <f t="shared" si="0"/>
        <v>-2.188572104578268E-2</v>
      </c>
      <c r="M12" s="211">
        <f t="shared" si="0"/>
        <v>1.8558614290133946E-3</v>
      </c>
      <c r="N12" s="211">
        <f t="shared" si="0"/>
        <v>-8.6849916118208803E-2</v>
      </c>
    </row>
    <row r="13" spans="3:14" ht="15" customHeight="1" x14ac:dyDescent="0.2">
      <c r="C13" s="205" t="s">
        <v>88</v>
      </c>
      <c r="D13" s="210">
        <v>65.185185185185205</v>
      </c>
      <c r="E13" s="210">
        <v>76.612903225806448</v>
      </c>
      <c r="F13" s="210">
        <v>63.722397476340696</v>
      </c>
      <c r="G13" s="210">
        <v>63.522012578616355</v>
      </c>
      <c r="H13" s="210">
        <v>50.621118012422357</v>
      </c>
      <c r="I13" s="210">
        <v>52.785923753665692</v>
      </c>
      <c r="J13" s="211">
        <f t="shared" si="0"/>
        <v>0.17531158357771215</v>
      </c>
      <c r="K13" s="211">
        <f t="shared" si="0"/>
        <v>-0.1682550224140793</v>
      </c>
      <c r="L13" s="211">
        <f t="shared" si="0"/>
        <v>-3.1446540880503138E-3</v>
      </c>
      <c r="M13" s="211">
        <f t="shared" si="0"/>
        <v>-0.20309329069552928</v>
      </c>
      <c r="N13" s="211">
        <f t="shared" si="0"/>
        <v>4.2764874152168897E-2</v>
      </c>
    </row>
    <row r="14" spans="3:14" ht="15" customHeight="1" x14ac:dyDescent="0.2">
      <c r="C14" s="206" t="s">
        <v>308</v>
      </c>
      <c r="D14" s="212">
        <v>53.845454545454501</v>
      </c>
      <c r="E14" s="212">
        <v>55.354545454545452</v>
      </c>
      <c r="F14" s="212">
        <v>54.327272727272728</v>
      </c>
      <c r="G14" s="212">
        <v>54.381818181818183</v>
      </c>
      <c r="H14" s="212">
        <v>50.172727272727272</v>
      </c>
      <c r="I14" s="212">
        <v>50.6</v>
      </c>
      <c r="J14" s="213">
        <f t="shared" si="0"/>
        <v>2.8026338004390361E-2</v>
      </c>
      <c r="K14" s="213">
        <f t="shared" si="0"/>
        <v>-1.8558055509935834E-2</v>
      </c>
      <c r="L14" s="213">
        <f t="shared" si="0"/>
        <v>1.0040160642570406E-3</v>
      </c>
      <c r="M14" s="213">
        <f t="shared" si="0"/>
        <v>-7.7398863256435968E-2</v>
      </c>
      <c r="N14" s="213">
        <f t="shared" si="0"/>
        <v>8.5160355136799648E-3</v>
      </c>
    </row>
    <row r="15" spans="3:14" ht="15" customHeight="1" x14ac:dyDescent="0.2">
      <c r="C15" s="205" t="s">
        <v>95</v>
      </c>
      <c r="D15" s="210">
        <v>65.986394557823104</v>
      </c>
      <c r="E15" s="210">
        <v>65.919282511210767</v>
      </c>
      <c r="F15" s="210">
        <v>57.89473684210526</v>
      </c>
      <c r="G15" s="210">
        <v>49.586776859504134</v>
      </c>
      <c r="H15" s="210">
        <v>42.307692307692307</v>
      </c>
      <c r="I15" s="210">
        <v>47.302904564315355</v>
      </c>
      <c r="J15" s="211">
        <f t="shared" si="0"/>
        <v>-1.0170588507230072E-3</v>
      </c>
      <c r="K15" s="211">
        <f t="shared" si="0"/>
        <v>-0.12173290368779099</v>
      </c>
      <c r="L15" s="211">
        <f t="shared" si="0"/>
        <v>-0.1435011269722013</v>
      </c>
      <c r="M15" s="211">
        <f t="shared" si="0"/>
        <v>-0.14679487179487183</v>
      </c>
      <c r="N15" s="211">
        <f t="shared" si="0"/>
        <v>0.11806865333836303</v>
      </c>
    </row>
    <row r="16" spans="3:14" ht="15" customHeight="1" x14ac:dyDescent="0.2">
      <c r="C16" s="205" t="s">
        <v>87</v>
      </c>
      <c r="D16" s="210">
        <v>35.276217228464397</v>
      </c>
      <c r="E16" s="210">
        <v>38.346639196497556</v>
      </c>
      <c r="F16" s="210">
        <v>42.174928627043862</v>
      </c>
      <c r="G16" s="210">
        <v>46.918946560981844</v>
      </c>
      <c r="H16" s="210">
        <v>43.737424547283702</v>
      </c>
      <c r="I16" s="210">
        <v>44.806360605283409</v>
      </c>
      <c r="J16" s="211">
        <f t="shared" si="0"/>
        <v>8.7039433625996532E-2</v>
      </c>
      <c r="K16" s="211">
        <f t="shared" si="0"/>
        <v>9.9833766681069802E-2</v>
      </c>
      <c r="L16" s="211">
        <f t="shared" si="0"/>
        <v>0.11248431445823415</v>
      </c>
      <c r="M16" s="211">
        <f t="shared" si="0"/>
        <v>-6.7808896978601818E-2</v>
      </c>
      <c r="N16" s="211">
        <f t="shared" si="0"/>
        <v>2.4439849146675297E-2</v>
      </c>
    </row>
    <row r="17" spans="3:14" ht="15" customHeight="1" x14ac:dyDescent="0.2">
      <c r="C17" s="205" t="s">
        <v>100</v>
      </c>
      <c r="D17" s="210">
        <v>69.594594594594597</v>
      </c>
      <c r="E17" s="210">
        <v>57.547169811320757</v>
      </c>
      <c r="F17" s="210">
        <v>58.791208791208788</v>
      </c>
      <c r="G17" s="210">
        <v>46.408839779005525</v>
      </c>
      <c r="H17" s="210">
        <v>43.083003952569172</v>
      </c>
      <c r="I17" s="210">
        <v>43.274853801169591</v>
      </c>
      <c r="J17" s="211">
        <f t="shared" si="0"/>
        <v>-0.17310862795383775</v>
      </c>
      <c r="K17" s="211">
        <f t="shared" si="0"/>
        <v>2.161772653575933E-2</v>
      </c>
      <c r="L17" s="211">
        <f t="shared" si="0"/>
        <v>-0.21061599628233585</v>
      </c>
      <c r="M17" s="211">
        <f t="shared" si="0"/>
        <v>-7.1663843402973826E-2</v>
      </c>
      <c r="N17" s="211">
        <f t="shared" si="0"/>
        <v>4.4530285959547555E-3</v>
      </c>
    </row>
    <row r="18" spans="3:14" ht="15" customHeight="1" x14ac:dyDescent="0.2">
      <c r="C18" s="205" t="s">
        <v>92</v>
      </c>
      <c r="D18" s="210">
        <v>56.680161943319803</v>
      </c>
      <c r="E18" s="210">
        <v>53.036437246963565</v>
      </c>
      <c r="F18" s="210">
        <v>43.137254901960787</v>
      </c>
      <c r="G18" s="210">
        <v>42.763157894736842</v>
      </c>
      <c r="H18" s="210">
        <v>31.335149863760218</v>
      </c>
      <c r="I18" s="210">
        <v>41.369863013698627</v>
      </c>
      <c r="J18" s="211">
        <f t="shared" si="0"/>
        <v>-6.4285714285713613E-2</v>
      </c>
      <c r="K18" s="211">
        <f t="shared" si="0"/>
        <v>-0.18664870528364019</v>
      </c>
      <c r="L18" s="211">
        <f t="shared" si="0"/>
        <v>-8.6722488038277756E-3</v>
      </c>
      <c r="M18" s="211">
        <f t="shared" si="0"/>
        <v>-0.26723957241668417</v>
      </c>
      <c r="N18" s="211">
        <f t="shared" si="0"/>
        <v>0.32023823704586052</v>
      </c>
    </row>
    <row r="19" spans="3:14" ht="15" customHeight="1" x14ac:dyDescent="0.2">
      <c r="C19" s="207" t="s">
        <v>96</v>
      </c>
      <c r="D19" s="208" t="s">
        <v>98</v>
      </c>
      <c r="E19" s="208">
        <v>60.471092077087796</v>
      </c>
      <c r="F19" s="208">
        <v>54.298642533936651</v>
      </c>
      <c r="G19" s="208">
        <v>51.174289245982692</v>
      </c>
      <c r="H19" s="208">
        <v>40.78611536498213</v>
      </c>
      <c r="I19" s="208">
        <v>40.259067357512954</v>
      </c>
      <c r="J19" s="209" t="s">
        <v>98</v>
      </c>
      <c r="K19" s="209">
        <f t="shared" si="0"/>
        <v>-0.10207273146783236</v>
      </c>
      <c r="L19" s="209">
        <f t="shared" si="0"/>
        <v>-5.7540173053152066E-2</v>
      </c>
      <c r="M19" s="209">
        <f t="shared" si="0"/>
        <v>-0.20299595820602545</v>
      </c>
      <c r="N19" s="209">
        <f t="shared" si="0"/>
        <v>-1.2922240884006508E-2</v>
      </c>
    </row>
    <row r="20" spans="3:14" ht="15" customHeight="1" x14ac:dyDescent="0.2">
      <c r="C20" s="205" t="s">
        <v>99</v>
      </c>
      <c r="D20" s="210">
        <v>56.4741907261592</v>
      </c>
      <c r="E20" s="210">
        <v>56.509584664536739</v>
      </c>
      <c r="F20" s="210">
        <v>50.90489025798999</v>
      </c>
      <c r="G20" s="210">
        <v>48.900235663786333</v>
      </c>
      <c r="H20" s="210">
        <v>38.948393378773126</v>
      </c>
      <c r="I20" s="210">
        <v>39.039039039039039</v>
      </c>
      <c r="J20" s="211">
        <f>E20/D20-1</f>
        <v>6.2672767723515044E-4</v>
      </c>
      <c r="K20" s="211">
        <f t="shared" si="0"/>
        <v>-9.9181305964615274E-2</v>
      </c>
      <c r="L20" s="211">
        <f t="shared" si="0"/>
        <v>-3.9380393200808661E-2</v>
      </c>
      <c r="M20" s="211">
        <f t="shared" si="0"/>
        <v>-0.20351317636661548</v>
      </c>
      <c r="N20" s="211">
        <f t="shared" si="0"/>
        <v>2.3273273273274331E-3</v>
      </c>
    </row>
    <row r="21" spans="3:14" ht="15" customHeight="1" x14ac:dyDescent="0.2">
      <c r="C21" s="205" t="s">
        <v>224</v>
      </c>
      <c r="D21" s="210">
        <v>41.891891891891902</v>
      </c>
      <c r="E21" s="210">
        <v>14.973262032085561</v>
      </c>
      <c r="F21" s="210">
        <v>29.677419354838708</v>
      </c>
      <c r="G21" s="210">
        <v>20.348837209302324</v>
      </c>
      <c r="H21" s="210">
        <v>18.232044198895029</v>
      </c>
      <c r="I21" s="210">
        <v>16.766467065868262</v>
      </c>
      <c r="J21" s="211">
        <f>E21/D21-1</f>
        <v>-0.64257374504053832</v>
      </c>
      <c r="K21" s="211">
        <f t="shared" ref="K21:N22" si="1">F21/E21-1</f>
        <v>0.98202764976958523</v>
      </c>
      <c r="L21" s="211">
        <f t="shared" si="1"/>
        <v>-0.31433265925176945</v>
      </c>
      <c r="M21" s="211">
        <f t="shared" si="1"/>
        <v>-0.10402525651144423</v>
      </c>
      <c r="N21" s="211">
        <f t="shared" si="1"/>
        <v>-8.0384685175104442E-2</v>
      </c>
    </row>
    <row r="22" spans="3:14" ht="15" customHeight="1" x14ac:dyDescent="0.2">
      <c r="C22" s="207" t="s">
        <v>101</v>
      </c>
      <c r="D22" s="208" t="s">
        <v>98</v>
      </c>
      <c r="E22" s="208">
        <v>1.7751479289940828</v>
      </c>
      <c r="F22" s="208">
        <v>1.2048192771084338</v>
      </c>
      <c r="G22" s="208">
        <v>2.5210084033613445</v>
      </c>
      <c r="H22" s="208">
        <v>1.0526315789473684</v>
      </c>
      <c r="I22" s="208">
        <v>4.4117647058823533</v>
      </c>
      <c r="J22" s="209" t="s">
        <v>98</v>
      </c>
      <c r="K22" s="209">
        <f t="shared" si="1"/>
        <v>-0.32128514056224888</v>
      </c>
      <c r="L22" s="209">
        <f t="shared" si="1"/>
        <v>1.0924369747899156</v>
      </c>
      <c r="M22" s="209">
        <f t="shared" si="1"/>
        <v>-0.58245614035087723</v>
      </c>
      <c r="N22" s="209">
        <f t="shared" si="1"/>
        <v>3.1911764705882355</v>
      </c>
    </row>
    <row r="23" spans="3:14" ht="15" customHeight="1" x14ac:dyDescent="0.2">
      <c r="C23" s="288" t="s">
        <v>201</v>
      </c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</row>
    <row r="75" spans="3:14" ht="33.75" customHeight="1" x14ac:dyDescent="0.2">
      <c r="C75" s="315" t="s">
        <v>310</v>
      </c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</row>
    <row r="76" spans="3:14" ht="44.25" customHeight="1" x14ac:dyDescent="0.2">
      <c r="C76" s="10"/>
      <c r="D76" s="10">
        <v>2007</v>
      </c>
      <c r="E76" s="10">
        <v>2008</v>
      </c>
      <c r="F76" s="10">
        <v>2009</v>
      </c>
      <c r="G76" s="10">
        <v>2010</v>
      </c>
      <c r="H76" s="10">
        <v>2011</v>
      </c>
      <c r="I76" s="10">
        <v>2012</v>
      </c>
      <c r="J76" s="143" t="s">
        <v>58</v>
      </c>
      <c r="K76" s="143" t="s">
        <v>59</v>
      </c>
      <c r="L76" s="143" t="s">
        <v>60</v>
      </c>
      <c r="M76" s="143" t="s">
        <v>61</v>
      </c>
      <c r="N76" s="143" t="s">
        <v>62</v>
      </c>
    </row>
    <row r="77" spans="3:14" ht="15" customHeight="1" x14ac:dyDescent="0.2">
      <c r="C77" s="207" t="s">
        <v>101</v>
      </c>
      <c r="D77" s="208" t="s">
        <v>98</v>
      </c>
      <c r="E77" s="208">
        <v>81.065088757396452</v>
      </c>
      <c r="F77" s="208">
        <v>90.963855421686745</v>
      </c>
      <c r="G77" s="208">
        <v>94.9579831932773</v>
      </c>
      <c r="H77" s="208">
        <v>96.84210526315789</v>
      </c>
      <c r="I77" s="208">
        <v>89.705882352941174</v>
      </c>
      <c r="J77" s="209" t="s">
        <v>98</v>
      </c>
      <c r="K77" s="209">
        <f t="shared" ref="K77:N94" si="2">F77/E77-1</f>
        <v>0.12210887345000443</v>
      </c>
      <c r="L77" s="209">
        <f t="shared" si="2"/>
        <v>4.3908954310200921E-2</v>
      </c>
      <c r="M77" s="209">
        <f t="shared" si="2"/>
        <v>1.9841639496972485E-2</v>
      </c>
      <c r="N77" s="209">
        <f t="shared" si="2"/>
        <v>-7.3689258312020445E-2</v>
      </c>
    </row>
    <row r="78" spans="3:14" ht="15" customHeight="1" x14ac:dyDescent="0.2">
      <c r="C78" s="205" t="s">
        <v>224</v>
      </c>
      <c r="D78" s="210">
        <v>51.351351351351298</v>
      </c>
      <c r="E78" s="210">
        <v>80.748663101604279</v>
      </c>
      <c r="F78" s="210">
        <v>69.677419354838719</v>
      </c>
      <c r="G78" s="210">
        <v>79.069767441860463</v>
      </c>
      <c r="H78" s="210">
        <v>76.795580110497241</v>
      </c>
      <c r="I78" s="210">
        <v>82.634730538922156</v>
      </c>
      <c r="J78" s="211">
        <f>E78/D78-1</f>
        <v>0.57247396566282172</v>
      </c>
      <c r="K78" s="211">
        <f t="shared" si="2"/>
        <v>-0.13710745567186489</v>
      </c>
      <c r="L78" s="211">
        <f t="shared" si="2"/>
        <v>0.13479758828596022</v>
      </c>
      <c r="M78" s="211">
        <f t="shared" si="2"/>
        <v>-2.8761780955476102E-2</v>
      </c>
      <c r="N78" s="211">
        <f t="shared" si="2"/>
        <v>7.6034980398914431E-2</v>
      </c>
    </row>
    <row r="79" spans="3:14" ht="15" customHeight="1" x14ac:dyDescent="0.2">
      <c r="C79" s="205" t="s">
        <v>99</v>
      </c>
      <c r="D79" s="210">
        <v>30.489938757655302</v>
      </c>
      <c r="E79" s="210">
        <v>37.899361022364218</v>
      </c>
      <c r="F79" s="210">
        <v>45.668078552175587</v>
      </c>
      <c r="G79" s="210">
        <v>49.214454045561666</v>
      </c>
      <c r="H79" s="210">
        <v>57.692307692307693</v>
      </c>
      <c r="I79" s="210">
        <v>57.457457457457458</v>
      </c>
      <c r="J79" s="211">
        <f>E79/D79-1</f>
        <v>0.24301204156563228</v>
      </c>
      <c r="K79" s="211">
        <f t="shared" si="2"/>
        <v>0.20498281027026</v>
      </c>
      <c r="L79" s="211">
        <f t="shared" si="2"/>
        <v>7.7655456630047581E-2</v>
      </c>
      <c r="M79" s="211">
        <f t="shared" si="2"/>
        <v>0.17226349069924485</v>
      </c>
      <c r="N79" s="211">
        <f t="shared" si="2"/>
        <v>-4.0707374040707123E-3</v>
      </c>
    </row>
    <row r="80" spans="3:14" ht="15" customHeight="1" x14ac:dyDescent="0.2">
      <c r="C80" s="207" t="s">
        <v>96</v>
      </c>
      <c r="D80" s="208" t="s">
        <v>98</v>
      </c>
      <c r="E80" s="208">
        <v>34.775160599571734</v>
      </c>
      <c r="F80" s="208">
        <v>42.57507198683669</v>
      </c>
      <c r="G80" s="208">
        <v>46.97156983930779</v>
      </c>
      <c r="H80" s="208">
        <v>55.793772332822869</v>
      </c>
      <c r="I80" s="208">
        <v>56.321243523316056</v>
      </c>
      <c r="J80" s="209" t="s">
        <v>98</v>
      </c>
      <c r="K80" s="209">
        <f t="shared" si="2"/>
        <v>0.22429548139487276</v>
      </c>
      <c r="L80" s="209">
        <f t="shared" si="2"/>
        <v>0.10326460173292018</v>
      </c>
      <c r="M80" s="209">
        <f t="shared" si="2"/>
        <v>0.18782004782246564</v>
      </c>
      <c r="N80" s="209">
        <f t="shared" si="2"/>
        <v>9.4539438442466928E-3</v>
      </c>
    </row>
    <row r="81" spans="3:14" ht="15" customHeight="1" x14ac:dyDescent="0.2">
      <c r="C81" s="205" t="s">
        <v>87</v>
      </c>
      <c r="D81" s="210">
        <v>62.102059925093698</v>
      </c>
      <c r="E81" s="210">
        <v>60.056657223796037</v>
      </c>
      <c r="F81" s="210">
        <v>57.331949130547628</v>
      </c>
      <c r="G81" s="210">
        <v>52.646381999488625</v>
      </c>
      <c r="H81" s="210">
        <v>55.005030181086525</v>
      </c>
      <c r="I81" s="210">
        <v>54.244678122595545</v>
      </c>
      <c r="J81" s="211">
        <f t="shared" ref="J81:J94" si="3">E81/D81-1</f>
        <v>-3.2936149038611418E-2</v>
      </c>
      <c r="K81" s="211">
        <f t="shared" si="2"/>
        <v>-4.5368960231919275E-2</v>
      </c>
      <c r="L81" s="211">
        <f t="shared" si="2"/>
        <v>-8.1726981240246022E-2</v>
      </c>
      <c r="M81" s="211">
        <f t="shared" si="2"/>
        <v>4.4801714610147592E-2</v>
      </c>
      <c r="N81" s="211">
        <f t="shared" si="2"/>
        <v>-1.3823318630819093E-2</v>
      </c>
    </row>
    <row r="82" spans="3:14" ht="15" customHeight="1" x14ac:dyDescent="0.2">
      <c r="C82" s="205" t="s">
        <v>92</v>
      </c>
      <c r="D82" s="210">
        <v>28.340080971659901</v>
      </c>
      <c r="E82" s="210">
        <v>36.032388663967609</v>
      </c>
      <c r="F82" s="210">
        <v>51.764705882352942</v>
      </c>
      <c r="G82" s="210">
        <v>55.263157894736842</v>
      </c>
      <c r="H82" s="210">
        <v>64.305177111716617</v>
      </c>
      <c r="I82" s="210">
        <v>53.972602739726028</v>
      </c>
      <c r="J82" s="211">
        <f t="shared" si="3"/>
        <v>0.27142857142857224</v>
      </c>
      <c r="K82" s="211">
        <f t="shared" si="2"/>
        <v>0.43661599471249191</v>
      </c>
      <c r="L82" s="211">
        <f t="shared" si="2"/>
        <v>6.758373205741619E-2</v>
      </c>
      <c r="M82" s="211">
        <f t="shared" si="2"/>
        <v>0.16361749059296726</v>
      </c>
      <c r="N82" s="211">
        <f t="shared" si="2"/>
        <v>-0.16068028790341293</v>
      </c>
    </row>
    <row r="83" spans="3:14" ht="15" customHeight="1" x14ac:dyDescent="0.2">
      <c r="C83" s="205" t="s">
        <v>100</v>
      </c>
      <c r="D83" s="210">
        <v>20.94594594594593</v>
      </c>
      <c r="E83" s="210">
        <v>35.849056603773583</v>
      </c>
      <c r="F83" s="210">
        <v>40.109890109890109</v>
      </c>
      <c r="G83" s="210">
        <v>53.038674033149178</v>
      </c>
      <c r="H83" s="210">
        <v>52.569169960474305</v>
      </c>
      <c r="I83" s="210">
        <v>53.216374269005847</v>
      </c>
      <c r="J83" s="211">
        <f t="shared" si="3"/>
        <v>0.71150334753499811</v>
      </c>
      <c r="K83" s="211">
        <f t="shared" si="2"/>
        <v>0.11885482938114511</v>
      </c>
      <c r="L83" s="211">
        <f t="shared" si="2"/>
        <v>0.32233406493604799</v>
      </c>
      <c r="M83" s="211">
        <f t="shared" si="2"/>
        <v>-8.8521080368908489E-3</v>
      </c>
      <c r="N83" s="211">
        <f t="shared" si="2"/>
        <v>1.2311480455524881E-2</v>
      </c>
    </row>
    <row r="84" spans="3:14" ht="15" customHeight="1" x14ac:dyDescent="0.2">
      <c r="C84" s="205" t="s">
        <v>95</v>
      </c>
      <c r="D84" s="210">
        <v>26.530612244897981</v>
      </c>
      <c r="E84" s="210">
        <v>30.941704035874441</v>
      </c>
      <c r="F84" s="210">
        <v>39.035087719298247</v>
      </c>
      <c r="G84" s="210">
        <v>50</v>
      </c>
      <c r="H84" s="210">
        <v>55.594405594405593</v>
      </c>
      <c r="I84" s="210">
        <v>50.207468879668049</v>
      </c>
      <c r="J84" s="211">
        <f t="shared" si="3"/>
        <v>0.16626422904449711</v>
      </c>
      <c r="K84" s="211">
        <f t="shared" si="2"/>
        <v>0.26156877701500125</v>
      </c>
      <c r="L84" s="211">
        <f t="shared" si="2"/>
        <v>0.2808988764044944</v>
      </c>
      <c r="M84" s="211">
        <f t="shared" si="2"/>
        <v>0.11188811188811187</v>
      </c>
      <c r="N84" s="211">
        <f t="shared" si="2"/>
        <v>-9.6897100655027546E-2</v>
      </c>
    </row>
    <row r="85" spans="3:14" ht="15" customHeight="1" x14ac:dyDescent="0.2">
      <c r="C85" s="206" t="s">
        <v>308</v>
      </c>
      <c r="D85" s="212">
        <v>39.681818181818201</v>
      </c>
      <c r="E85" s="212">
        <v>41.263636363636365</v>
      </c>
      <c r="F85" s="212">
        <v>43.900000000000006</v>
      </c>
      <c r="G85" s="212">
        <v>44.645454545454541</v>
      </c>
      <c r="H85" s="212">
        <v>47.427272727272729</v>
      </c>
      <c r="I85" s="212">
        <v>47.31818181818182</v>
      </c>
      <c r="J85" s="213">
        <f t="shared" si="3"/>
        <v>3.9862542955326097E-2</v>
      </c>
      <c r="K85" s="213">
        <f t="shared" si="2"/>
        <v>6.3890724829257728E-2</v>
      </c>
      <c r="L85" s="213">
        <f t="shared" si="2"/>
        <v>1.6980741354317486E-2</v>
      </c>
      <c r="M85" s="213">
        <f t="shared" si="2"/>
        <v>6.23091020158828E-2</v>
      </c>
      <c r="N85" s="213">
        <f t="shared" si="2"/>
        <v>-2.3001725129384587E-3</v>
      </c>
    </row>
    <row r="86" spans="3:14" ht="15" customHeight="1" x14ac:dyDescent="0.2">
      <c r="C86" s="205" t="s">
        <v>88</v>
      </c>
      <c r="D86" s="210">
        <v>23.333333333333329</v>
      </c>
      <c r="E86" s="210">
        <v>18.548387096774192</v>
      </c>
      <c r="F86" s="210">
        <v>32.807570977917976</v>
      </c>
      <c r="G86" s="210">
        <v>34.905660377358494</v>
      </c>
      <c r="H86" s="210">
        <v>44.720496894409941</v>
      </c>
      <c r="I86" s="210">
        <v>43.401759530791786</v>
      </c>
      <c r="J86" s="211">
        <f t="shared" si="3"/>
        <v>-0.20506912442396308</v>
      </c>
      <c r="K86" s="211">
        <f t="shared" si="2"/>
        <v>0.76875600054862137</v>
      </c>
      <c r="L86" s="211">
        <f t="shared" si="2"/>
        <v>6.3951378809869563E-2</v>
      </c>
      <c r="M86" s="211">
        <f t="shared" si="2"/>
        <v>0.2811818029209332</v>
      </c>
      <c r="N86" s="211">
        <f t="shared" si="2"/>
        <v>-2.9488432714239288E-2</v>
      </c>
    </row>
    <row r="87" spans="3:14" ht="15" customHeight="1" x14ac:dyDescent="0.2">
      <c r="C87" s="205" t="s">
        <v>93</v>
      </c>
      <c r="D87" s="210">
        <v>29.4871794871795</v>
      </c>
      <c r="E87" s="210">
        <v>17.532467532467535</v>
      </c>
      <c r="F87" s="210">
        <v>30.769230769230766</v>
      </c>
      <c r="G87" s="210">
        <v>31.645569620253163</v>
      </c>
      <c r="H87" s="210">
        <v>31.693989071038253</v>
      </c>
      <c r="I87" s="210">
        <v>34.391534391534393</v>
      </c>
      <c r="J87" s="211">
        <f t="shared" si="3"/>
        <v>-0.40542066629023166</v>
      </c>
      <c r="K87" s="211">
        <f t="shared" si="2"/>
        <v>0.7549857549857546</v>
      </c>
      <c r="L87" s="211">
        <f t="shared" si="2"/>
        <v>2.8481012658227778E-2</v>
      </c>
      <c r="M87" s="211">
        <f t="shared" si="2"/>
        <v>1.5300546448089314E-3</v>
      </c>
      <c r="N87" s="211">
        <f t="shared" si="2"/>
        <v>8.5112205801860963E-2</v>
      </c>
    </row>
    <row r="88" spans="3:14" ht="15" customHeight="1" x14ac:dyDescent="0.2">
      <c r="C88" s="205" t="s">
        <v>89</v>
      </c>
      <c r="D88" s="210">
        <v>18.587360594795541</v>
      </c>
      <c r="E88" s="210">
        <v>24.566273421235252</v>
      </c>
      <c r="F88" s="210">
        <v>24.818049490538574</v>
      </c>
      <c r="G88" s="210">
        <v>26.237623762376238</v>
      </c>
      <c r="H88" s="210">
        <v>30.211267605633804</v>
      </c>
      <c r="I88" s="210">
        <v>34.065155807365436</v>
      </c>
      <c r="J88" s="211">
        <f t="shared" si="3"/>
        <v>0.32166551006245636</v>
      </c>
      <c r="K88" s="211">
        <f t="shared" si="2"/>
        <v>1.0248850730680381E-2</v>
      </c>
      <c r="L88" s="211">
        <f t="shared" si="2"/>
        <v>5.7199268313928187E-2</v>
      </c>
      <c r="M88" s="211">
        <f t="shared" si="2"/>
        <v>0.15144831251660906</v>
      </c>
      <c r="N88" s="211">
        <f t="shared" si="2"/>
        <v>0.1275645978195552</v>
      </c>
    </row>
    <row r="89" spans="3:14" ht="15" customHeight="1" x14ac:dyDescent="0.2">
      <c r="C89" s="207" t="s">
        <v>83</v>
      </c>
      <c r="D89" s="208">
        <v>25.625</v>
      </c>
      <c r="E89" s="208">
        <v>29.955947136563879</v>
      </c>
      <c r="F89" s="208">
        <v>34.112149532710276</v>
      </c>
      <c r="G89" s="208">
        <v>25</v>
      </c>
      <c r="H89" s="208">
        <v>20.512820512820515</v>
      </c>
      <c r="I89" s="208">
        <v>26.970954356846473</v>
      </c>
      <c r="J89" s="209">
        <f t="shared" si="3"/>
        <v>0.16901257118298063</v>
      </c>
      <c r="K89" s="209">
        <f t="shared" si="2"/>
        <v>0.13874381528312241</v>
      </c>
      <c r="L89" s="209">
        <f t="shared" si="2"/>
        <v>-0.26712328767123283</v>
      </c>
      <c r="M89" s="209">
        <f t="shared" si="2"/>
        <v>-0.1794871794871794</v>
      </c>
      <c r="N89" s="209">
        <f t="shared" si="2"/>
        <v>0.31483402489626555</v>
      </c>
    </row>
    <row r="90" spans="3:14" ht="15" customHeight="1" x14ac:dyDescent="0.2">
      <c r="C90" s="207" t="s">
        <v>86</v>
      </c>
      <c r="D90" s="208">
        <v>18.652849740932652</v>
      </c>
      <c r="E90" s="208">
        <v>19.494584837545126</v>
      </c>
      <c r="F90" s="208">
        <v>24.316109422492403</v>
      </c>
      <c r="G90" s="208">
        <v>26.937269372693727</v>
      </c>
      <c r="H90" s="208">
        <v>19.277108433734938</v>
      </c>
      <c r="I90" s="208">
        <v>25.925925925925927</v>
      </c>
      <c r="J90" s="209">
        <f t="shared" si="3"/>
        <v>4.5126353790613249E-2</v>
      </c>
      <c r="K90" s="209">
        <f t="shared" si="2"/>
        <v>0.24732635370933242</v>
      </c>
      <c r="L90" s="209">
        <f t="shared" si="2"/>
        <v>0.10779520295202949</v>
      </c>
      <c r="M90" s="209">
        <f t="shared" si="2"/>
        <v>-0.28437035814490852</v>
      </c>
      <c r="N90" s="209">
        <f t="shared" si="2"/>
        <v>0.34490740740740766</v>
      </c>
    </row>
    <row r="91" spans="3:14" ht="15" customHeight="1" x14ac:dyDescent="0.2">
      <c r="C91" s="205" t="s">
        <v>91</v>
      </c>
      <c r="D91" s="210">
        <v>18.604651162790699</v>
      </c>
      <c r="E91" s="210">
        <v>17.451523545706372</v>
      </c>
      <c r="F91" s="210">
        <v>18.518518518518519</v>
      </c>
      <c r="G91" s="210">
        <v>23.280423280423278</v>
      </c>
      <c r="H91" s="210">
        <v>24.863387978142079</v>
      </c>
      <c r="I91" s="210">
        <v>24.462365591397848</v>
      </c>
      <c r="J91" s="211">
        <f t="shared" si="3"/>
        <v>-6.198060941828254E-2</v>
      </c>
      <c r="K91" s="211">
        <f t="shared" si="2"/>
        <v>6.1140505584949878E-2</v>
      </c>
      <c r="L91" s="211">
        <f t="shared" si="2"/>
        <v>0.2571428571428569</v>
      </c>
      <c r="M91" s="211">
        <f t="shared" si="2"/>
        <v>6.7995529061102955E-2</v>
      </c>
      <c r="N91" s="211">
        <f t="shared" si="2"/>
        <v>-1.6129032258064613E-2</v>
      </c>
    </row>
    <row r="92" spans="3:14" ht="15" customHeight="1" x14ac:dyDescent="0.2">
      <c r="C92" s="205" t="s">
        <v>84</v>
      </c>
      <c r="D92" s="210">
        <v>17.31601731601733</v>
      </c>
      <c r="E92" s="210">
        <v>19.588550983899822</v>
      </c>
      <c r="F92" s="210">
        <v>24.65986394557823</v>
      </c>
      <c r="G92" s="210">
        <v>26.03960396039604</v>
      </c>
      <c r="H92" s="210">
        <v>20.381613183000866</v>
      </c>
      <c r="I92" s="210">
        <v>22.755013077593723</v>
      </c>
      <c r="J92" s="211">
        <f t="shared" si="3"/>
        <v>0.13123881932021386</v>
      </c>
      <c r="K92" s="211">
        <f t="shared" si="2"/>
        <v>0.25889168452769229</v>
      </c>
      <c r="L92" s="211">
        <f t="shared" si="2"/>
        <v>5.5950836462956621E-2</v>
      </c>
      <c r="M92" s="211">
        <f t="shared" si="2"/>
        <v>-0.21728405647030891</v>
      </c>
      <c r="N92" s="211">
        <f t="shared" si="2"/>
        <v>0.11644808844534316</v>
      </c>
    </row>
    <row r="93" spans="3:14" ht="15" customHeight="1" x14ac:dyDescent="0.2">
      <c r="C93" s="207" t="s">
        <v>82</v>
      </c>
      <c r="D93" s="208">
        <v>15.436241610738222</v>
      </c>
      <c r="E93" s="208">
        <v>15.501519756838906</v>
      </c>
      <c r="F93" s="208">
        <v>25.581395348837212</v>
      </c>
      <c r="G93" s="208">
        <v>24.207492795389047</v>
      </c>
      <c r="H93" s="208">
        <v>21.186440677966104</v>
      </c>
      <c r="I93" s="208">
        <v>20</v>
      </c>
      <c r="J93" s="209">
        <f t="shared" si="3"/>
        <v>4.2288885952181943E-3</v>
      </c>
      <c r="K93" s="209">
        <f t="shared" si="2"/>
        <v>0.65025079799361607</v>
      </c>
      <c r="L93" s="209">
        <f t="shared" si="2"/>
        <v>-5.3707099816610038E-2</v>
      </c>
      <c r="M93" s="209">
        <f t="shared" si="2"/>
        <v>-0.12479822437449539</v>
      </c>
      <c r="N93" s="209">
        <f t="shared" si="2"/>
        <v>-5.600000000000005E-2</v>
      </c>
    </row>
    <row r="94" spans="3:14" ht="15" customHeight="1" x14ac:dyDescent="0.2">
      <c r="C94" s="207" t="s">
        <v>85</v>
      </c>
      <c r="D94" s="208">
        <v>13.553113553113562</v>
      </c>
      <c r="E94" s="208">
        <v>16.140350877192983</v>
      </c>
      <c r="F94" s="208">
        <v>16.955017301038062</v>
      </c>
      <c r="G94" s="208">
        <v>28.703703703703706</v>
      </c>
      <c r="H94" s="208">
        <v>20.600858369098713</v>
      </c>
      <c r="I94" s="208">
        <v>19.469026548672566</v>
      </c>
      <c r="J94" s="209">
        <f t="shared" si="3"/>
        <v>0.19089615931721116</v>
      </c>
      <c r="K94" s="209">
        <f t="shared" si="2"/>
        <v>5.0473897999097295E-2</v>
      </c>
      <c r="L94" s="209">
        <f t="shared" si="2"/>
        <v>0.69293272864701461</v>
      </c>
      <c r="M94" s="209">
        <f t="shared" si="2"/>
        <v>-0.2822926761733352</v>
      </c>
      <c r="N94" s="209">
        <f t="shared" si="2"/>
        <v>-5.4941002949852491E-2</v>
      </c>
    </row>
    <row r="95" spans="3:14" ht="12.75" customHeight="1" x14ac:dyDescent="0.2">
      <c r="C95" s="288" t="s">
        <v>201</v>
      </c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</row>
  </sheetData>
  <mergeCells count="4">
    <mergeCell ref="C3:N3"/>
    <mergeCell ref="C23:N23"/>
    <mergeCell ref="C75:N75"/>
    <mergeCell ref="C95:N9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8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G32:I39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7" max="7" width="10" customWidth="1"/>
    <col min="8" max="8" width="7.140625" customWidth="1"/>
    <col min="9" max="9" width="12.28515625" customWidth="1"/>
  </cols>
  <sheetData>
    <row r="32" ht="15.75" customHeight="1" x14ac:dyDescent="0.2"/>
    <row r="36" spans="7:9" x14ac:dyDescent="0.2">
      <c r="G36" s="15"/>
      <c r="H36" s="15"/>
      <c r="I36" s="287" t="s">
        <v>76</v>
      </c>
    </row>
    <row r="37" spans="7:9" x14ac:dyDescent="0.2">
      <c r="G37" s="15"/>
      <c r="H37" s="15"/>
      <c r="I37" s="287"/>
    </row>
    <row r="38" spans="7:9" x14ac:dyDescent="0.2">
      <c r="G38" s="15"/>
      <c r="H38" s="15"/>
      <c r="I38" s="15"/>
    </row>
    <row r="39" spans="7:9" x14ac:dyDescent="0.2">
      <c r="G39" s="15"/>
      <c r="H39" s="15"/>
      <c r="I39" s="15"/>
    </row>
  </sheetData>
  <mergeCells count="1">
    <mergeCell ref="I36:I37"/>
  </mergeCells>
  <hyperlinks>
    <hyperlink ref="I36:I37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N22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1" width="14.85546875" customWidth="1"/>
    <col min="2" max="2" width="12" customWidth="1"/>
    <col min="3" max="3" width="22.85546875" customWidth="1"/>
    <col min="4" max="9" width="7.7109375" customWidth="1"/>
    <col min="10" max="13" width="7.7109375" hidden="1" customWidth="1"/>
    <col min="14" max="14" width="7.7109375" customWidth="1"/>
  </cols>
  <sheetData>
    <row r="1" spans="3:14" ht="33" customHeight="1" x14ac:dyDescent="0.2"/>
    <row r="2" spans="3:14" ht="33" customHeight="1" x14ac:dyDescent="0.2"/>
    <row r="3" spans="3:14" ht="36" customHeight="1" x14ac:dyDescent="0.2">
      <c r="C3" s="315" t="s">
        <v>311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44.25" customHeight="1" x14ac:dyDescent="0.2">
      <c r="C4" s="1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4" ht="15" customHeight="1" x14ac:dyDescent="0.2">
      <c r="C5" s="205" t="s">
        <v>312</v>
      </c>
      <c r="D5" s="210">
        <v>50.272727272727302</v>
      </c>
      <c r="E5" s="210">
        <v>52.372727272727275</v>
      </c>
      <c r="F5" s="210">
        <v>52.036363636363639</v>
      </c>
      <c r="G5" s="210">
        <v>50.709090909090911</v>
      </c>
      <c r="H5" s="210">
        <v>45.718181818181819</v>
      </c>
      <c r="I5" s="210">
        <v>47.7</v>
      </c>
      <c r="J5" s="211">
        <f t="shared" ref="J5:K11" si="0">E5/D5-1</f>
        <v>4.1772151898733512E-2</v>
      </c>
      <c r="K5" s="211">
        <f t="shared" si="0"/>
        <v>-6.4224960944280207E-3</v>
      </c>
      <c r="L5" s="211">
        <f t="shared" ref="L5:N11" si="1">IFERROR(G5/F5-1,"-")</f>
        <v>-2.5506638714185903E-2</v>
      </c>
      <c r="M5" s="211">
        <f t="shared" si="1"/>
        <v>-9.8422373610613123E-2</v>
      </c>
      <c r="N5" s="211">
        <f t="shared" si="1"/>
        <v>4.334857824617222E-2</v>
      </c>
    </row>
    <row r="6" spans="3:14" ht="15" customHeight="1" x14ac:dyDescent="0.2">
      <c r="C6" s="205" t="s">
        <v>313</v>
      </c>
      <c r="D6" s="210">
        <v>16.054545454545501</v>
      </c>
      <c r="E6" s="210">
        <v>17</v>
      </c>
      <c r="F6" s="210">
        <v>19.5</v>
      </c>
      <c r="G6" s="210">
        <v>20.290909090909089</v>
      </c>
      <c r="H6" s="210">
        <v>22.309090909090909</v>
      </c>
      <c r="I6" s="210">
        <v>23.454545454545453</v>
      </c>
      <c r="J6" s="211">
        <f>E6/D6-1</f>
        <v>5.8890147225365119E-2</v>
      </c>
      <c r="K6" s="211">
        <f>F6/E6-1</f>
        <v>0.14705882352941169</v>
      </c>
      <c r="L6" s="211">
        <f t="shared" si="1"/>
        <v>4.0559440559440496E-2</v>
      </c>
      <c r="M6" s="211">
        <f t="shared" si="1"/>
        <v>9.9462365591397983E-2</v>
      </c>
      <c r="N6" s="211">
        <f t="shared" si="1"/>
        <v>5.1344743276283689E-2</v>
      </c>
    </row>
    <row r="7" spans="3:14" ht="15" customHeight="1" x14ac:dyDescent="0.2">
      <c r="C7" s="205" t="s">
        <v>314</v>
      </c>
      <c r="D7" s="210">
        <v>28.981818181818198</v>
      </c>
      <c r="E7" s="210">
        <v>25.363636363636363</v>
      </c>
      <c r="F7" s="210">
        <v>23.663636363636364</v>
      </c>
      <c r="G7" s="210">
        <v>22.163636363636364</v>
      </c>
      <c r="H7" s="210">
        <v>19.063636363636363</v>
      </c>
      <c r="I7" s="210">
        <v>21.063636363636363</v>
      </c>
      <c r="J7" s="211">
        <f t="shared" si="0"/>
        <v>-0.12484316185696409</v>
      </c>
      <c r="K7" s="211">
        <f t="shared" si="0"/>
        <v>-6.7025089605734722E-2</v>
      </c>
      <c r="L7" s="211">
        <f t="shared" si="1"/>
        <v>-6.3388398002305002E-2</v>
      </c>
      <c r="M7" s="211">
        <f>IFERROR(H7/G7-1,"-")</f>
        <v>-0.13986874487284662</v>
      </c>
      <c r="N7" s="211">
        <f>IFERROR(I7/H7-1,"-")</f>
        <v>0.10491177873152124</v>
      </c>
    </row>
    <row r="8" spans="3:14" ht="15" customHeight="1" x14ac:dyDescent="0.2">
      <c r="C8" s="205" t="s">
        <v>315</v>
      </c>
      <c r="D8" s="210"/>
      <c r="E8" s="210"/>
      <c r="F8" s="210"/>
      <c r="G8" s="210">
        <v>2.6636363636363636</v>
      </c>
      <c r="H8" s="210">
        <v>7.290909090909091</v>
      </c>
      <c r="I8" s="210">
        <v>6.9909090909090912</v>
      </c>
      <c r="J8" s="211"/>
      <c r="K8" s="214" t="s">
        <v>98</v>
      </c>
      <c r="L8" s="211" t="str">
        <f>IFERROR(G8/F8-1,"-")</f>
        <v>-</v>
      </c>
      <c r="M8" s="211">
        <f>IFERROR(H8/G8-1,"-")</f>
        <v>1.7372013651877136</v>
      </c>
      <c r="N8" s="211">
        <f>IFERROR(I8/H8-1,"-")</f>
        <v>-4.1147132169575995E-2</v>
      </c>
    </row>
    <row r="9" spans="3:14" ht="15" customHeight="1" x14ac:dyDescent="0.2">
      <c r="C9" s="162" t="s">
        <v>316</v>
      </c>
      <c r="D9" s="215">
        <v>4.8818181818181801</v>
      </c>
      <c r="E9" s="215">
        <v>6.2454545454545451</v>
      </c>
      <c r="F9" s="215">
        <v>6.1818181818181817</v>
      </c>
      <c r="G9" s="215">
        <v>6.2727272727272725</v>
      </c>
      <c r="H9" s="215">
        <v>8.3818181818181809</v>
      </c>
      <c r="I9" s="215">
        <v>5.5727272727272723</v>
      </c>
      <c r="J9" s="211">
        <f t="shared" si="0"/>
        <v>0.27932960893854797</v>
      </c>
      <c r="K9" s="211">
        <f t="shared" si="0"/>
        <v>-1.0189228529839833E-2</v>
      </c>
      <c r="L9" s="211">
        <f t="shared" si="1"/>
        <v>1.4705882352941124E-2</v>
      </c>
      <c r="M9" s="211">
        <f t="shared" si="1"/>
        <v>0.336231884057971</v>
      </c>
      <c r="N9" s="211">
        <f t="shared" si="1"/>
        <v>-0.33514099783080253</v>
      </c>
    </row>
    <row r="10" spans="3:14" ht="15" customHeight="1" x14ac:dyDescent="0.2">
      <c r="C10" s="205" t="s">
        <v>317</v>
      </c>
      <c r="D10" s="210">
        <v>0.71818181818181803</v>
      </c>
      <c r="E10" s="210">
        <v>0.44545454545454544</v>
      </c>
      <c r="F10" s="210">
        <v>0.44545454545454544</v>
      </c>
      <c r="G10" s="210">
        <v>0.35454545454545455</v>
      </c>
      <c r="H10" s="210">
        <v>0.44545454545454544</v>
      </c>
      <c r="I10" s="210">
        <v>0.43636363636363634</v>
      </c>
      <c r="J10" s="211">
        <f t="shared" si="0"/>
        <v>-0.37974683544303789</v>
      </c>
      <c r="K10" s="211">
        <f t="shared" si="0"/>
        <v>0</v>
      </c>
      <c r="L10" s="211">
        <f t="shared" si="1"/>
        <v>-0.20408163265306123</v>
      </c>
      <c r="M10" s="211">
        <f t="shared" si="1"/>
        <v>0.25641025641025639</v>
      </c>
      <c r="N10" s="211">
        <f t="shared" si="1"/>
        <v>-2.0408163265306145E-2</v>
      </c>
    </row>
    <row r="11" spans="3:14" ht="15" customHeight="1" x14ac:dyDescent="0.2">
      <c r="C11" s="205" t="s">
        <v>71</v>
      </c>
      <c r="D11" s="210">
        <v>2.9</v>
      </c>
      <c r="E11" s="210">
        <v>2.3181818181818183</v>
      </c>
      <c r="F11" s="210">
        <v>2.9</v>
      </c>
      <c r="G11" s="210">
        <v>2.5272727272727273</v>
      </c>
      <c r="H11" s="210">
        <v>1.4090909090909092</v>
      </c>
      <c r="I11" s="210">
        <v>0.89090909090909087</v>
      </c>
      <c r="J11" s="211">
        <f t="shared" si="0"/>
        <v>-0.20062695924764884</v>
      </c>
      <c r="K11" s="211">
        <f t="shared" si="0"/>
        <v>0.25098039215686252</v>
      </c>
      <c r="L11" s="211">
        <f t="shared" si="1"/>
        <v>-0.12852664576802508</v>
      </c>
      <c r="M11" s="211">
        <f t="shared" si="1"/>
        <v>-0.44244604316546765</v>
      </c>
      <c r="N11" s="211">
        <f t="shared" si="1"/>
        <v>-0.36774193548387102</v>
      </c>
    </row>
    <row r="12" spans="3:14" ht="33" customHeight="1" x14ac:dyDescent="0.2">
      <c r="C12" s="288" t="s">
        <v>318</v>
      </c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</row>
    <row r="21" ht="12.75" customHeight="1" x14ac:dyDescent="0.2"/>
    <row r="22" ht="27.75" customHeight="1" x14ac:dyDescent="0.2"/>
  </sheetData>
  <mergeCells count="2">
    <mergeCell ref="C3:N3"/>
    <mergeCell ref="C12:N1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T51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1" width="11.42578125" style="175"/>
    <col min="2" max="2" width="10.7109375" style="175" customWidth="1"/>
    <col min="3" max="3" width="33" style="175" customWidth="1"/>
    <col min="4" max="9" width="7.7109375" style="175" customWidth="1"/>
    <col min="10" max="13" width="7.7109375" style="175" hidden="1" customWidth="1"/>
    <col min="14" max="14" width="7.7109375" style="175" customWidth="1"/>
    <col min="15" max="16" width="11.42578125" customWidth="1"/>
    <col min="17" max="17" width="14.85546875" style="175" customWidth="1"/>
    <col min="18" max="16384" width="11.42578125" style="175"/>
  </cols>
  <sheetData>
    <row r="4" spans="3:17" ht="18" customHeight="1" x14ac:dyDescent="0.2">
      <c r="C4" s="305" t="s">
        <v>319</v>
      </c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Q4"/>
    </row>
    <row r="5" spans="3:17" ht="43.5" customHeight="1" x14ac:dyDescent="0.2">
      <c r="C5" s="10"/>
      <c r="D5" s="10">
        <v>2007</v>
      </c>
      <c r="E5" s="10">
        <v>2008</v>
      </c>
      <c r="F5" s="10">
        <v>2009</v>
      </c>
      <c r="G5" s="10">
        <v>2010</v>
      </c>
      <c r="H5" s="10">
        <v>2011</v>
      </c>
      <c r="I5" s="10">
        <v>2012</v>
      </c>
      <c r="J5" s="143" t="s">
        <v>58</v>
      </c>
      <c r="K5" s="143" t="s">
        <v>59</v>
      </c>
      <c r="L5" s="143" t="s">
        <v>60</v>
      </c>
      <c r="M5" s="143" t="s">
        <v>61</v>
      </c>
      <c r="N5" s="143" t="s">
        <v>62</v>
      </c>
      <c r="O5" s="216"/>
      <c r="Q5"/>
    </row>
    <row r="6" spans="3:17" ht="15" customHeight="1" x14ac:dyDescent="0.2">
      <c r="C6" s="191" t="s">
        <v>320</v>
      </c>
      <c r="D6" s="217">
        <v>17.272727272727298</v>
      </c>
      <c r="E6" s="217">
        <v>16.227272727272727</v>
      </c>
      <c r="F6" s="217">
        <v>17.436363636363637</v>
      </c>
      <c r="G6" s="217">
        <v>15.663636363636364</v>
      </c>
      <c r="H6" s="217">
        <v>15.1</v>
      </c>
      <c r="I6" s="217">
        <v>14.9</v>
      </c>
      <c r="J6" s="218">
        <f t="shared" ref="J6:N12" si="0">E6/D6-1</f>
        <v>-6.0526315789475094E-2</v>
      </c>
      <c r="K6" s="218">
        <f t="shared" si="0"/>
        <v>7.4509803921568807E-2</v>
      </c>
      <c r="L6" s="218">
        <f>G6/F6-1</f>
        <v>-0.10166840458811266</v>
      </c>
      <c r="M6" s="218">
        <f>H6/G6-1</f>
        <v>-3.5983749274521193E-2</v>
      </c>
      <c r="N6" s="218">
        <f>I6/H6-1</f>
        <v>-1.3245033112582738E-2</v>
      </c>
      <c r="O6" s="217"/>
      <c r="P6" s="217"/>
      <c r="Q6"/>
    </row>
    <row r="7" spans="3:17" ht="15" customHeight="1" x14ac:dyDescent="0.2">
      <c r="C7" s="191" t="s">
        <v>321</v>
      </c>
      <c r="D7" s="217">
        <v>82.727272727272705</v>
      </c>
      <c r="E7" s="217">
        <v>83.772727272727266</v>
      </c>
      <c r="F7" s="217">
        <v>82.563636363636363</v>
      </c>
      <c r="G7" s="217">
        <v>84.336363636363643</v>
      </c>
      <c r="H7" s="217">
        <v>84.9</v>
      </c>
      <c r="I7" s="217">
        <v>85.1</v>
      </c>
      <c r="J7" s="218">
        <f t="shared" si="0"/>
        <v>1.2637362637362815E-2</v>
      </c>
      <c r="K7" s="218">
        <f t="shared" si="0"/>
        <v>-1.4432989690721598E-2</v>
      </c>
      <c r="L7" s="218">
        <f t="shared" si="0"/>
        <v>2.1471041620788389E-2</v>
      </c>
      <c r="M7" s="218">
        <f t="shared" si="0"/>
        <v>6.6831949983829908E-3</v>
      </c>
      <c r="N7" s="218">
        <f t="shared" si="0"/>
        <v>2.3557126030622211E-3</v>
      </c>
      <c r="O7" s="217"/>
      <c r="P7" s="175"/>
      <c r="Q7"/>
    </row>
    <row r="8" spans="3:17" ht="15" customHeight="1" x14ac:dyDescent="0.2">
      <c r="C8" s="219" t="s">
        <v>322</v>
      </c>
      <c r="D8" s="33">
        <v>29.2090909090909</v>
      </c>
      <c r="E8" s="33">
        <v>27.309090909090909</v>
      </c>
      <c r="F8" s="33">
        <v>26.990909090909092</v>
      </c>
      <c r="G8" s="33">
        <v>25.645454545454545</v>
      </c>
      <c r="H8" s="33">
        <v>25.2</v>
      </c>
      <c r="I8" s="33">
        <v>24.427272727272726</v>
      </c>
      <c r="J8" s="190">
        <f t="shared" si="0"/>
        <v>-6.5048241518829486E-2</v>
      </c>
      <c r="K8" s="190">
        <f t="shared" si="0"/>
        <v>-1.1651131824234273E-2</v>
      </c>
      <c r="L8" s="190">
        <f t="shared" si="0"/>
        <v>-4.9848433816099824E-2</v>
      </c>
      <c r="M8" s="190">
        <f t="shared" si="0"/>
        <v>-1.7369727047146344E-2</v>
      </c>
      <c r="N8" s="190">
        <f t="shared" si="0"/>
        <v>-3.0663780663780726E-2</v>
      </c>
      <c r="O8" s="217"/>
      <c r="P8" s="175"/>
      <c r="Q8"/>
    </row>
    <row r="9" spans="3:17" ht="15" customHeight="1" x14ac:dyDescent="0.2">
      <c r="C9" s="219" t="s">
        <v>323</v>
      </c>
      <c r="D9" s="33">
        <v>5.7727272727272698</v>
      </c>
      <c r="E9" s="33">
        <v>6.1818181818181817</v>
      </c>
      <c r="F9" s="33">
        <v>6.7</v>
      </c>
      <c r="G9" s="33">
        <v>7.1181818181818182</v>
      </c>
      <c r="H9" s="33">
        <v>8.754545454545454</v>
      </c>
      <c r="I9" s="33">
        <v>8.709090909090909</v>
      </c>
      <c r="J9" s="190">
        <f t="shared" si="0"/>
        <v>7.0866141732284005E-2</v>
      </c>
      <c r="K9" s="190">
        <f t="shared" si="0"/>
        <v>8.3823529411764852E-2</v>
      </c>
      <c r="L9" s="190">
        <f t="shared" si="0"/>
        <v>6.241519674355489E-2</v>
      </c>
      <c r="M9" s="190">
        <f t="shared" si="0"/>
        <v>0.22988505747126431</v>
      </c>
      <c r="N9" s="190">
        <f t="shared" si="0"/>
        <v>-5.1921079958462402E-3</v>
      </c>
      <c r="O9" s="217"/>
      <c r="P9" s="175"/>
      <c r="Q9"/>
    </row>
    <row r="10" spans="3:17" ht="15" customHeight="1" x14ac:dyDescent="0.2">
      <c r="C10" s="219" t="s">
        <v>324</v>
      </c>
      <c r="D10" s="33">
        <v>29.936363636363598</v>
      </c>
      <c r="E10" s="33">
        <v>30.854545454545455</v>
      </c>
      <c r="F10" s="33">
        <v>29.09090909090909</v>
      </c>
      <c r="G10" s="33">
        <v>27.427272727272726</v>
      </c>
      <c r="H10" s="33">
        <v>24.454545454545453</v>
      </c>
      <c r="I10" s="33">
        <v>24.390909090909091</v>
      </c>
      <c r="J10" s="190">
        <f t="shared" si="0"/>
        <v>3.0671120558762421E-2</v>
      </c>
      <c r="K10" s="190">
        <f t="shared" si="0"/>
        <v>-5.7159693576900428E-2</v>
      </c>
      <c r="L10" s="190">
        <f t="shared" si="0"/>
        <v>-5.7187500000000058E-2</v>
      </c>
      <c r="M10" s="190">
        <f t="shared" si="0"/>
        <v>-0.10838581372224065</v>
      </c>
      <c r="N10" s="190">
        <f t="shared" si="0"/>
        <v>-2.6022304832713505E-3</v>
      </c>
      <c r="O10" s="217"/>
      <c r="P10" s="175"/>
      <c r="Q10"/>
    </row>
    <row r="11" spans="3:17" ht="15" customHeight="1" x14ac:dyDescent="0.2">
      <c r="C11" s="219" t="s">
        <v>325</v>
      </c>
      <c r="D11" s="33">
        <v>4.4090909090909101</v>
      </c>
      <c r="E11" s="33">
        <v>6.6727272727272728</v>
      </c>
      <c r="F11" s="33">
        <v>6.3090909090909095</v>
      </c>
      <c r="G11" s="33">
        <v>6.1454545454545455</v>
      </c>
      <c r="H11" s="33">
        <v>4.5</v>
      </c>
      <c r="I11" s="33">
        <v>5.3090909090909095</v>
      </c>
      <c r="J11" s="190">
        <f t="shared" si="0"/>
        <v>0.51340206185566983</v>
      </c>
      <c r="K11" s="190">
        <f t="shared" si="0"/>
        <v>-5.4495912806539426E-2</v>
      </c>
      <c r="L11" s="190">
        <f t="shared" si="0"/>
        <v>-2.5936599423631135E-2</v>
      </c>
      <c r="M11" s="190">
        <f t="shared" si="0"/>
        <v>-0.26775147928994081</v>
      </c>
      <c r="N11" s="190">
        <f t="shared" si="0"/>
        <v>0.17979797979797985</v>
      </c>
      <c r="O11" s="217"/>
      <c r="P11" s="175"/>
      <c r="Q11"/>
    </row>
    <row r="12" spans="3:17" ht="15" customHeight="1" x14ac:dyDescent="0.2">
      <c r="C12" s="219" t="s">
        <v>326</v>
      </c>
      <c r="D12" s="33">
        <v>13.4</v>
      </c>
      <c r="E12" s="33">
        <v>12.754545454545454</v>
      </c>
      <c r="F12" s="33">
        <v>13.472727272727273</v>
      </c>
      <c r="G12" s="33">
        <v>18</v>
      </c>
      <c r="H12" s="33">
        <v>21.990909090909092</v>
      </c>
      <c r="I12" s="33">
        <v>22.263636363636362</v>
      </c>
      <c r="J12" s="190">
        <f t="shared" si="0"/>
        <v>-4.8168249660787033E-2</v>
      </c>
      <c r="K12" s="190">
        <f t="shared" si="0"/>
        <v>5.6307911617961448E-2</v>
      </c>
      <c r="L12" s="190">
        <f t="shared" si="0"/>
        <v>0.33603238866396756</v>
      </c>
      <c r="M12" s="190">
        <f t="shared" si="0"/>
        <v>0.22171717171717176</v>
      </c>
      <c r="N12" s="190">
        <f t="shared" si="0"/>
        <v>1.2401818933443387E-2</v>
      </c>
      <c r="O12" s="217"/>
      <c r="P12" s="175"/>
      <c r="Q12"/>
    </row>
    <row r="13" spans="3:17" ht="15" customHeight="1" x14ac:dyDescent="0.2">
      <c r="C13" s="191" t="s">
        <v>327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75"/>
      <c r="P13" s="175"/>
      <c r="Q13"/>
    </row>
    <row r="14" spans="3:17" ht="15" customHeight="1" x14ac:dyDescent="0.2">
      <c r="C14" s="219" t="s">
        <v>206</v>
      </c>
      <c r="D14" s="33">
        <v>12.3363636363636</v>
      </c>
      <c r="E14" s="33">
        <v>10.336363636363636</v>
      </c>
      <c r="F14" s="33">
        <v>9.5909090909090917</v>
      </c>
      <c r="G14" s="33">
        <v>11.209090909090909</v>
      </c>
      <c r="H14" s="33">
        <v>14.163636363636364</v>
      </c>
      <c r="I14" s="33">
        <v>15.99090909090909</v>
      </c>
      <c r="J14" s="190">
        <f t="shared" ref="J14:N20" si="1">E14/D14-1</f>
        <v>-0.16212232866617293</v>
      </c>
      <c r="K14" s="190">
        <f t="shared" si="1"/>
        <v>-7.2119613016710549E-2</v>
      </c>
      <c r="L14" s="190">
        <f t="shared" si="1"/>
        <v>0.1687203791469194</v>
      </c>
      <c r="M14" s="190">
        <f t="shared" si="1"/>
        <v>0.26358475263584746</v>
      </c>
      <c r="N14" s="190">
        <f t="shared" si="1"/>
        <v>0.1290115532734275</v>
      </c>
      <c r="O14" s="175"/>
      <c r="P14" s="175"/>
      <c r="Q14"/>
    </row>
    <row r="15" spans="3:17" ht="15" customHeight="1" x14ac:dyDescent="0.2">
      <c r="C15" s="219" t="s">
        <v>328</v>
      </c>
      <c r="D15" s="33">
        <v>1.3</v>
      </c>
      <c r="E15" s="33">
        <v>1.0727272727272728</v>
      </c>
      <c r="F15" s="33">
        <v>0.97272727272727277</v>
      </c>
      <c r="G15" s="33">
        <v>1.0636363636363637</v>
      </c>
      <c r="H15" s="33">
        <v>2.0090909090909093</v>
      </c>
      <c r="I15" s="33">
        <v>1.9727272727272727</v>
      </c>
      <c r="J15" s="190">
        <f t="shared" si="1"/>
        <v>-0.17482517482517479</v>
      </c>
      <c r="K15" s="190">
        <f t="shared" si="1"/>
        <v>-9.3220338983050821E-2</v>
      </c>
      <c r="L15" s="190">
        <f t="shared" si="1"/>
        <v>9.3457943925233655E-2</v>
      </c>
      <c r="M15" s="190">
        <f t="shared" si="1"/>
        <v>0.88888888888888884</v>
      </c>
      <c r="N15" s="190">
        <f t="shared" si="1"/>
        <v>-1.8099547511312375E-2</v>
      </c>
      <c r="O15" s="175"/>
      <c r="P15" s="175"/>
      <c r="Q15"/>
    </row>
    <row r="16" spans="3:17" ht="15" customHeight="1" x14ac:dyDescent="0.2">
      <c r="C16" s="219" t="s">
        <v>329</v>
      </c>
      <c r="D16" s="119">
        <v>0.43636363636363601</v>
      </c>
      <c r="E16" s="119">
        <v>0.66363636363636369</v>
      </c>
      <c r="F16" s="119">
        <v>0.2818181818181818</v>
      </c>
      <c r="G16" s="119">
        <v>0.4</v>
      </c>
      <c r="H16" s="119">
        <v>0.62727272727272732</v>
      </c>
      <c r="I16" s="119">
        <v>1.0545454545454545</v>
      </c>
      <c r="J16" s="190">
        <f t="shared" si="1"/>
        <v>0.52083333333333459</v>
      </c>
      <c r="K16" s="190">
        <f t="shared" si="1"/>
        <v>-0.57534246575342474</v>
      </c>
      <c r="L16" s="190">
        <f t="shared" si="1"/>
        <v>0.41935483870967749</v>
      </c>
      <c r="M16" s="190">
        <f t="shared" si="1"/>
        <v>0.56818181818181812</v>
      </c>
      <c r="N16" s="190">
        <f t="shared" si="1"/>
        <v>0.68115942028985477</v>
      </c>
      <c r="O16" s="175"/>
      <c r="P16" s="175"/>
      <c r="Q16"/>
    </row>
    <row r="17" spans="3:20" ht="15" customHeight="1" x14ac:dyDescent="0.2">
      <c r="C17" s="219" t="s">
        <v>330</v>
      </c>
      <c r="D17" s="119">
        <v>0.25454545454545502</v>
      </c>
      <c r="E17" s="119">
        <v>0.25454545454545452</v>
      </c>
      <c r="F17" s="119">
        <v>0.25454545454545452</v>
      </c>
      <c r="G17" s="119">
        <v>0.19090909090909092</v>
      </c>
      <c r="H17" s="119">
        <v>0.46363636363636362</v>
      </c>
      <c r="I17" s="119">
        <v>0.41818181818181815</v>
      </c>
      <c r="J17" s="190">
        <f t="shared" si="1"/>
        <v>-1.9984014443252818E-15</v>
      </c>
      <c r="K17" s="190">
        <f t="shared" si="1"/>
        <v>0</v>
      </c>
      <c r="L17" s="190">
        <f t="shared" si="1"/>
        <v>-0.24999999999999989</v>
      </c>
      <c r="M17" s="190">
        <f t="shared" si="1"/>
        <v>1.4285714285714284</v>
      </c>
      <c r="N17" s="190">
        <f t="shared" si="1"/>
        <v>-9.8039215686274495E-2</v>
      </c>
      <c r="O17" s="175"/>
      <c r="P17" s="175"/>
    </row>
    <row r="18" spans="3:20" ht="15" customHeight="1" x14ac:dyDescent="0.2">
      <c r="C18" s="219" t="s">
        <v>331</v>
      </c>
      <c r="D18" s="33" t="s">
        <v>98</v>
      </c>
      <c r="E18" s="33" t="s">
        <v>98</v>
      </c>
      <c r="F18" s="33" t="s">
        <v>98</v>
      </c>
      <c r="G18" s="119">
        <v>0.32727272727272727</v>
      </c>
      <c r="H18" s="119">
        <v>0.9</v>
      </c>
      <c r="I18" s="119">
        <v>0.69090909090909092</v>
      </c>
      <c r="J18" s="190" t="str">
        <f>IFERROR(E18/D18-1,"-")</f>
        <v>-</v>
      </c>
      <c r="K18" s="190" t="str">
        <f t="shared" ref="K18:L20" si="2">IFERROR(F18/E18-1,"-")</f>
        <v>-</v>
      </c>
      <c r="L18" s="190" t="str">
        <f t="shared" si="2"/>
        <v>-</v>
      </c>
      <c r="M18" s="190">
        <f t="shared" si="1"/>
        <v>1.75</v>
      </c>
      <c r="N18" s="190">
        <f t="shared" si="1"/>
        <v>-0.23232323232323238</v>
      </c>
      <c r="O18" s="175"/>
      <c r="P18" s="175"/>
    </row>
    <row r="19" spans="3:20" ht="15" customHeight="1" x14ac:dyDescent="0.2">
      <c r="C19" s="219" t="s">
        <v>332</v>
      </c>
      <c r="D19" s="33" t="s">
        <v>98</v>
      </c>
      <c r="E19" s="33" t="s">
        <v>98</v>
      </c>
      <c r="F19" s="33" t="s">
        <v>98</v>
      </c>
      <c r="G19" s="119">
        <v>0.3</v>
      </c>
      <c r="H19" s="119">
        <v>0.38181818181818183</v>
      </c>
      <c r="I19" s="119">
        <v>0.25454545454545452</v>
      </c>
      <c r="J19" s="190" t="str">
        <f>IFERROR(E19/D19-1,"-")</f>
        <v>-</v>
      </c>
      <c r="K19" s="190" t="str">
        <f t="shared" si="2"/>
        <v>-</v>
      </c>
      <c r="L19" s="190" t="str">
        <f t="shared" si="2"/>
        <v>-</v>
      </c>
      <c r="M19" s="190">
        <f t="shared" si="1"/>
        <v>0.27272727272727293</v>
      </c>
      <c r="N19" s="190">
        <f t="shared" si="1"/>
        <v>-0.33333333333333348</v>
      </c>
      <c r="O19" s="175"/>
      <c r="P19" s="175"/>
    </row>
    <row r="20" spans="3:20" ht="15" customHeight="1" x14ac:dyDescent="0.2">
      <c r="C20" s="219" t="s">
        <v>333</v>
      </c>
      <c r="D20" s="33" t="s">
        <v>98</v>
      </c>
      <c r="E20" s="33" t="s">
        <v>98</v>
      </c>
      <c r="F20" s="33" t="s">
        <v>98</v>
      </c>
      <c r="G20" s="119">
        <v>56.190909090909088</v>
      </c>
      <c r="H20" s="119">
        <v>53.3</v>
      </c>
      <c r="I20" s="119">
        <v>55.345454545454544</v>
      </c>
      <c r="J20" s="190" t="str">
        <f>IFERROR(E20/D20-1,"-")</f>
        <v>-</v>
      </c>
      <c r="K20" s="190" t="str">
        <f t="shared" si="2"/>
        <v>-</v>
      </c>
      <c r="L20" s="190" t="str">
        <f t="shared" si="2"/>
        <v>-</v>
      </c>
      <c r="M20" s="190">
        <f t="shared" si="1"/>
        <v>-5.1447985762821502E-2</v>
      </c>
      <c r="N20" s="190">
        <f t="shared" si="1"/>
        <v>3.8376257888453003E-2</v>
      </c>
      <c r="O20" s="175"/>
      <c r="P20" s="175"/>
    </row>
    <row r="21" spans="3:20" ht="15" customHeight="1" x14ac:dyDescent="0.2">
      <c r="C21" s="297" t="s">
        <v>274</v>
      </c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175"/>
      <c r="P21" s="175"/>
    </row>
    <row r="22" spans="3:20" ht="15" customHeight="1" x14ac:dyDescent="0.2"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75"/>
      <c r="P22" s="175"/>
    </row>
    <row r="23" spans="3:20" ht="15" customHeight="1" x14ac:dyDescent="0.2"/>
    <row r="24" spans="3:20" ht="15" customHeight="1" x14ac:dyDescent="0.2"/>
    <row r="25" spans="3:20" ht="15" customHeight="1" x14ac:dyDescent="0.2"/>
    <row r="26" spans="3:20" ht="18" customHeight="1" x14ac:dyDescent="0.2">
      <c r="C26" s="220"/>
      <c r="K26" s="221"/>
      <c r="L26" s="221"/>
      <c r="M26" s="221"/>
      <c r="N26" s="221"/>
    </row>
    <row r="27" spans="3:20" ht="15" customHeight="1" x14ac:dyDescent="0.2">
      <c r="K27" s="221"/>
      <c r="L27" s="221"/>
      <c r="M27" s="221"/>
      <c r="N27" s="221"/>
      <c r="R27"/>
      <c r="S27"/>
      <c r="T27"/>
    </row>
    <row r="28" spans="3:20" x14ac:dyDescent="0.2">
      <c r="K28" s="221"/>
      <c r="L28" s="221"/>
      <c r="M28" s="221"/>
      <c r="N28" s="221"/>
      <c r="R28"/>
      <c r="S28"/>
      <c r="T28"/>
    </row>
    <row r="29" spans="3:20" ht="15" customHeight="1" x14ac:dyDescent="0.2">
      <c r="K29" s="221"/>
      <c r="L29" s="221"/>
      <c r="M29" s="221"/>
      <c r="N29" s="221"/>
      <c r="R29"/>
      <c r="S29"/>
      <c r="T29"/>
    </row>
    <row r="30" spans="3:20" ht="15" customHeight="1" x14ac:dyDescent="0.2">
      <c r="K30" s="221"/>
      <c r="L30" s="221"/>
      <c r="M30" s="221"/>
      <c r="N30" s="221"/>
      <c r="R30"/>
      <c r="S30"/>
      <c r="T30"/>
    </row>
    <row r="31" spans="3:20" ht="15" customHeight="1" x14ac:dyDescent="0.2">
      <c r="K31" s="221"/>
      <c r="L31" s="221"/>
      <c r="M31" s="221"/>
      <c r="N31" s="221"/>
      <c r="R31"/>
      <c r="S31"/>
      <c r="T31"/>
    </row>
    <row r="32" spans="3:20" ht="15" customHeight="1" x14ac:dyDescent="0.2">
      <c r="K32" s="221"/>
      <c r="L32" s="221"/>
      <c r="M32" s="221"/>
      <c r="N32" s="221"/>
      <c r="R32"/>
      <c r="S32"/>
      <c r="T32"/>
    </row>
    <row r="33" spans="18:20" ht="15" customHeight="1" x14ac:dyDescent="0.2">
      <c r="R33"/>
      <c r="S33"/>
      <c r="T33"/>
    </row>
    <row r="34" spans="18:20" ht="15" customHeight="1" x14ac:dyDescent="0.2">
      <c r="R34"/>
      <c r="S34"/>
      <c r="T34"/>
    </row>
    <row r="35" spans="18:20" ht="15" customHeight="1" x14ac:dyDescent="0.2">
      <c r="R35"/>
      <c r="S35"/>
      <c r="T35"/>
    </row>
    <row r="36" spans="18:20" ht="15" customHeight="1" x14ac:dyDescent="0.2">
      <c r="R36"/>
      <c r="S36"/>
      <c r="T36"/>
    </row>
    <row r="37" spans="18:20" ht="15" customHeight="1" x14ac:dyDescent="0.2"/>
    <row r="38" spans="18:20" ht="15" customHeight="1" x14ac:dyDescent="0.2"/>
    <row r="39" spans="18:20" ht="15" customHeight="1" x14ac:dyDescent="0.2"/>
    <row r="40" spans="18:20" ht="15" customHeight="1" x14ac:dyDescent="0.2"/>
    <row r="41" spans="18:20" ht="15" customHeight="1" x14ac:dyDescent="0.2"/>
    <row r="42" spans="18:20" ht="15" customHeight="1" x14ac:dyDescent="0.2"/>
    <row r="43" spans="18:20" ht="15" customHeight="1" x14ac:dyDescent="0.2"/>
    <row r="44" spans="18:20" ht="15" customHeight="1" x14ac:dyDescent="0.2"/>
    <row r="45" spans="18:20" ht="15" customHeight="1" x14ac:dyDescent="0.2"/>
    <row r="46" spans="18:20" ht="15" customHeight="1" x14ac:dyDescent="0.2"/>
    <row r="47" spans="18:20" ht="15" customHeight="1" x14ac:dyDescent="0.2"/>
    <row r="48" spans="18:20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2">
    <mergeCell ref="C4:N4"/>
    <mergeCell ref="C21:N2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0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N34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3" max="3" width="22" customWidth="1"/>
    <col min="4" max="4" width="7.7109375" customWidth="1"/>
    <col min="5" max="5" width="9.28515625" bestFit="1" customWidth="1"/>
    <col min="6" max="9" width="7.7109375" customWidth="1"/>
    <col min="10" max="10" width="7.7109375" hidden="1" customWidth="1"/>
    <col min="11" max="11" width="9.28515625" hidden="1" customWidth="1"/>
    <col min="12" max="13" width="7.7109375" hidden="1" customWidth="1"/>
    <col min="14" max="14" width="7.7109375" customWidth="1"/>
    <col min="15" max="16" width="13.85546875" customWidth="1"/>
    <col min="17" max="17" width="5.5703125" customWidth="1"/>
    <col min="18" max="18" width="16.85546875" customWidth="1"/>
    <col min="19" max="19" width="11.42578125" customWidth="1"/>
    <col min="20" max="20" width="5.5703125" customWidth="1"/>
    <col min="21" max="21" width="23.85546875" bestFit="1" customWidth="1"/>
    <col min="23" max="23" width="5.5703125" customWidth="1"/>
    <col min="24" max="24" width="23.85546875" bestFit="1" customWidth="1"/>
    <col min="26" max="26" width="5.5703125" customWidth="1"/>
    <col min="27" max="27" width="13.85546875" bestFit="1" customWidth="1"/>
    <col min="29" max="29" width="5.5703125" customWidth="1"/>
    <col min="30" max="30" width="13.85546875" bestFit="1" customWidth="1"/>
    <col min="32" max="32" width="5.5703125" customWidth="1"/>
  </cols>
  <sheetData>
    <row r="2" spans="3:14" ht="32.25" customHeight="1" x14ac:dyDescent="0.2"/>
    <row r="3" spans="3:14" ht="36" customHeight="1" x14ac:dyDescent="0.2">
      <c r="C3" s="308" t="s">
        <v>334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3:14" ht="42" customHeight="1" x14ac:dyDescent="0.2">
      <c r="C4" s="1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4" ht="15" customHeight="1" x14ac:dyDescent="0.2">
      <c r="C5" s="150" t="s">
        <v>100</v>
      </c>
      <c r="D5" s="13">
        <v>10.8108108108108</v>
      </c>
      <c r="E5" s="13">
        <v>13.679245283018869</v>
      </c>
      <c r="F5" s="13">
        <v>18.131868131868131</v>
      </c>
      <c r="G5" s="13">
        <v>25.966850828729282</v>
      </c>
      <c r="H5" s="13">
        <v>36.363636363636367</v>
      </c>
      <c r="I5" s="13">
        <v>34.210526315789473</v>
      </c>
      <c r="J5" s="14">
        <f t="shared" ref="J5:N22" si="0">IFERROR(E5/D5-1,"-")</f>
        <v>0.26533018867924674</v>
      </c>
      <c r="K5" s="14">
        <f t="shared" si="0"/>
        <v>0.32550208412277359</v>
      </c>
      <c r="L5" s="14">
        <f t="shared" si="0"/>
        <v>0.43211116691779683</v>
      </c>
      <c r="M5" s="14">
        <f t="shared" si="0"/>
        <v>0.400386847195358</v>
      </c>
      <c r="N5" s="14">
        <f t="shared" si="0"/>
        <v>-5.9210526315789602E-2</v>
      </c>
    </row>
    <row r="6" spans="3:14" ht="14.25" customHeight="1" x14ac:dyDescent="0.2">
      <c r="C6" s="150" t="s">
        <v>95</v>
      </c>
      <c r="D6" s="13">
        <v>35.034013605442198</v>
      </c>
      <c r="E6" s="13">
        <v>50.672645739910315</v>
      </c>
      <c r="F6" s="13">
        <v>47.368421052631582</v>
      </c>
      <c r="G6" s="13">
        <v>43.801652892561982</v>
      </c>
      <c r="H6" s="13">
        <v>36.363636363636367</v>
      </c>
      <c r="I6" s="13">
        <v>32.365145228215766</v>
      </c>
      <c r="J6" s="14">
        <f t="shared" si="0"/>
        <v>0.4463842570420995</v>
      </c>
      <c r="K6" s="14">
        <f t="shared" si="0"/>
        <v>-6.5207265952491822E-2</v>
      </c>
      <c r="L6" s="14">
        <f t="shared" si="0"/>
        <v>-7.5298438934802703E-2</v>
      </c>
      <c r="M6" s="14">
        <f t="shared" si="0"/>
        <v>-0.16981132075471683</v>
      </c>
      <c r="N6" s="14">
        <f t="shared" si="0"/>
        <v>-0.10995850622406655</v>
      </c>
    </row>
    <row r="7" spans="3:14" ht="15" customHeight="1" x14ac:dyDescent="0.2">
      <c r="C7" s="150" t="s">
        <v>170</v>
      </c>
      <c r="D7" s="13">
        <v>37.037037037037003</v>
      </c>
      <c r="E7" s="13">
        <v>13.679245283018869</v>
      </c>
      <c r="F7" s="13">
        <v>51.975683890577507</v>
      </c>
      <c r="G7" s="13">
        <v>25.966850828729282</v>
      </c>
      <c r="H7" s="13">
        <v>36.363636363636367</v>
      </c>
      <c r="I7" s="13">
        <v>26.185958254269451</v>
      </c>
      <c r="J7" s="14">
        <f t="shared" si="0"/>
        <v>-0.63066037735849023</v>
      </c>
      <c r="K7" s="14">
        <f t="shared" si="0"/>
        <v>2.7996017188973901</v>
      </c>
      <c r="L7" s="14">
        <f t="shared" si="0"/>
        <v>-0.50040386417240157</v>
      </c>
      <c r="M7" s="14">
        <f t="shared" si="0"/>
        <v>0.400386847195358</v>
      </c>
      <c r="N7" s="14">
        <f t="shared" si="0"/>
        <v>-0.27988614800759015</v>
      </c>
    </row>
    <row r="8" spans="3:14" ht="15" customHeight="1" x14ac:dyDescent="0.2">
      <c r="C8" s="162" t="s">
        <v>92</v>
      </c>
      <c r="D8" s="88">
        <v>23.4817813765182</v>
      </c>
      <c r="E8" s="88">
        <v>36.032388663967609</v>
      </c>
      <c r="F8" s="88">
        <v>55.294117647058826</v>
      </c>
      <c r="G8" s="88">
        <v>45.723684210526315</v>
      </c>
      <c r="H8" s="88">
        <v>31.607629427792915</v>
      </c>
      <c r="I8" s="88">
        <v>25.205479452054796</v>
      </c>
      <c r="J8" s="14">
        <f t="shared" si="0"/>
        <v>0.53448275862069083</v>
      </c>
      <c r="K8" s="14">
        <f t="shared" si="0"/>
        <v>0.53456708526107088</v>
      </c>
      <c r="L8" s="14">
        <f t="shared" si="0"/>
        <v>-0.17308230683090708</v>
      </c>
      <c r="M8" s="14">
        <f t="shared" si="0"/>
        <v>-0.30872522690294635</v>
      </c>
      <c r="N8" s="14">
        <f t="shared" si="0"/>
        <v>-0.20255077940481814</v>
      </c>
    </row>
    <row r="9" spans="3:14" ht="15" customHeight="1" x14ac:dyDescent="0.2">
      <c r="C9" s="150" t="s">
        <v>91</v>
      </c>
      <c r="D9" s="13">
        <v>15.988372093023299</v>
      </c>
      <c r="E9" s="13">
        <v>17.72853185595568</v>
      </c>
      <c r="F9" s="13">
        <v>32.275132275132272</v>
      </c>
      <c r="G9" s="13">
        <v>25.396825396825395</v>
      </c>
      <c r="H9" s="13">
        <v>27.868852459016395</v>
      </c>
      <c r="I9" s="13">
        <v>15.591397849462366</v>
      </c>
      <c r="J9" s="14">
        <f t="shared" si="0"/>
        <v>0.1088390833543158</v>
      </c>
      <c r="K9" s="14">
        <f t="shared" si="0"/>
        <v>0.82051917989417955</v>
      </c>
      <c r="L9" s="14">
        <f t="shared" si="0"/>
        <v>-0.21311475409836067</v>
      </c>
      <c r="M9" s="14">
        <f t="shared" si="0"/>
        <v>9.7336065573770725E-2</v>
      </c>
      <c r="N9" s="14">
        <f t="shared" si="0"/>
        <v>-0.44054395951929159</v>
      </c>
    </row>
    <row r="10" spans="3:14" ht="15" customHeight="1" x14ac:dyDescent="0.2">
      <c r="C10" s="162" t="s">
        <v>93</v>
      </c>
      <c r="D10" s="88">
        <v>26.923076923076898</v>
      </c>
      <c r="E10" s="88">
        <v>17.532467532467532</v>
      </c>
      <c r="F10" s="88">
        <v>23.717948717948719</v>
      </c>
      <c r="G10" s="88">
        <v>27.848101265822784</v>
      </c>
      <c r="H10" s="88">
        <v>25.136612021857925</v>
      </c>
      <c r="I10" s="88">
        <v>12.169312169312169</v>
      </c>
      <c r="J10" s="14">
        <f t="shared" si="0"/>
        <v>-0.34879406307977678</v>
      </c>
      <c r="K10" s="14">
        <f t="shared" si="0"/>
        <v>0.35280151946818616</v>
      </c>
      <c r="L10" s="14">
        <f t="shared" si="0"/>
        <v>0.17413616147793354</v>
      </c>
      <c r="M10" s="14">
        <f t="shared" si="0"/>
        <v>-9.736711376055629E-2</v>
      </c>
      <c r="N10" s="14">
        <f t="shared" si="0"/>
        <v>-0.51587301587301582</v>
      </c>
    </row>
    <row r="11" spans="3:14" ht="15" customHeight="1" x14ac:dyDescent="0.2">
      <c r="C11" s="150" t="s">
        <v>88</v>
      </c>
      <c r="D11" s="13">
        <v>12.592592592592601</v>
      </c>
      <c r="E11" s="13">
        <v>20.161290322580644</v>
      </c>
      <c r="F11" s="13">
        <v>19.558359621451103</v>
      </c>
      <c r="G11" s="13">
        <v>15.408805031446541</v>
      </c>
      <c r="H11" s="13">
        <v>9.316770186335404</v>
      </c>
      <c r="I11" s="13">
        <v>11.436950146627566</v>
      </c>
      <c r="J11" s="14">
        <f t="shared" si="0"/>
        <v>0.60104364326375603</v>
      </c>
      <c r="K11" s="14">
        <f t="shared" si="0"/>
        <v>-2.9905362776025179E-2</v>
      </c>
      <c r="L11" s="14">
        <f t="shared" si="0"/>
        <v>-0.21216271048894297</v>
      </c>
      <c r="M11" s="14">
        <f t="shared" si="0"/>
        <v>-0.39536062872353905</v>
      </c>
      <c r="N11" s="14">
        <f t="shared" si="0"/>
        <v>0.22756598240469206</v>
      </c>
    </row>
    <row r="12" spans="3:14" ht="15" customHeight="1" x14ac:dyDescent="0.2">
      <c r="C12" s="152" t="s">
        <v>90</v>
      </c>
      <c r="D12" s="17">
        <v>9.2454545454545496</v>
      </c>
      <c r="E12" s="17">
        <v>9.9090909090909083</v>
      </c>
      <c r="F12" s="17">
        <v>11.3</v>
      </c>
      <c r="G12" s="17">
        <v>10.709090909090909</v>
      </c>
      <c r="H12" s="17">
        <v>9.5181818181818176</v>
      </c>
      <c r="I12" s="17">
        <v>7.7727272727272725</v>
      </c>
      <c r="J12" s="103">
        <f t="shared" si="0"/>
        <v>7.1779744346115448E-2</v>
      </c>
      <c r="K12" s="103">
        <f t="shared" si="0"/>
        <v>0.14036697247706442</v>
      </c>
      <c r="L12" s="103">
        <f t="shared" si="0"/>
        <v>-5.2292839903459454E-2</v>
      </c>
      <c r="M12" s="103">
        <f t="shared" si="0"/>
        <v>-0.11120543293718166</v>
      </c>
      <c r="N12" s="103">
        <f t="shared" si="0"/>
        <v>-0.18338108882521487</v>
      </c>
    </row>
    <row r="13" spans="3:14" ht="15" customHeight="1" x14ac:dyDescent="0.2">
      <c r="C13" s="150" t="s">
        <v>89</v>
      </c>
      <c r="D13" s="13">
        <v>20.3221809169765</v>
      </c>
      <c r="E13" s="13">
        <v>21.30464954892436</v>
      </c>
      <c r="F13" s="13">
        <v>18.413391557496361</v>
      </c>
      <c r="G13" s="13">
        <v>18.175388967468177</v>
      </c>
      <c r="H13" s="13">
        <v>13.450704225352112</v>
      </c>
      <c r="I13" s="13">
        <v>7.7195467422096318</v>
      </c>
      <c r="J13" s="14">
        <f t="shared" si="0"/>
        <v>4.8344645486702476E-2</v>
      </c>
      <c r="K13" s="14">
        <f t="shared" si="0"/>
        <v>-0.13571018780611555</v>
      </c>
      <c r="L13" s="14">
        <f t="shared" si="0"/>
        <v>-1.292551615409987E-2</v>
      </c>
      <c r="M13" s="14">
        <f t="shared" si="0"/>
        <v>-0.25994958075300056</v>
      </c>
      <c r="N13" s="14">
        <f t="shared" si="0"/>
        <v>-0.42608605372054043</v>
      </c>
    </row>
    <row r="14" spans="3:14" ht="15" customHeight="1" x14ac:dyDescent="0.2">
      <c r="C14" s="222" t="s">
        <v>96</v>
      </c>
      <c r="D14" s="208" t="s">
        <v>98</v>
      </c>
      <c r="E14" s="208">
        <v>6.209850107066381</v>
      </c>
      <c r="F14" s="208">
        <v>7.6511723570547101</v>
      </c>
      <c r="G14" s="208">
        <v>7.8697981046559535</v>
      </c>
      <c r="H14" s="208">
        <v>7.4017355793772337</v>
      </c>
      <c r="I14" s="208">
        <v>6.062176165803109</v>
      </c>
      <c r="J14" s="190" t="str">
        <f t="shared" si="0"/>
        <v>-</v>
      </c>
      <c r="K14" s="190">
        <f t="shared" si="0"/>
        <v>0.23210258301536202</v>
      </c>
      <c r="L14" s="190">
        <f t="shared" si="0"/>
        <v>2.8574150130033393E-2</v>
      </c>
      <c r="M14" s="190">
        <f t="shared" si="0"/>
        <v>-5.9475798369186039E-2</v>
      </c>
      <c r="N14" s="190">
        <f t="shared" si="0"/>
        <v>-0.18097909594425587</v>
      </c>
    </row>
    <row r="15" spans="3:14" ht="15" customHeight="1" x14ac:dyDescent="0.2">
      <c r="C15" s="150" t="s">
        <v>99</v>
      </c>
      <c r="D15" s="13">
        <v>6.0804899387576601</v>
      </c>
      <c r="E15" s="13">
        <v>5.8306709265175716</v>
      </c>
      <c r="F15" s="13">
        <v>7.2391220639199076</v>
      </c>
      <c r="G15" s="13">
        <v>7.501963864886096</v>
      </c>
      <c r="H15" s="13">
        <v>7.0593962999026294</v>
      </c>
      <c r="I15" s="13">
        <v>5.8558558558558556</v>
      </c>
      <c r="J15" s="14">
        <f t="shared" si="0"/>
        <v>-4.1085342588549789E-2</v>
      </c>
      <c r="K15" s="14">
        <f t="shared" si="0"/>
        <v>0.24155901699009918</v>
      </c>
      <c r="L15" s="14">
        <f t="shared" si="0"/>
        <v>3.6308518995169736E-2</v>
      </c>
      <c r="M15" s="14">
        <f t="shared" si="0"/>
        <v>-5.899356127999511E-2</v>
      </c>
      <c r="N15" s="14">
        <f t="shared" si="0"/>
        <v>-0.17048772910841881</v>
      </c>
    </row>
    <row r="16" spans="3:14" x14ac:dyDescent="0.2">
      <c r="C16" s="222" t="s">
        <v>82</v>
      </c>
      <c r="D16" s="208">
        <v>10.067114093959701</v>
      </c>
      <c r="E16" s="208">
        <v>4.2553191489361701</v>
      </c>
      <c r="F16" s="208">
        <v>6.9767441860465116</v>
      </c>
      <c r="G16" s="208">
        <v>6.9164265129682994</v>
      </c>
      <c r="H16" s="208">
        <v>5.6497175141242941</v>
      </c>
      <c r="I16" s="208">
        <v>5.6097560975609753</v>
      </c>
      <c r="J16" s="190">
        <f t="shared" si="0"/>
        <v>-0.57730496453900582</v>
      </c>
      <c r="K16" s="190">
        <f t="shared" si="0"/>
        <v>0.63953488372093026</v>
      </c>
      <c r="L16" s="190">
        <f t="shared" si="0"/>
        <v>-8.6455331412104153E-3</v>
      </c>
      <c r="M16" s="190">
        <f t="shared" si="0"/>
        <v>-0.18314500941619571</v>
      </c>
      <c r="N16" s="190">
        <f t="shared" si="0"/>
        <v>-7.0731707317074344E-3</v>
      </c>
    </row>
    <row r="17" spans="3:14" ht="15" customHeight="1" x14ac:dyDescent="0.2">
      <c r="C17" s="150" t="s">
        <v>84</v>
      </c>
      <c r="D17" s="13">
        <v>5.7359307359307401</v>
      </c>
      <c r="E17" s="13">
        <v>3.6672629695885508</v>
      </c>
      <c r="F17" s="13">
        <v>6.1224489795918364</v>
      </c>
      <c r="G17" s="13">
        <v>6.9306930693069306</v>
      </c>
      <c r="H17" s="13">
        <v>3.5559410234171724</v>
      </c>
      <c r="I17" s="13">
        <v>4.0104620749782036</v>
      </c>
      <c r="J17" s="14">
        <f t="shared" si="0"/>
        <v>-0.36065075775475119</v>
      </c>
      <c r="K17" s="14">
        <f t="shared" si="0"/>
        <v>0.66948730711796922</v>
      </c>
      <c r="L17" s="14">
        <f t="shared" si="0"/>
        <v>0.13201320132013206</v>
      </c>
      <c r="M17" s="14">
        <f t="shared" si="0"/>
        <v>-0.4869285094783794</v>
      </c>
      <c r="N17" s="14">
        <f t="shared" si="0"/>
        <v>0.12782018840240705</v>
      </c>
    </row>
    <row r="18" spans="3:14" ht="15" customHeight="1" x14ac:dyDescent="0.2">
      <c r="C18" s="222" t="s">
        <v>86</v>
      </c>
      <c r="D18" s="208">
        <v>4.14507772020725</v>
      </c>
      <c r="E18" s="208">
        <v>2.5270758122743682</v>
      </c>
      <c r="F18" s="208">
        <v>6.0790273556231007</v>
      </c>
      <c r="G18" s="208">
        <v>7.0110701107011071</v>
      </c>
      <c r="H18" s="208">
        <v>1.8072289156626506</v>
      </c>
      <c r="I18" s="208">
        <v>3.7037037037037037</v>
      </c>
      <c r="J18" s="190">
        <f t="shared" si="0"/>
        <v>-0.39034296028880811</v>
      </c>
      <c r="K18" s="190">
        <f t="shared" si="0"/>
        <v>1.4055579678679986</v>
      </c>
      <c r="L18" s="190">
        <f t="shared" si="0"/>
        <v>0.15332103321033208</v>
      </c>
      <c r="M18" s="190">
        <f t="shared" si="0"/>
        <v>-0.74223208623969561</v>
      </c>
      <c r="N18" s="190">
        <f t="shared" si="0"/>
        <v>1.0493827160493825</v>
      </c>
    </row>
    <row r="19" spans="3:14" ht="15" customHeight="1" x14ac:dyDescent="0.2">
      <c r="C19" s="222" t="s">
        <v>83</v>
      </c>
      <c r="D19" s="208">
        <v>3.75</v>
      </c>
      <c r="E19" s="208">
        <v>5.7268722466960353</v>
      </c>
      <c r="F19" s="208">
        <v>7.009345794392523</v>
      </c>
      <c r="G19" s="208">
        <v>5.1136363636363633</v>
      </c>
      <c r="H19" s="208">
        <v>2.1367521367521367</v>
      </c>
      <c r="I19" s="208">
        <v>2.904564315352697</v>
      </c>
      <c r="J19" s="190">
        <f t="shared" si="0"/>
        <v>0.52716593245227616</v>
      </c>
      <c r="K19" s="190">
        <f t="shared" si="0"/>
        <v>0.22393961179007893</v>
      </c>
      <c r="L19" s="190">
        <f t="shared" si="0"/>
        <v>-0.2704545454545455</v>
      </c>
      <c r="M19" s="190">
        <f t="shared" si="0"/>
        <v>-0.58214624881291543</v>
      </c>
      <c r="N19" s="190">
        <f t="shared" si="0"/>
        <v>0.3593360995850623</v>
      </c>
    </row>
    <row r="20" spans="3:14" ht="15" customHeight="1" x14ac:dyDescent="0.2">
      <c r="C20" s="222" t="s">
        <v>85</v>
      </c>
      <c r="D20" s="208">
        <v>3.2967032967033001</v>
      </c>
      <c r="E20" s="208">
        <v>2.4561403508771931</v>
      </c>
      <c r="F20" s="208">
        <v>4.4982698961937713</v>
      </c>
      <c r="G20" s="208">
        <v>8.3333333333333339</v>
      </c>
      <c r="H20" s="208">
        <v>4.2918454935622314</v>
      </c>
      <c r="I20" s="208">
        <v>2.6548672566371683</v>
      </c>
      <c r="J20" s="190">
        <f t="shared" si="0"/>
        <v>-0.25497076023391885</v>
      </c>
      <c r="K20" s="190">
        <f t="shared" si="0"/>
        <v>0.83143845773603542</v>
      </c>
      <c r="L20" s="190">
        <f t="shared" si="0"/>
        <v>0.85256410256410287</v>
      </c>
      <c r="M20" s="190">
        <f t="shared" si="0"/>
        <v>-0.48497854077253222</v>
      </c>
      <c r="N20" s="190">
        <f t="shared" si="0"/>
        <v>-0.38141592920353973</v>
      </c>
    </row>
    <row r="21" spans="3:14" ht="15" customHeight="1" x14ac:dyDescent="0.2">
      <c r="C21" s="150" t="s">
        <v>224</v>
      </c>
      <c r="D21" s="13">
        <v>2.0270270270270299</v>
      </c>
      <c r="E21" s="13">
        <v>1.6042780748663101</v>
      </c>
      <c r="F21" s="13">
        <v>0.64516129032258063</v>
      </c>
      <c r="G21" s="13">
        <v>1.1627906976744187</v>
      </c>
      <c r="H21" s="13">
        <v>1.1049723756906078</v>
      </c>
      <c r="I21" s="13">
        <v>1.7964071856287425</v>
      </c>
      <c r="J21" s="14">
        <f t="shared" si="0"/>
        <v>-0.20855614973262149</v>
      </c>
      <c r="K21" s="14">
        <f t="shared" si="0"/>
        <v>-0.59784946236559144</v>
      </c>
      <c r="L21" s="14">
        <f t="shared" si="0"/>
        <v>0.80232558139534893</v>
      </c>
      <c r="M21" s="14">
        <f t="shared" si="0"/>
        <v>-4.9723756906077332E-2</v>
      </c>
      <c r="N21" s="14">
        <f t="shared" si="0"/>
        <v>0.62574850299401175</v>
      </c>
    </row>
    <row r="22" spans="3:14" x14ac:dyDescent="0.2">
      <c r="C22" s="150" t="s">
        <v>87</v>
      </c>
      <c r="D22" s="13">
        <v>1.7790262172284601</v>
      </c>
      <c r="E22" s="13">
        <v>1.3391707442698944</v>
      </c>
      <c r="F22" s="13">
        <v>1.4274591227614846</v>
      </c>
      <c r="G22" s="13">
        <v>1.1506008693428791</v>
      </c>
      <c r="H22" s="13">
        <v>0.70422535211267601</v>
      </c>
      <c r="I22" s="13">
        <v>0.89766606822262118</v>
      </c>
      <c r="J22" s="14">
        <f t="shared" si="0"/>
        <v>-0.24724507637881543</v>
      </c>
      <c r="K22" s="14">
        <f t="shared" si="0"/>
        <v>6.5927648785162551E-2</v>
      </c>
      <c r="L22" s="14">
        <f t="shared" si="0"/>
        <v>-0.19395179098579762</v>
      </c>
      <c r="M22" s="14">
        <f t="shared" si="0"/>
        <v>-0.38794992175273868</v>
      </c>
      <c r="N22" s="14">
        <f t="shared" si="0"/>
        <v>0.27468581687612215</v>
      </c>
    </row>
    <row r="23" spans="3:14" ht="15" customHeight="1" x14ac:dyDescent="0.2">
      <c r="C23" s="222" t="s">
        <v>101</v>
      </c>
      <c r="D23" s="208" t="s">
        <v>98</v>
      </c>
      <c r="E23" s="208">
        <v>0.59171597633136097</v>
      </c>
      <c r="F23" s="208">
        <v>1.2048192771084338</v>
      </c>
      <c r="G23" s="208">
        <v>0</v>
      </c>
      <c r="H23" s="208">
        <v>0</v>
      </c>
      <c r="I23" s="208">
        <v>0</v>
      </c>
      <c r="J23" s="190" t="str">
        <f>IFERROR(E23/D23-1,"-")</f>
        <v>-</v>
      </c>
      <c r="K23" s="190">
        <f>IFERROR(F23/E23-1,"-")</f>
        <v>1.036144578313253</v>
      </c>
      <c r="L23" s="190">
        <f>IFERROR(G23/F23-1,"-")</f>
        <v>-1</v>
      </c>
      <c r="M23" s="190" t="str">
        <f>IFERROR(H23/G23-1,"-")</f>
        <v>-</v>
      </c>
      <c r="N23" s="190" t="str">
        <f>IFERROR(I23/H23-1,"-")</f>
        <v>-</v>
      </c>
    </row>
    <row r="24" spans="3:14" ht="15" customHeight="1" x14ac:dyDescent="0.2">
      <c r="C24" s="297" t="s">
        <v>215</v>
      </c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</row>
    <row r="25" spans="3:14" x14ac:dyDescent="0.2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3:14" x14ac:dyDescent="0.2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3:14" x14ac:dyDescent="0.2">
      <c r="C27" s="15"/>
      <c r="D27" s="15"/>
      <c r="E27" s="15"/>
      <c r="F27" s="15"/>
      <c r="G27" s="15"/>
      <c r="H27" s="15"/>
      <c r="I27" s="15"/>
    </row>
    <row r="28" spans="3:14" x14ac:dyDescent="0.2">
      <c r="C28" s="15"/>
      <c r="D28" s="15"/>
      <c r="E28" s="296" t="s">
        <v>102</v>
      </c>
      <c r="F28" s="15"/>
      <c r="G28" s="15"/>
      <c r="H28" s="15"/>
      <c r="I28" s="15"/>
    </row>
    <row r="29" spans="3:14" x14ac:dyDescent="0.2">
      <c r="C29" s="15"/>
      <c r="D29" s="15"/>
      <c r="E29" s="296"/>
      <c r="F29" s="15"/>
      <c r="G29" s="15"/>
      <c r="H29" s="15"/>
      <c r="I29" s="15"/>
    </row>
    <row r="30" spans="3:14" x14ac:dyDescent="0.2">
      <c r="C30" s="15"/>
      <c r="D30" s="15"/>
      <c r="E30" s="15"/>
      <c r="F30" s="15"/>
      <c r="G30" s="15"/>
      <c r="H30" s="15"/>
      <c r="I30" s="15"/>
    </row>
    <row r="31" spans="3:14" x14ac:dyDescent="0.2">
      <c r="C31" s="15"/>
      <c r="D31" s="15"/>
      <c r="E31" s="15"/>
      <c r="F31" s="15"/>
      <c r="G31" s="15"/>
      <c r="H31" s="15"/>
      <c r="I31" s="15"/>
    </row>
    <row r="32" spans="3:14" x14ac:dyDescent="0.2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3:14" x14ac:dyDescent="0.2">
      <c r="K33" s="15"/>
      <c r="L33" s="15"/>
      <c r="M33" s="15"/>
      <c r="N33" s="15"/>
    </row>
    <row r="34" spans="3:14" x14ac:dyDescent="0.2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</sheetData>
  <mergeCells count="3">
    <mergeCell ref="C3:N3"/>
    <mergeCell ref="C24:N24"/>
    <mergeCell ref="E28:E29"/>
  </mergeCells>
  <hyperlinks>
    <hyperlink ref="E28:E29" location="'GRAFICA ESCAL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35:M41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 x14ac:dyDescent="0.2">
      <c r="J35" s="15"/>
      <c r="K35" s="15"/>
      <c r="L35" s="15"/>
      <c r="M35" s="15"/>
    </row>
    <row r="36" spans="10:13" x14ac:dyDescent="0.2">
      <c r="J36" s="15"/>
      <c r="K36" s="15"/>
      <c r="L36" s="15"/>
      <c r="M36" s="15"/>
    </row>
    <row r="37" spans="10:13" x14ac:dyDescent="0.2">
      <c r="J37" s="15"/>
      <c r="K37" s="15"/>
      <c r="L37" s="15"/>
      <c r="M37" s="15"/>
    </row>
    <row r="38" spans="10:13" x14ac:dyDescent="0.2">
      <c r="J38" s="15"/>
      <c r="K38" s="15"/>
      <c r="L38" s="296" t="s">
        <v>76</v>
      </c>
      <c r="M38" s="15"/>
    </row>
    <row r="39" spans="10:13" x14ac:dyDescent="0.2">
      <c r="J39" s="15"/>
      <c r="K39" s="15"/>
      <c r="L39" s="296"/>
      <c r="M39" s="15"/>
    </row>
    <row r="40" spans="10:13" x14ac:dyDescent="0.2">
      <c r="J40" s="15"/>
      <c r="K40" s="15"/>
      <c r="L40" s="15"/>
      <c r="M40" s="15"/>
    </row>
    <row r="41" spans="10:13" x14ac:dyDescent="0.2">
      <c r="J41" s="15"/>
      <c r="K41" s="15"/>
      <c r="L41" s="15"/>
      <c r="M41" s="15"/>
    </row>
  </sheetData>
  <mergeCells count="1">
    <mergeCell ref="L38:L39"/>
  </mergeCells>
  <hyperlinks>
    <hyperlink ref="L38:L39" location="'escala nacionalidad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P18"/>
  <sheetViews>
    <sheetView showGridLines="0" topLeftCell="C7" zoomScaleNormal="100" workbookViewId="0">
      <selection activeCell="L59" sqref="L59"/>
    </sheetView>
  </sheetViews>
  <sheetFormatPr baseColWidth="10" defaultRowHeight="12.75" x14ac:dyDescent="0.2"/>
  <cols>
    <col min="1" max="2" width="11.42578125" style="175"/>
    <col min="3" max="3" width="7.42578125" style="175" customWidth="1"/>
    <col min="4" max="4" width="7.7109375" style="175" customWidth="1"/>
    <col min="5" max="5" width="23" style="175" bestFit="1" customWidth="1"/>
    <col min="6" max="9" width="7.7109375" style="175" customWidth="1"/>
    <col min="10" max="13" width="7.7109375" style="175" hidden="1" customWidth="1"/>
    <col min="14" max="14" width="7.7109375" style="175" customWidth="1"/>
    <col min="15" max="16384" width="11.42578125" style="175"/>
  </cols>
  <sheetData>
    <row r="2" spans="3:16" x14ac:dyDescent="0.2">
      <c r="F2" s="223"/>
    </row>
    <row r="3" spans="3:16" ht="22.5" customHeight="1" x14ac:dyDescent="0.2"/>
    <row r="4" spans="3:16" ht="18" customHeight="1" x14ac:dyDescent="0.2">
      <c r="E4" s="305" t="s">
        <v>335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3:16" ht="39.75" customHeight="1" x14ac:dyDescent="0.2">
      <c r="E5" s="10"/>
      <c r="F5" s="10">
        <v>2007</v>
      </c>
      <c r="G5" s="10">
        <v>2008</v>
      </c>
      <c r="H5" s="10">
        <v>2009</v>
      </c>
      <c r="I5" s="10">
        <v>2010</v>
      </c>
      <c r="J5" s="10">
        <v>2011</v>
      </c>
      <c r="K5" s="10">
        <v>2012</v>
      </c>
      <c r="L5" s="143" t="s">
        <v>58</v>
      </c>
      <c r="M5" s="143" t="s">
        <v>59</v>
      </c>
      <c r="N5" s="143" t="s">
        <v>60</v>
      </c>
      <c r="O5" s="143" t="s">
        <v>61</v>
      </c>
      <c r="P5" s="143" t="s">
        <v>62</v>
      </c>
    </row>
    <row r="6" spans="3:16" ht="15" customHeight="1" x14ac:dyDescent="0.2">
      <c r="E6" s="65" t="s">
        <v>336</v>
      </c>
      <c r="F6" s="90">
        <v>64.090909090909093</v>
      </c>
      <c r="G6" s="90">
        <v>68.281818181818181</v>
      </c>
      <c r="H6" s="90">
        <v>70.63636363636364</v>
      </c>
      <c r="I6" s="90">
        <v>76.218181818181819</v>
      </c>
      <c r="J6" s="90">
        <v>78.972727272727269</v>
      </c>
      <c r="K6" s="90">
        <v>79.836363636363643</v>
      </c>
      <c r="L6" s="129">
        <f t="shared" ref="L6:P12" si="0">G6/F6-1</f>
        <v>6.5390070921985677E-2</v>
      </c>
      <c r="M6" s="129">
        <f t="shared" si="0"/>
        <v>3.4482758620689724E-2</v>
      </c>
      <c r="N6" s="129">
        <f t="shared" si="0"/>
        <v>7.9021879021879071E-2</v>
      </c>
      <c r="O6" s="129">
        <f>J6/I6-1</f>
        <v>3.6140267175572394E-2</v>
      </c>
      <c r="P6" s="129">
        <f>K6/J6-1</f>
        <v>1.0935881201795894E-2</v>
      </c>
    </row>
    <row r="7" spans="3:16" ht="15" customHeight="1" x14ac:dyDescent="0.2">
      <c r="E7" s="224" t="s">
        <v>337</v>
      </c>
      <c r="F7" s="88">
        <v>23.772727272727298</v>
      </c>
      <c r="G7" s="88">
        <v>24.545454545454547</v>
      </c>
      <c r="H7" s="88">
        <v>23.627272727272729</v>
      </c>
      <c r="I7" s="88">
        <v>23.563636363636363</v>
      </c>
      <c r="J7" s="88">
        <v>21.427272727272726</v>
      </c>
      <c r="K7" s="88">
        <v>20.154545454545456</v>
      </c>
      <c r="L7" s="14">
        <f t="shared" si="0"/>
        <v>3.2504780114721799E-2</v>
      </c>
      <c r="M7" s="14">
        <f t="shared" si="0"/>
        <v>-3.7407407407407445E-2</v>
      </c>
      <c r="N7" s="14">
        <f t="shared" si="0"/>
        <v>-2.6933435936900008E-3</v>
      </c>
      <c r="O7" s="14">
        <f t="shared" si="0"/>
        <v>-9.0663580246913567E-2</v>
      </c>
      <c r="P7" s="14">
        <f t="shared" si="0"/>
        <v>-5.9397539244802622E-2</v>
      </c>
    </row>
    <row r="8" spans="3:16" ht="15" customHeight="1" x14ac:dyDescent="0.2">
      <c r="E8" s="224" t="s">
        <v>338</v>
      </c>
      <c r="F8" s="88">
        <v>10.0818181818182</v>
      </c>
      <c r="G8" s="88">
        <v>11.218181818181819</v>
      </c>
      <c r="H8" s="88">
        <v>10.945454545454545</v>
      </c>
      <c r="I8" s="88">
        <v>11.527272727272727</v>
      </c>
      <c r="J8" s="88">
        <v>11.99090909090909</v>
      </c>
      <c r="K8" s="88">
        <v>13.2</v>
      </c>
      <c r="L8" s="14">
        <f t="shared" si="0"/>
        <v>0.11271415689810449</v>
      </c>
      <c r="M8" s="14">
        <f t="shared" si="0"/>
        <v>-2.4311183144246407E-2</v>
      </c>
      <c r="N8" s="14">
        <f>I8/H8-1</f>
        <v>5.315614617940212E-2</v>
      </c>
      <c r="O8" s="14">
        <f>J8/I8-1</f>
        <v>4.022082018927442E-2</v>
      </c>
      <c r="P8" s="14">
        <f>K8/J8-1</f>
        <v>0.10083396512509468</v>
      </c>
    </row>
    <row r="9" spans="3:16" ht="15" customHeight="1" x14ac:dyDescent="0.2">
      <c r="E9" s="224" t="s">
        <v>339</v>
      </c>
      <c r="F9" s="88">
        <v>30.236363636363599</v>
      </c>
      <c r="G9" s="88">
        <v>32.518181818181816</v>
      </c>
      <c r="H9" s="88">
        <v>36.063636363636363</v>
      </c>
      <c r="I9" s="88">
        <v>41.127272727272725</v>
      </c>
      <c r="J9" s="88">
        <v>45.554545454545455</v>
      </c>
      <c r="K9" s="88">
        <v>46.481818181818184</v>
      </c>
      <c r="L9" s="14">
        <f t="shared" si="0"/>
        <v>7.5466025255563451E-2</v>
      </c>
      <c r="M9" s="14">
        <f t="shared" si="0"/>
        <v>0.10902991333519707</v>
      </c>
      <c r="N9" s="14">
        <f t="shared" si="0"/>
        <v>0.14040836904461806</v>
      </c>
      <c r="O9" s="14">
        <f t="shared" si="0"/>
        <v>0.10764809902740935</v>
      </c>
      <c r="P9" s="14">
        <f t="shared" si="0"/>
        <v>2.0355218519257701E-2</v>
      </c>
    </row>
    <row r="10" spans="3:16" ht="15" customHeight="1" x14ac:dyDescent="0.2">
      <c r="E10" s="224" t="s">
        <v>340</v>
      </c>
      <c r="F10" s="88">
        <f t="shared" ref="F10:K10" si="1">SUM(F8:F9)</f>
        <v>40.318181818181799</v>
      </c>
      <c r="G10" s="88">
        <f t="shared" si="1"/>
        <v>43.736363636363635</v>
      </c>
      <c r="H10" s="88">
        <f t="shared" si="1"/>
        <v>47.009090909090908</v>
      </c>
      <c r="I10" s="88">
        <f t="shared" si="1"/>
        <v>52.654545454545456</v>
      </c>
      <c r="J10" s="88">
        <f t="shared" si="1"/>
        <v>57.545454545454547</v>
      </c>
      <c r="K10" s="88">
        <f t="shared" si="1"/>
        <v>59.681818181818187</v>
      </c>
      <c r="L10" s="14">
        <f>G10/F10-1</f>
        <v>8.4780157835400605E-2</v>
      </c>
      <c r="M10" s="14">
        <f t="shared" si="0"/>
        <v>7.4828517979629972E-2</v>
      </c>
      <c r="N10" s="14">
        <f>I10/H10-1</f>
        <v>0.1200928253722684</v>
      </c>
      <c r="O10" s="14">
        <f>J10/I10-1</f>
        <v>9.2886740331491691E-2</v>
      </c>
      <c r="P10" s="14">
        <f>K10/J10-1</f>
        <v>3.7124802527646272E-2</v>
      </c>
    </row>
    <row r="11" spans="3:16" ht="15" customHeight="1" x14ac:dyDescent="0.2">
      <c r="E11" s="225" t="s">
        <v>341</v>
      </c>
      <c r="F11" s="33">
        <v>32.009090909090901</v>
      </c>
      <c r="G11" s="33">
        <v>28.545454545454547</v>
      </c>
      <c r="H11" s="33">
        <v>27.072727272727274</v>
      </c>
      <c r="I11" s="33">
        <v>22.4</v>
      </c>
      <c r="J11" s="33">
        <v>19.545454545454547</v>
      </c>
      <c r="K11" s="33">
        <v>18.263636363636362</v>
      </c>
      <c r="L11" s="190">
        <f t="shared" si="0"/>
        <v>-0.10820789548423715</v>
      </c>
      <c r="M11" s="190">
        <f t="shared" si="0"/>
        <v>-5.1592356687898078E-2</v>
      </c>
      <c r="N11" s="190">
        <f t="shared" si="0"/>
        <v>-0.1725990597716589</v>
      </c>
      <c r="O11" s="190">
        <f t="shared" si="0"/>
        <v>-0.12743506493506485</v>
      </c>
      <c r="P11" s="190">
        <f t="shared" si="0"/>
        <v>-6.5581395348837335E-2</v>
      </c>
    </row>
    <row r="12" spans="3:16" ht="15" customHeight="1" x14ac:dyDescent="0.2">
      <c r="E12" s="62" t="s">
        <v>142</v>
      </c>
      <c r="F12" s="88">
        <v>3.9</v>
      </c>
      <c r="G12" s="88">
        <v>3.1727272727272728</v>
      </c>
      <c r="H12" s="88">
        <v>2.290909090909091</v>
      </c>
      <c r="I12" s="88">
        <v>1.3818181818181818</v>
      </c>
      <c r="J12" s="88">
        <v>1.4818181818181819</v>
      </c>
      <c r="K12" s="88">
        <v>1.9</v>
      </c>
      <c r="L12" s="14">
        <f t="shared" si="0"/>
        <v>-0.18648018648018638</v>
      </c>
      <c r="M12" s="14">
        <f t="shared" si="0"/>
        <v>-0.27793696275071633</v>
      </c>
      <c r="N12" s="14">
        <f t="shared" si="0"/>
        <v>-0.39682539682539686</v>
      </c>
      <c r="O12" s="14">
        <f t="shared" si="0"/>
        <v>7.2368421052631637E-2</v>
      </c>
      <c r="P12" s="14">
        <f t="shared" si="0"/>
        <v>0.28220858895705514</v>
      </c>
    </row>
    <row r="13" spans="3:16" ht="15" customHeight="1" x14ac:dyDescent="0.2">
      <c r="E13" s="297" t="s">
        <v>215</v>
      </c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</row>
    <row r="14" spans="3:16" x14ac:dyDescent="0.2"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</row>
    <row r="15" spans="3:16" ht="14.25" customHeight="1" x14ac:dyDescent="0.2"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</row>
    <row r="16" spans="3:16" x14ac:dyDescent="0.2"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</row>
    <row r="17" spans="3:14" x14ac:dyDescent="0.2"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</row>
    <row r="18" spans="3:14" x14ac:dyDescent="0.2"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</row>
  </sheetData>
  <mergeCells count="2">
    <mergeCell ref="E4:P4"/>
    <mergeCell ref="E13:P1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4" orientation="portrait" r:id="rId1"/>
  <headerFooter>
    <oddHeader>&amp;L&amp;G&amp;CEncuesta de Turismo Receptivo&amp;RAño 2012</oddHeader>
    <oddFooter>&amp;LTurismo de Tenerife&amp;R&amp;P</oddFooter>
  </headerFooter>
  <ignoredErrors>
    <ignoredError sqref="F10:K10" formulaRange="1"/>
  </ignoredErrors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N76"/>
  <sheetViews>
    <sheetView showGridLines="0" topLeftCell="A46" zoomScaleNormal="100" workbookViewId="0">
      <selection activeCell="L59" sqref="L59"/>
    </sheetView>
  </sheetViews>
  <sheetFormatPr baseColWidth="10" defaultRowHeight="12.75" x14ac:dyDescent="0.2"/>
  <cols>
    <col min="1" max="2" width="11.42578125" style="1"/>
    <col min="3" max="3" width="17" style="1" customWidth="1"/>
    <col min="4" max="9" width="7.7109375" style="1" customWidth="1"/>
    <col min="10" max="13" width="7.7109375" style="1" hidden="1" customWidth="1"/>
    <col min="14" max="14" width="7.7109375" style="1" customWidth="1"/>
    <col min="15" max="15" width="14.5703125" style="1" customWidth="1"/>
    <col min="16" max="16" width="13.28515625" style="1" customWidth="1"/>
    <col min="17" max="17" width="13.140625" style="1" customWidth="1"/>
    <col min="18" max="18" width="14.140625" style="1" customWidth="1"/>
    <col min="19" max="19" width="11.42578125" style="1" customWidth="1"/>
    <col min="20" max="20" width="5.5703125" style="1" customWidth="1"/>
    <col min="21" max="21" width="23.85546875" style="1" bestFit="1" customWidth="1"/>
    <col min="22" max="22" width="11.42578125" style="1"/>
    <col min="23" max="23" width="5.5703125" style="1" customWidth="1"/>
    <col min="24" max="24" width="23.85546875" style="1" bestFit="1" customWidth="1"/>
    <col min="25" max="25" width="11.42578125" style="1"/>
    <col min="26" max="26" width="5.5703125" style="1" customWidth="1"/>
    <col min="27" max="27" width="13.85546875" style="1" bestFit="1" customWidth="1"/>
    <col min="28" max="28" width="11.42578125" style="1"/>
    <col min="29" max="29" width="5.5703125" style="1" customWidth="1"/>
    <col min="30" max="30" width="13.85546875" style="1" bestFit="1" customWidth="1"/>
    <col min="31" max="31" width="11.42578125" style="1"/>
    <col min="32" max="32" width="5.5703125" style="1" customWidth="1"/>
    <col min="33" max="16384" width="11.42578125" style="1"/>
  </cols>
  <sheetData>
    <row r="2" spans="3:14" ht="32.25" customHeight="1" x14ac:dyDescent="0.2"/>
    <row r="3" spans="3:14" ht="36" customHeight="1" x14ac:dyDescent="0.2">
      <c r="C3" s="308" t="s">
        <v>342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3:14" ht="42" customHeight="1" x14ac:dyDescent="0.2">
      <c r="C4" s="1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4" ht="15" customHeight="1" x14ac:dyDescent="0.2">
      <c r="C5" s="227" t="s">
        <v>85</v>
      </c>
      <c r="D5" s="13">
        <v>76.923076923076906</v>
      </c>
      <c r="E5" s="13">
        <v>84.912280701754383</v>
      </c>
      <c r="F5" s="13">
        <v>84.429065743944633</v>
      </c>
      <c r="G5" s="13">
        <v>92.129629629629633</v>
      </c>
      <c r="H5" s="13">
        <v>88.841201716738198</v>
      </c>
      <c r="I5" s="13">
        <v>91.150442477876112</v>
      </c>
      <c r="J5" s="14">
        <f t="shared" ref="J5:J22" si="0">IFERROR(E5/D5-1,"-")</f>
        <v>0.10385964912280721</v>
      </c>
      <c r="K5" s="14">
        <f t="shared" ref="K5:N23" si="1">F5/E5-1</f>
        <v>-5.6907546684206167E-3</v>
      </c>
      <c r="L5" s="14">
        <f t="shared" si="1"/>
        <v>9.1207498482088756E-2</v>
      </c>
      <c r="M5" s="14">
        <f t="shared" si="1"/>
        <v>-3.569348890374624E-2</v>
      </c>
      <c r="N5" s="14">
        <f t="shared" si="1"/>
        <v>2.59929032533881E-2</v>
      </c>
    </row>
    <row r="6" spans="3:14" ht="15" customHeight="1" x14ac:dyDescent="0.2">
      <c r="C6" s="227" t="s">
        <v>86</v>
      </c>
      <c r="D6" s="13">
        <v>74.093264248704699</v>
      </c>
      <c r="E6" s="13">
        <v>83.393501805054157</v>
      </c>
      <c r="F6" s="13">
        <v>79.635258358662611</v>
      </c>
      <c r="G6" s="13">
        <v>84.132841328413278</v>
      </c>
      <c r="H6" s="13">
        <v>87.951807228915669</v>
      </c>
      <c r="I6" s="13">
        <v>90.740740740740748</v>
      </c>
      <c r="J6" s="14">
        <f t="shared" si="0"/>
        <v>0.12552068869758348</v>
      </c>
      <c r="K6" s="14">
        <f t="shared" si="1"/>
        <v>-4.5066382452400799E-2</v>
      </c>
      <c r="L6" s="14">
        <f t="shared" si="1"/>
        <v>5.6477282330075207E-2</v>
      </c>
      <c r="M6" s="14">
        <f t="shared" si="1"/>
        <v>4.5392094694567842E-2</v>
      </c>
      <c r="N6" s="14">
        <f t="shared" si="1"/>
        <v>3.1709791983764557E-2</v>
      </c>
    </row>
    <row r="7" spans="3:14" ht="15" customHeight="1" x14ac:dyDescent="0.2">
      <c r="C7" s="227" t="s">
        <v>224</v>
      </c>
      <c r="D7" s="13">
        <v>77.027027027027003</v>
      </c>
      <c r="E7" s="13">
        <v>86.631016042780743</v>
      </c>
      <c r="F7" s="13">
        <v>82.58064516129032</v>
      </c>
      <c r="G7" s="13">
        <v>86.627906976744185</v>
      </c>
      <c r="H7" s="13">
        <v>87.292817679558013</v>
      </c>
      <c r="I7" s="13">
        <v>88.622754491017957</v>
      </c>
      <c r="J7" s="14">
        <f t="shared" si="0"/>
        <v>0.12468336616943465</v>
      </c>
      <c r="K7" s="14">
        <f t="shared" si="1"/>
        <v>-4.6754281162883271E-2</v>
      </c>
      <c r="L7" s="14">
        <f t="shared" si="1"/>
        <v>4.9009811046511587E-2</v>
      </c>
      <c r="M7" s="14">
        <f t="shared" si="1"/>
        <v>7.6754792539581729E-3</v>
      </c>
      <c r="N7" s="14">
        <f t="shared" si="1"/>
        <v>1.5235352080648745E-2</v>
      </c>
    </row>
    <row r="8" spans="3:14" ht="15" customHeight="1" x14ac:dyDescent="0.2">
      <c r="C8" s="227" t="s">
        <v>84</v>
      </c>
      <c r="D8" s="13">
        <v>75.757575757575793</v>
      </c>
      <c r="E8" s="13">
        <v>81.395348837209298</v>
      </c>
      <c r="F8" s="13">
        <v>79.761904761904759</v>
      </c>
      <c r="G8" s="13">
        <v>86.336633663366342</v>
      </c>
      <c r="H8" s="13">
        <v>86.12315698178665</v>
      </c>
      <c r="I8" s="13">
        <v>88.055797733217091</v>
      </c>
      <c r="J8" s="14">
        <f t="shared" si="0"/>
        <v>7.4418604651162124E-2</v>
      </c>
      <c r="K8" s="14">
        <f t="shared" si="1"/>
        <v>-2.0068027210884298E-2</v>
      </c>
      <c r="L8" s="14">
        <f t="shared" si="1"/>
        <v>8.2429436973548098E-2</v>
      </c>
      <c r="M8" s="14">
        <f t="shared" si="1"/>
        <v>-2.4726083531593224E-3</v>
      </c>
      <c r="N8" s="14">
        <f t="shared" si="1"/>
        <v>2.2440430880154016E-2</v>
      </c>
    </row>
    <row r="9" spans="3:14" ht="15" customHeight="1" x14ac:dyDescent="0.2">
      <c r="C9" s="228" t="s">
        <v>83</v>
      </c>
      <c r="D9" s="88">
        <v>81.875</v>
      </c>
      <c r="E9" s="88">
        <v>78.854625550660799</v>
      </c>
      <c r="F9" s="88">
        <v>81.308411214953267</v>
      </c>
      <c r="G9" s="88">
        <v>85.227272727272734</v>
      </c>
      <c r="H9" s="88">
        <v>89.316239316239319</v>
      </c>
      <c r="I9" s="88">
        <v>87.551867219917014</v>
      </c>
      <c r="J9" s="14">
        <f t="shared" si="0"/>
        <v>-3.6890069610249765E-2</v>
      </c>
      <c r="K9" s="14">
        <f t="shared" si="1"/>
        <v>3.1117840547172593E-2</v>
      </c>
      <c r="L9" s="14">
        <f t="shared" si="1"/>
        <v>4.8197492163009503E-2</v>
      </c>
      <c r="M9" s="14">
        <f t="shared" si="1"/>
        <v>4.7977207977207836E-2</v>
      </c>
      <c r="N9" s="14">
        <f t="shared" si="1"/>
        <v>-1.9754213901407636E-2</v>
      </c>
    </row>
    <row r="10" spans="3:14" ht="15" customHeight="1" x14ac:dyDescent="0.2">
      <c r="C10" s="227" t="s">
        <v>87</v>
      </c>
      <c r="D10" s="13">
        <v>74.765917602996296</v>
      </c>
      <c r="E10" s="13">
        <v>78.032449137265004</v>
      </c>
      <c r="F10" s="13">
        <v>78.406436542953543</v>
      </c>
      <c r="G10" s="13">
        <v>82.025057530043469</v>
      </c>
      <c r="H10" s="13">
        <v>85.337022132796776</v>
      </c>
      <c r="I10" s="13">
        <v>87.124903821492694</v>
      </c>
      <c r="J10" s="14">
        <f t="shared" si="0"/>
        <v>4.3690114948014669E-2</v>
      </c>
      <c r="K10" s="14">
        <f t="shared" si="1"/>
        <v>4.7927164894012719E-3</v>
      </c>
      <c r="L10" s="14">
        <f t="shared" si="1"/>
        <v>4.6152090907836785E-2</v>
      </c>
      <c r="M10" s="14">
        <f t="shared" si="1"/>
        <v>4.0377473695037969E-2</v>
      </c>
      <c r="N10" s="14">
        <f t="shared" si="1"/>
        <v>2.0950832874314651E-2</v>
      </c>
    </row>
    <row r="11" spans="3:14" ht="15" customHeight="1" x14ac:dyDescent="0.2">
      <c r="C11" s="227" t="s">
        <v>82</v>
      </c>
      <c r="D11" s="13">
        <v>72.483221476510096</v>
      </c>
      <c r="E11" s="13">
        <v>78.419452887538</v>
      </c>
      <c r="F11" s="13">
        <v>75</v>
      </c>
      <c r="G11" s="13">
        <v>85.014409221902014</v>
      </c>
      <c r="H11" s="13">
        <v>80.508474576271183</v>
      </c>
      <c r="I11" s="13">
        <v>84.878048780487802</v>
      </c>
      <c r="J11" s="14">
        <f t="shared" si="0"/>
        <v>8.1898007429922037E-2</v>
      </c>
      <c r="K11" s="14">
        <f t="shared" si="1"/>
        <v>-4.3604651162790775E-2</v>
      </c>
      <c r="L11" s="14">
        <f t="shared" si="1"/>
        <v>0.13352545629202694</v>
      </c>
      <c r="M11" s="14">
        <f t="shared" si="1"/>
        <v>-5.300201091640333E-2</v>
      </c>
      <c r="N11" s="14">
        <f t="shared" si="1"/>
        <v>5.4274711168164291E-2</v>
      </c>
    </row>
    <row r="12" spans="3:14" ht="15" customHeight="1" x14ac:dyDescent="0.2">
      <c r="C12" s="229" t="s">
        <v>101</v>
      </c>
      <c r="D12" s="230" t="s">
        <v>98</v>
      </c>
      <c r="E12" s="13">
        <v>60.355029585798817</v>
      </c>
      <c r="F12" s="13">
        <v>63.855421686746986</v>
      </c>
      <c r="G12" s="13">
        <v>75.630252100840337</v>
      </c>
      <c r="H12" s="13">
        <v>82.10526315789474</v>
      </c>
      <c r="I12" s="13">
        <v>80.882352941176464</v>
      </c>
      <c r="J12" s="14" t="str">
        <f t="shared" si="0"/>
        <v>-</v>
      </c>
      <c r="K12" s="14">
        <f t="shared" si="1"/>
        <v>5.7996692652964699E-2</v>
      </c>
      <c r="L12" s="14">
        <f t="shared" si="1"/>
        <v>0.18439828761693366</v>
      </c>
      <c r="M12" s="14">
        <f t="shared" si="1"/>
        <v>8.5614035087719254E-2</v>
      </c>
      <c r="N12" s="14">
        <f t="shared" si="1"/>
        <v>-1.4894419306184181E-2</v>
      </c>
    </row>
    <row r="13" spans="3:14" ht="15" customHeight="1" x14ac:dyDescent="0.2">
      <c r="C13" s="65" t="s">
        <v>90</v>
      </c>
      <c r="D13" s="17">
        <v>64.090909090909093</v>
      </c>
      <c r="E13" s="17">
        <v>68.281818181818181</v>
      </c>
      <c r="F13" s="17">
        <v>70.63636363636364</v>
      </c>
      <c r="G13" s="17">
        <v>76.218181818181819</v>
      </c>
      <c r="H13" s="17">
        <v>78.972727272727269</v>
      </c>
      <c r="I13" s="17">
        <v>79.836363636363643</v>
      </c>
      <c r="J13" s="103">
        <f t="shared" si="0"/>
        <v>6.5390070921985677E-2</v>
      </c>
      <c r="K13" s="103">
        <f t="shared" si="1"/>
        <v>3.4482758620689724E-2</v>
      </c>
      <c r="L13" s="103">
        <f t="shared" si="1"/>
        <v>7.9021879021879071E-2</v>
      </c>
      <c r="M13" s="103">
        <f t="shared" si="1"/>
        <v>3.6140267175572394E-2</v>
      </c>
      <c r="N13" s="103">
        <f t="shared" si="1"/>
        <v>1.0935881201795894E-2</v>
      </c>
    </row>
    <row r="14" spans="3:14" ht="15" customHeight="1" x14ac:dyDescent="0.2">
      <c r="C14" s="62" t="s">
        <v>93</v>
      </c>
      <c r="D14" s="88">
        <v>62.820512820512803</v>
      </c>
      <c r="E14" s="88">
        <v>71.428571428571431</v>
      </c>
      <c r="F14" s="88">
        <v>67.948717948717942</v>
      </c>
      <c r="G14" s="88">
        <v>70.886075949367083</v>
      </c>
      <c r="H14" s="88">
        <v>66.120218579234972</v>
      </c>
      <c r="I14" s="88">
        <v>75.661375661375658</v>
      </c>
      <c r="J14" s="14">
        <f t="shared" si="0"/>
        <v>0.1370262390670558</v>
      </c>
      <c r="K14" s="14">
        <f t="shared" si="1"/>
        <v>-4.8717948717948878E-2</v>
      </c>
      <c r="L14" s="14">
        <f t="shared" si="1"/>
        <v>4.3229042273704277E-2</v>
      </c>
      <c r="M14" s="14">
        <f t="shared" si="1"/>
        <v>-6.7232630757220857E-2</v>
      </c>
      <c r="N14" s="14">
        <f t="shared" si="1"/>
        <v>0.14430014430014415</v>
      </c>
    </row>
    <row r="15" spans="3:14" ht="15" customHeight="1" x14ac:dyDescent="0.2">
      <c r="C15" s="227" t="s">
        <v>89</v>
      </c>
      <c r="D15" s="13">
        <v>58.798017348203203</v>
      </c>
      <c r="E15" s="13">
        <v>63.289382373351842</v>
      </c>
      <c r="F15" s="13">
        <v>64.046579330422119</v>
      </c>
      <c r="G15" s="13">
        <v>72.701555869872706</v>
      </c>
      <c r="H15" s="13">
        <v>71.549295774647888</v>
      </c>
      <c r="I15" s="13">
        <v>75.354107648725218</v>
      </c>
      <c r="J15" s="14">
        <f t="shared" si="0"/>
        <v>7.638633456891375E-2</v>
      </c>
      <c r="K15" s="14">
        <f t="shared" si="1"/>
        <v>1.1964044025638998E-2</v>
      </c>
      <c r="L15" s="14">
        <f t="shared" si="1"/>
        <v>0.13513565642278524</v>
      </c>
      <c r="M15" s="14">
        <f t="shared" si="1"/>
        <v>-1.5849180687236286E-2</v>
      </c>
      <c r="N15" s="14">
        <f t="shared" si="1"/>
        <v>5.3177488791238181E-2</v>
      </c>
    </row>
    <row r="16" spans="3:14" ht="15" customHeight="1" x14ac:dyDescent="0.2">
      <c r="C16" s="228" t="s">
        <v>92</v>
      </c>
      <c r="D16" s="88">
        <v>46.963562753036399</v>
      </c>
      <c r="E16" s="88">
        <v>53.036437246963565</v>
      </c>
      <c r="F16" s="88">
        <v>58.431372549019606</v>
      </c>
      <c r="G16" s="88">
        <v>68.09210526315789</v>
      </c>
      <c r="H16" s="88">
        <v>74.659400544959126</v>
      </c>
      <c r="I16" s="88">
        <v>75.342465753424662</v>
      </c>
      <c r="J16" s="14">
        <f t="shared" si="0"/>
        <v>0.12931034482758719</v>
      </c>
      <c r="K16" s="14">
        <f t="shared" si="1"/>
        <v>0.10172129920670558</v>
      </c>
      <c r="L16" s="14">
        <f t="shared" si="1"/>
        <v>0.16533468738961488</v>
      </c>
      <c r="M16" s="14">
        <f t="shared" si="1"/>
        <v>9.6447235056404734E-2</v>
      </c>
      <c r="N16" s="14">
        <f t="shared" si="1"/>
        <v>9.1490850914910382E-3</v>
      </c>
    </row>
    <row r="17" spans="3:14" ht="15" customHeight="1" x14ac:dyDescent="0.2">
      <c r="C17" s="227" t="s">
        <v>100</v>
      </c>
      <c r="D17" s="13">
        <v>52.702702702702702</v>
      </c>
      <c r="E17" s="13">
        <v>54.716981132075475</v>
      </c>
      <c r="F17" s="13">
        <v>61.53846153846154</v>
      </c>
      <c r="G17" s="13">
        <v>64.640883977900558</v>
      </c>
      <c r="H17" s="13">
        <v>73.122529644268781</v>
      </c>
      <c r="I17" s="13">
        <v>74.853801169590639</v>
      </c>
      <c r="J17" s="14">
        <f t="shared" si="0"/>
        <v>3.8219641993227027E-2</v>
      </c>
      <c r="K17" s="14">
        <f t="shared" si="1"/>
        <v>0.12466843501326252</v>
      </c>
      <c r="L17" s="14">
        <f t="shared" si="1"/>
        <v>5.0414364640884113E-2</v>
      </c>
      <c r="M17" s="14">
        <f t="shared" si="1"/>
        <v>0.1312117833856965</v>
      </c>
      <c r="N17" s="14">
        <f t="shared" si="1"/>
        <v>2.3676307886834058E-2</v>
      </c>
    </row>
    <row r="18" spans="3:14" ht="15" customHeight="1" x14ac:dyDescent="0.2">
      <c r="C18" s="227" t="s">
        <v>91</v>
      </c>
      <c r="D18" s="13">
        <v>65.406976744186096</v>
      </c>
      <c r="E18" s="13">
        <v>65.096952908587255</v>
      </c>
      <c r="F18" s="13">
        <v>66.402116402116405</v>
      </c>
      <c r="G18" s="13">
        <v>73.80952380952381</v>
      </c>
      <c r="H18" s="13">
        <v>73.497267759562845</v>
      </c>
      <c r="I18" s="13">
        <v>72.311827956989248</v>
      </c>
      <c r="J18" s="14">
        <f t="shared" si="0"/>
        <v>-4.7399199753778154E-3</v>
      </c>
      <c r="K18" s="14">
        <f t="shared" si="1"/>
        <v>2.0049532815490378E-2</v>
      </c>
      <c r="L18" s="14">
        <f t="shared" si="1"/>
        <v>0.11155378486055767</v>
      </c>
      <c r="M18" s="14">
        <f t="shared" si="1"/>
        <v>-4.230565838180822E-3</v>
      </c>
      <c r="N18" s="14">
        <f t="shared" si="1"/>
        <v>-1.6129032258064613E-2</v>
      </c>
    </row>
    <row r="19" spans="3:14" ht="15" customHeight="1" x14ac:dyDescent="0.2">
      <c r="C19" s="227" t="s">
        <v>99</v>
      </c>
      <c r="D19" s="13">
        <v>48.731408573928299</v>
      </c>
      <c r="E19" s="13">
        <v>56.110223642172521</v>
      </c>
      <c r="F19" s="13">
        <v>62.841740469772816</v>
      </c>
      <c r="G19" s="13">
        <v>70.777690494893946</v>
      </c>
      <c r="H19" s="13">
        <v>75.949367088607602</v>
      </c>
      <c r="I19" s="13">
        <v>72.172172172172168</v>
      </c>
      <c r="J19" s="14">
        <f t="shared" si="0"/>
        <v>0.15141805427294686</v>
      </c>
      <c r="K19" s="14">
        <f t="shared" si="1"/>
        <v>0.11996952410185857</v>
      </c>
      <c r="L19" s="14">
        <f t="shared" si="1"/>
        <v>0.126284694946321</v>
      </c>
      <c r="M19" s="14">
        <f t="shared" si="1"/>
        <v>7.3069304148695613E-2</v>
      </c>
      <c r="N19" s="14">
        <f t="shared" si="1"/>
        <v>-4.9733066399733183E-2</v>
      </c>
    </row>
    <row r="20" spans="3:14" ht="15" customHeight="1" x14ac:dyDescent="0.2">
      <c r="C20" s="229" t="s">
        <v>96</v>
      </c>
      <c r="D20" s="230" t="s">
        <v>98</v>
      </c>
      <c r="E20" s="13">
        <v>55.802997858672377</v>
      </c>
      <c r="F20" s="13">
        <v>62.772521596051007</v>
      </c>
      <c r="G20" s="13">
        <v>70.539761021837663</v>
      </c>
      <c r="H20" s="13">
        <v>75.650842266462476</v>
      </c>
      <c r="I20" s="13">
        <v>71.865284974093271</v>
      </c>
      <c r="J20" s="14" t="str">
        <f t="shared" si="0"/>
        <v>-</v>
      </c>
      <c r="K20" s="14">
        <f t="shared" si="1"/>
        <v>0.12489514909270216</v>
      </c>
      <c r="L20" s="14">
        <f t="shared" si="1"/>
        <v>0.12373629779873752</v>
      </c>
      <c r="M20" s="14">
        <f t="shared" si="1"/>
        <v>7.2456741709722161E-2</v>
      </c>
      <c r="N20" s="14">
        <f t="shared" si="1"/>
        <v>-5.0039856516540304E-2</v>
      </c>
    </row>
    <row r="21" spans="3:14" ht="15" customHeight="1" x14ac:dyDescent="0.2">
      <c r="C21" s="43" t="s">
        <v>170</v>
      </c>
      <c r="D21" s="13">
        <v>57.239057239057203</v>
      </c>
      <c r="E21" s="13">
        <v>61.611374407582936</v>
      </c>
      <c r="F21" s="13">
        <v>72.340425531914889</v>
      </c>
      <c r="G21" s="13">
        <v>67.486338797814213</v>
      </c>
      <c r="H21" s="13">
        <v>71.298405466970394</v>
      </c>
      <c r="I21" s="13">
        <v>70.967741935483872</v>
      </c>
      <c r="J21" s="14">
        <f t="shared" si="0"/>
        <v>7.638695288542019E-2</v>
      </c>
      <c r="K21" s="14">
        <f t="shared" si="1"/>
        <v>0.17414075286415698</v>
      </c>
      <c r="L21" s="14">
        <f t="shared" si="1"/>
        <v>-6.7100610736097632E-2</v>
      </c>
      <c r="M21" s="14">
        <f t="shared" si="1"/>
        <v>5.6486493964014617E-2</v>
      </c>
      <c r="N21" s="14">
        <f t="shared" si="1"/>
        <v>-4.6377409048748985E-3</v>
      </c>
    </row>
    <row r="22" spans="3:14" ht="15" customHeight="1" x14ac:dyDescent="0.2">
      <c r="C22" s="227" t="s">
        <v>88</v>
      </c>
      <c r="D22" s="13">
        <v>58.148148148148103</v>
      </c>
      <c r="E22" s="13">
        <v>54.435483870967744</v>
      </c>
      <c r="F22" s="13">
        <v>62.776025236593057</v>
      </c>
      <c r="G22" s="13">
        <v>65.723270440251568</v>
      </c>
      <c r="H22" s="13">
        <v>71.739130434782609</v>
      </c>
      <c r="I22" s="13">
        <v>70.674486803519059</v>
      </c>
      <c r="J22" s="14">
        <f t="shared" si="0"/>
        <v>-6.3848366550235514E-2</v>
      </c>
      <c r="K22" s="14">
        <f t="shared" si="1"/>
        <v>0.15321883397593172</v>
      </c>
      <c r="L22" s="14">
        <f t="shared" si="1"/>
        <v>4.6948579374861632E-2</v>
      </c>
      <c r="M22" s="14">
        <f t="shared" si="1"/>
        <v>9.1533180778032186E-2</v>
      </c>
      <c r="N22" s="14">
        <f t="shared" si="1"/>
        <v>-1.4840486981249512E-2</v>
      </c>
    </row>
    <row r="23" spans="3:14" ht="15" customHeight="1" x14ac:dyDescent="0.2">
      <c r="C23" s="227" t="s">
        <v>95</v>
      </c>
      <c r="D23" s="13">
        <v>45.918367346938801</v>
      </c>
      <c r="E23" s="13">
        <v>47.085201793721971</v>
      </c>
      <c r="F23" s="13">
        <v>50.877192982456137</v>
      </c>
      <c r="G23" s="13">
        <v>63.636363636363633</v>
      </c>
      <c r="H23" s="13">
        <v>60.83916083916084</v>
      </c>
      <c r="I23" s="13">
        <v>67.634854771784234</v>
      </c>
      <c r="J23" s="14">
        <f>E23/D23-1</f>
        <v>2.5411061285500081E-2</v>
      </c>
      <c r="K23" s="14">
        <f t="shared" si="1"/>
        <v>8.0534670008354237E-2</v>
      </c>
      <c r="L23" s="14">
        <f t="shared" si="1"/>
        <v>0.2507836990595611</v>
      </c>
      <c r="M23" s="14">
        <f t="shared" si="1"/>
        <v>-4.3956043956043911E-2</v>
      </c>
      <c r="N23" s="14">
        <f t="shared" si="1"/>
        <v>0.11169933705346491</v>
      </c>
    </row>
    <row r="24" spans="3:14" ht="15" customHeight="1" x14ac:dyDescent="0.2">
      <c r="C24" s="297" t="s">
        <v>343</v>
      </c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</row>
    <row r="25" spans="3:14" ht="31.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3:14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3:14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3:14" ht="36" customHeight="1" x14ac:dyDescent="0.2">
      <c r="C28" s="308" t="s">
        <v>344</v>
      </c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</row>
    <row r="29" spans="3:14" ht="45.75" customHeight="1" x14ac:dyDescent="0.2">
      <c r="C29" s="10"/>
      <c r="D29" s="10">
        <v>2007</v>
      </c>
      <c r="E29" s="10">
        <v>2008</v>
      </c>
      <c r="F29" s="10">
        <v>2009</v>
      </c>
      <c r="G29" s="10">
        <v>2010</v>
      </c>
      <c r="H29" s="10">
        <v>2011</v>
      </c>
      <c r="I29" s="10">
        <v>2012</v>
      </c>
      <c r="J29" s="143" t="s">
        <v>58</v>
      </c>
      <c r="K29" s="143" t="s">
        <v>59</v>
      </c>
      <c r="L29" s="143" t="s">
        <v>60</v>
      </c>
      <c r="M29" s="143" t="s">
        <v>61</v>
      </c>
      <c r="N29" s="143" t="s">
        <v>62</v>
      </c>
    </row>
    <row r="30" spans="3:14" ht="15" customHeight="1" x14ac:dyDescent="0.2">
      <c r="C30" s="228" t="s">
        <v>83</v>
      </c>
      <c r="D30" s="88">
        <v>65</v>
      </c>
      <c r="E30" s="88">
        <v>61.233480176211458</v>
      </c>
      <c r="F30" s="88">
        <v>69.158878504672899</v>
      </c>
      <c r="G30" s="88">
        <v>72.72727272727272</v>
      </c>
      <c r="H30" s="88">
        <v>75.213675213675216</v>
      </c>
      <c r="I30" s="88">
        <v>80.497925311203318</v>
      </c>
      <c r="J30" s="14">
        <f t="shared" ref="J30:N45" si="2">E30/D30-1</f>
        <v>-5.7946458827516034E-2</v>
      </c>
      <c r="K30" s="14">
        <f t="shared" si="2"/>
        <v>0.12942916694681639</v>
      </c>
      <c r="L30" s="14">
        <f t="shared" si="2"/>
        <v>5.1597051597051413E-2</v>
      </c>
      <c r="M30" s="14">
        <f t="shared" si="2"/>
        <v>3.4188034188034289E-2</v>
      </c>
      <c r="N30" s="14">
        <f t="shared" si="2"/>
        <v>7.0256506978498612E-2</v>
      </c>
    </row>
    <row r="31" spans="3:14" ht="15" customHeight="1" x14ac:dyDescent="0.2">
      <c r="C31" s="227" t="s">
        <v>85</v>
      </c>
      <c r="D31" s="13">
        <v>53.479853479853503</v>
      </c>
      <c r="E31" s="13">
        <v>61.754385964912281</v>
      </c>
      <c r="F31" s="13">
        <v>60.553633217993081</v>
      </c>
      <c r="G31" s="13">
        <v>77.31481481481481</v>
      </c>
      <c r="H31" s="13">
        <v>75.107296137339048</v>
      </c>
      <c r="I31" s="13">
        <v>79.646017699115049</v>
      </c>
      <c r="J31" s="14">
        <f t="shared" si="2"/>
        <v>0.15472242249459223</v>
      </c>
      <c r="K31" s="14">
        <f t="shared" si="2"/>
        <v>-1.9444007549543896E-2</v>
      </c>
      <c r="L31" s="14">
        <f t="shared" si="2"/>
        <v>0.2767989417989416</v>
      </c>
      <c r="M31" s="14">
        <f t="shared" si="2"/>
        <v>-2.8552337385315263E-2</v>
      </c>
      <c r="N31" s="14">
        <f t="shared" si="2"/>
        <v>6.0429835651074848E-2</v>
      </c>
    </row>
    <row r="32" spans="3:14" ht="15" customHeight="1" x14ac:dyDescent="0.2">
      <c r="C32" s="227" t="s">
        <v>224</v>
      </c>
      <c r="D32" s="13">
        <v>57.432432432432456</v>
      </c>
      <c r="E32" s="13">
        <v>70.053475935828885</v>
      </c>
      <c r="F32" s="13">
        <v>65.161290322580641</v>
      </c>
      <c r="G32" s="13">
        <v>68.023255813953483</v>
      </c>
      <c r="H32" s="13">
        <v>72.375690607734811</v>
      </c>
      <c r="I32" s="13">
        <v>79.640718562874255</v>
      </c>
      <c r="J32" s="14">
        <f t="shared" si="2"/>
        <v>0.21975463982384369</v>
      </c>
      <c r="K32" s="14">
        <f t="shared" si="2"/>
        <v>-6.9835016005910022E-2</v>
      </c>
      <c r="L32" s="14">
        <f t="shared" si="2"/>
        <v>4.3921252590375381E-2</v>
      </c>
      <c r="M32" s="14">
        <f t="shared" si="2"/>
        <v>6.3984511498323737E-2</v>
      </c>
      <c r="N32" s="14">
        <f t="shared" si="2"/>
        <v>0.10037939388398764</v>
      </c>
    </row>
    <row r="33" spans="3:14" ht="15" customHeight="1" x14ac:dyDescent="0.2">
      <c r="C33" s="227" t="s">
        <v>86</v>
      </c>
      <c r="D33" s="13">
        <v>52.849740932642504</v>
      </c>
      <c r="E33" s="13">
        <v>53.790613718411549</v>
      </c>
      <c r="F33" s="13">
        <v>58.358662613981764</v>
      </c>
      <c r="G33" s="13">
        <v>66.789667896678964</v>
      </c>
      <c r="H33" s="13">
        <v>73.192771084337352</v>
      </c>
      <c r="I33" s="13">
        <v>74.81481481481481</v>
      </c>
      <c r="J33" s="14">
        <f t="shared" si="2"/>
        <v>1.7802788985630036E-2</v>
      </c>
      <c r="K33" s="14">
        <f t="shared" si="2"/>
        <v>8.4922788192815402E-2</v>
      </c>
      <c r="L33" s="14">
        <f t="shared" si="2"/>
        <v>0.14446878843788435</v>
      </c>
      <c r="M33" s="14">
        <f t="shared" si="2"/>
        <v>9.5869666511349427E-2</v>
      </c>
      <c r="N33" s="14">
        <f t="shared" si="2"/>
        <v>2.2161255906111732E-2</v>
      </c>
    </row>
    <row r="34" spans="3:14" ht="15" customHeight="1" x14ac:dyDescent="0.2">
      <c r="C34" s="227" t="s">
        <v>84</v>
      </c>
      <c r="D34" s="13">
        <v>54.1125541125542</v>
      </c>
      <c r="E34" s="13">
        <v>58.139534883720927</v>
      </c>
      <c r="F34" s="13">
        <v>60.11904761904762</v>
      </c>
      <c r="G34" s="13">
        <v>70.693069306930695</v>
      </c>
      <c r="H34" s="13">
        <v>72.333044232437118</v>
      </c>
      <c r="I34" s="13">
        <v>74.542284219703575</v>
      </c>
      <c r="J34" s="14">
        <f t="shared" si="2"/>
        <v>7.4418604651161013E-2</v>
      </c>
      <c r="K34" s="14">
        <f t="shared" si="2"/>
        <v>3.4047619047619104E-2</v>
      </c>
      <c r="L34" s="14">
        <f t="shared" si="2"/>
        <v>0.17588471718458987</v>
      </c>
      <c r="M34" s="14">
        <f t="shared" si="2"/>
        <v>2.3198524856603342E-2</v>
      </c>
      <c r="N34" s="14">
        <f t="shared" si="2"/>
        <v>3.0542610375518198E-2</v>
      </c>
    </row>
    <row r="35" spans="3:14" ht="15" customHeight="1" x14ac:dyDescent="0.2">
      <c r="C35" s="227" t="s">
        <v>87</v>
      </c>
      <c r="D35" s="13">
        <v>58.216292134831434</v>
      </c>
      <c r="E35" s="13">
        <v>61.576100952871485</v>
      </c>
      <c r="F35" s="13">
        <v>62.029587334544509</v>
      </c>
      <c r="G35" s="13">
        <v>65.354129378675538</v>
      </c>
      <c r="H35" s="13">
        <v>69.064386317907449</v>
      </c>
      <c r="I35" s="13">
        <v>73.044370351372152</v>
      </c>
      <c r="J35" s="14">
        <f t="shared" si="2"/>
        <v>5.7712518177189809E-2</v>
      </c>
      <c r="K35" s="14">
        <f t="shared" si="2"/>
        <v>7.3646491845937856E-3</v>
      </c>
      <c r="L35" s="14">
        <f t="shared" si="2"/>
        <v>5.359606902107461E-2</v>
      </c>
      <c r="M35" s="14">
        <f t="shared" si="2"/>
        <v>5.6771576249358358E-2</v>
      </c>
      <c r="N35" s="14">
        <f t="shared" si="2"/>
        <v>5.7627154104354261E-2</v>
      </c>
    </row>
    <row r="36" spans="3:14" ht="15" customHeight="1" x14ac:dyDescent="0.2">
      <c r="C36" s="227" t="s">
        <v>82</v>
      </c>
      <c r="D36" s="13">
        <v>49.664429530201303</v>
      </c>
      <c r="E36" s="13">
        <v>56.534954407294833</v>
      </c>
      <c r="F36" s="13">
        <v>55.813953488372093</v>
      </c>
      <c r="G36" s="13">
        <v>68.58789625360231</v>
      </c>
      <c r="H36" s="13">
        <v>67.79661016949153</v>
      </c>
      <c r="I36" s="13">
        <v>68.048780487804876</v>
      </c>
      <c r="J36" s="14">
        <f t="shared" si="2"/>
        <v>0.13833894684958614</v>
      </c>
      <c r="K36" s="14">
        <f t="shared" si="2"/>
        <v>-1.275318829707428E-2</v>
      </c>
      <c r="L36" s="14">
        <f t="shared" si="2"/>
        <v>0.22886647454370812</v>
      </c>
      <c r="M36" s="14">
        <f t="shared" si="2"/>
        <v>-1.1536818117077297E-2</v>
      </c>
      <c r="N36" s="14">
        <f t="shared" si="2"/>
        <v>3.719512195121899E-3</v>
      </c>
    </row>
    <row r="37" spans="3:14" ht="15" customHeight="1" x14ac:dyDescent="0.2">
      <c r="C37" s="229" t="s">
        <v>101</v>
      </c>
      <c r="D37" s="13">
        <v>0</v>
      </c>
      <c r="E37" s="13">
        <v>41.42011834319527</v>
      </c>
      <c r="F37" s="13">
        <v>42.168674698795179</v>
      </c>
      <c r="G37" s="13">
        <v>56.30252100840336</v>
      </c>
      <c r="H37" s="13">
        <v>64.21052631578948</v>
      </c>
      <c r="I37" s="13">
        <v>67.647058823529406</v>
      </c>
      <c r="J37" s="14" t="str">
        <f>IFERROR(E37/D37-1,"-")</f>
        <v>-</v>
      </c>
      <c r="K37" s="14">
        <f t="shared" si="2"/>
        <v>1.8072289156626287E-2</v>
      </c>
      <c r="L37" s="14">
        <f t="shared" si="2"/>
        <v>0.33517406962785112</v>
      </c>
      <c r="M37" s="14">
        <f t="shared" si="2"/>
        <v>0.14045561665357442</v>
      </c>
      <c r="N37" s="14">
        <f t="shared" si="2"/>
        <v>5.3519768563162762E-2</v>
      </c>
    </row>
    <row r="38" spans="3:14" ht="15" customHeight="1" x14ac:dyDescent="0.2">
      <c r="C38" s="231" t="s">
        <v>90</v>
      </c>
      <c r="D38" s="17">
        <v>40.318181818181799</v>
      </c>
      <c r="E38" s="17">
        <v>43.736363636363635</v>
      </c>
      <c r="F38" s="17">
        <v>47.009090909090908</v>
      </c>
      <c r="G38" s="17">
        <v>52.654545454545456</v>
      </c>
      <c r="H38" s="17">
        <v>57.545454545454547</v>
      </c>
      <c r="I38" s="17">
        <v>59.681818181818187</v>
      </c>
      <c r="J38" s="103">
        <f>E38/D38-1</f>
        <v>8.4780157835400605E-2</v>
      </c>
      <c r="K38" s="103">
        <f t="shared" si="2"/>
        <v>7.4828517979629972E-2</v>
      </c>
      <c r="L38" s="103">
        <f t="shared" si="2"/>
        <v>0.1200928253722684</v>
      </c>
      <c r="M38" s="103">
        <f t="shared" si="2"/>
        <v>9.2886740331491691E-2</v>
      </c>
      <c r="N38" s="103">
        <f t="shared" si="2"/>
        <v>3.7124802527646272E-2</v>
      </c>
    </row>
    <row r="39" spans="3:14" ht="15" customHeight="1" x14ac:dyDescent="0.2">
      <c r="C39" s="227" t="s">
        <v>88</v>
      </c>
      <c r="D39" s="13">
        <v>28.518518518518501</v>
      </c>
      <c r="E39" s="13">
        <v>26.20967741935484</v>
      </c>
      <c r="F39" s="13">
        <v>36.908517350157723</v>
      </c>
      <c r="G39" s="13">
        <v>38.364779874213838</v>
      </c>
      <c r="H39" s="13">
        <v>51.242236024844722</v>
      </c>
      <c r="I39" s="13">
        <v>51.906158357771261</v>
      </c>
      <c r="J39" s="14">
        <f>E39/D39-1</f>
        <v>-8.0959363217427138E-2</v>
      </c>
      <c r="K39" s="14">
        <f t="shared" si="2"/>
        <v>0.40820189274447927</v>
      </c>
      <c r="L39" s="14">
        <f t="shared" si="2"/>
        <v>3.9456001720152845E-2</v>
      </c>
      <c r="M39" s="14">
        <f t="shared" si="2"/>
        <v>0.33565828327054281</v>
      </c>
      <c r="N39" s="14">
        <f t="shared" si="2"/>
        <v>1.2956544921354229E-2</v>
      </c>
    </row>
    <row r="40" spans="3:14" ht="15" customHeight="1" x14ac:dyDescent="0.2">
      <c r="C40" s="228" t="s">
        <v>92</v>
      </c>
      <c r="D40" s="88">
        <v>21.052631578947381</v>
      </c>
      <c r="E40" s="88">
        <v>27.530364372469634</v>
      </c>
      <c r="F40" s="88">
        <v>38.03921568627451</v>
      </c>
      <c r="G40" s="88">
        <v>46.052631578947363</v>
      </c>
      <c r="H40" s="88">
        <v>56.130790190735695</v>
      </c>
      <c r="I40" s="88">
        <v>51.232876712328768</v>
      </c>
      <c r="J40" s="14">
        <f>E40/D40-1</f>
        <v>0.30769230769230682</v>
      </c>
      <c r="K40" s="14">
        <f t="shared" si="2"/>
        <v>0.38171856978085361</v>
      </c>
      <c r="L40" s="14">
        <f t="shared" si="2"/>
        <v>0.21066196418882233</v>
      </c>
      <c r="M40" s="14">
        <f t="shared" si="2"/>
        <v>0.218840015570261</v>
      </c>
      <c r="N40" s="14">
        <f t="shared" si="2"/>
        <v>-8.7258944008511752E-2</v>
      </c>
    </row>
    <row r="41" spans="3:14" ht="15" customHeight="1" x14ac:dyDescent="0.2">
      <c r="C41" s="227" t="s">
        <v>91</v>
      </c>
      <c r="D41" s="13">
        <v>37.209302325581405</v>
      </c>
      <c r="E41" s="13">
        <v>33.5180055401662</v>
      </c>
      <c r="F41" s="13">
        <v>37.56613756613757</v>
      </c>
      <c r="G41" s="13">
        <v>48.148148148148152</v>
      </c>
      <c r="H41" s="13">
        <v>49.453551912568308</v>
      </c>
      <c r="I41" s="13">
        <v>50</v>
      </c>
      <c r="J41" s="14">
        <f>E41/D41-1</f>
        <v>-9.9203601108033612E-2</v>
      </c>
      <c r="K41" s="14">
        <f t="shared" si="2"/>
        <v>0.12077484804757566</v>
      </c>
      <c r="L41" s="14">
        <f t="shared" si="2"/>
        <v>0.28169014084507049</v>
      </c>
      <c r="M41" s="14">
        <f t="shared" si="2"/>
        <v>2.7112232030264805E-2</v>
      </c>
      <c r="N41" s="14">
        <f t="shared" si="2"/>
        <v>1.1049723756906049E-2</v>
      </c>
    </row>
    <row r="42" spans="3:14" ht="15" customHeight="1" x14ac:dyDescent="0.2">
      <c r="C42" s="227" t="s">
        <v>99</v>
      </c>
      <c r="D42" s="13">
        <v>20.86614173228342</v>
      </c>
      <c r="E42" s="13">
        <v>28.634185303514379</v>
      </c>
      <c r="F42" s="13">
        <v>35.849056603773583</v>
      </c>
      <c r="G42" s="13">
        <v>43.637077769049483</v>
      </c>
      <c r="H42" s="13">
        <v>52.093476144109054</v>
      </c>
      <c r="I42" s="13">
        <v>49.8998998998999</v>
      </c>
      <c r="J42" s="14">
        <f>E42/D42-1</f>
        <v>0.37227982397974868</v>
      </c>
      <c r="K42" s="14">
        <f t="shared" si="2"/>
        <v>0.25196705349859205</v>
      </c>
      <c r="L42" s="14">
        <f t="shared" si="2"/>
        <v>0.2172448009261172</v>
      </c>
      <c r="M42" s="14">
        <f t="shared" si="2"/>
        <v>0.19378929129524458</v>
      </c>
      <c r="N42" s="14">
        <f t="shared" si="2"/>
        <v>-4.2108463603790725E-2</v>
      </c>
    </row>
    <row r="43" spans="3:14" ht="15" customHeight="1" x14ac:dyDescent="0.2">
      <c r="C43" s="229" t="s">
        <v>96</v>
      </c>
      <c r="D43" s="13">
        <v>0</v>
      </c>
      <c r="E43" s="13">
        <v>27.708779443254819</v>
      </c>
      <c r="F43" s="13">
        <v>35.417523652817771</v>
      </c>
      <c r="G43" s="13">
        <v>43.016069221260821</v>
      </c>
      <c r="H43" s="13">
        <v>51.505870342011235</v>
      </c>
      <c r="I43" s="13">
        <v>49.274611398963728</v>
      </c>
      <c r="J43" s="14" t="str">
        <f>IFERROR(E43/D43-1,"-")</f>
        <v>-</v>
      </c>
      <c r="K43" s="14">
        <f t="shared" si="2"/>
        <v>0.27820583816583455</v>
      </c>
      <c r="L43" s="14">
        <f t="shared" si="2"/>
        <v>0.21454197766417016</v>
      </c>
      <c r="M43" s="14">
        <f t="shared" si="2"/>
        <v>0.19736348007721505</v>
      </c>
      <c r="N43" s="14">
        <f t="shared" si="2"/>
        <v>-4.3320478388801487E-2</v>
      </c>
    </row>
    <row r="44" spans="3:14" ht="15" customHeight="1" x14ac:dyDescent="0.2">
      <c r="C44" s="228" t="s">
        <v>93</v>
      </c>
      <c r="D44" s="88">
        <v>33.974358974358999</v>
      </c>
      <c r="E44" s="88">
        <v>30.519480519480517</v>
      </c>
      <c r="F44" s="88">
        <v>33.974358974358978</v>
      </c>
      <c r="G44" s="88">
        <v>43.037974683544306</v>
      </c>
      <c r="H44" s="88">
        <v>37.704918032786885</v>
      </c>
      <c r="I44" s="88">
        <v>48.148148148148152</v>
      </c>
      <c r="J44" s="14">
        <f>E44/D44-1</f>
        <v>-0.10169076206812133</v>
      </c>
      <c r="K44" s="14">
        <f t="shared" si="2"/>
        <v>0.11320240043644314</v>
      </c>
      <c r="L44" s="14">
        <f t="shared" si="2"/>
        <v>0.26677812276092649</v>
      </c>
      <c r="M44" s="14">
        <f t="shared" si="2"/>
        <v>-0.12391513982642244</v>
      </c>
      <c r="N44" s="14">
        <f t="shared" si="2"/>
        <v>0.27697262479871188</v>
      </c>
    </row>
    <row r="45" spans="3:14" ht="15" customHeight="1" x14ac:dyDescent="0.2">
      <c r="C45" s="227" t="s">
        <v>170</v>
      </c>
      <c r="D45" s="13">
        <v>26.262626262626281</v>
      </c>
      <c r="E45" s="13">
        <v>30.094786729857816</v>
      </c>
      <c r="F45" s="13">
        <v>38.297872340425535</v>
      </c>
      <c r="G45" s="13">
        <v>38.251366120218577</v>
      </c>
      <c r="H45" s="13">
        <v>43.96355353075171</v>
      </c>
      <c r="I45" s="13">
        <v>45.730550284629977</v>
      </c>
      <c r="J45" s="14">
        <f>E45/D45-1</f>
        <v>0.14591687932920072</v>
      </c>
      <c r="K45" s="14">
        <f t="shared" si="2"/>
        <v>0.27257497068185654</v>
      </c>
      <c r="L45" s="14">
        <f t="shared" si="2"/>
        <v>-1.2143290831816422E-3</v>
      </c>
      <c r="M45" s="14">
        <f t="shared" si="2"/>
        <v>0.14933289944679484</v>
      </c>
      <c r="N45" s="14">
        <f t="shared" si="2"/>
        <v>4.0192309583034103E-2</v>
      </c>
    </row>
    <row r="46" spans="3:14" ht="15" customHeight="1" x14ac:dyDescent="0.2">
      <c r="C46" s="227" t="s">
        <v>95</v>
      </c>
      <c r="D46" s="13">
        <v>23.129251700680292</v>
      </c>
      <c r="E46" s="13">
        <v>21.076233183856502</v>
      </c>
      <c r="F46" s="13">
        <v>28.070175438596493</v>
      </c>
      <c r="G46" s="13">
        <v>35.123966942148762</v>
      </c>
      <c r="H46" s="13">
        <v>41.25874125874126</v>
      </c>
      <c r="I46" s="13">
        <v>44.813278008298752</v>
      </c>
      <c r="J46" s="14">
        <f>E46/D46-1</f>
        <v>-8.876285940385209E-2</v>
      </c>
      <c r="K46" s="14">
        <f t="shared" ref="K46:N48" si="3">F46/E46-1</f>
        <v>0.33184023889511027</v>
      </c>
      <c r="L46" s="14">
        <f t="shared" si="3"/>
        <v>0.2512913223140496</v>
      </c>
      <c r="M46" s="14">
        <f t="shared" si="3"/>
        <v>0.17466063348416294</v>
      </c>
      <c r="N46" s="14">
        <f t="shared" si="3"/>
        <v>8.6152331387579828E-2</v>
      </c>
    </row>
    <row r="47" spans="3:14" ht="15" customHeight="1" x14ac:dyDescent="0.2">
      <c r="C47" s="227" t="s">
        <v>100</v>
      </c>
      <c r="D47" s="13">
        <v>9.4594594594594597</v>
      </c>
      <c r="E47" s="13">
        <v>12.264150943396226</v>
      </c>
      <c r="F47" s="13">
        <v>14.285714285714286</v>
      </c>
      <c r="G47" s="13">
        <v>27.624309392265193</v>
      </c>
      <c r="H47" s="13">
        <v>37.944664031620555</v>
      </c>
      <c r="I47" s="13">
        <v>44.444444444444443</v>
      </c>
      <c r="J47" s="14">
        <f>E47/D47-1</f>
        <v>0.2964959568733152</v>
      </c>
      <c r="K47" s="14">
        <f t="shared" si="3"/>
        <v>0.16483516483516492</v>
      </c>
      <c r="L47" s="14">
        <f t="shared" si="3"/>
        <v>0.93370165745856348</v>
      </c>
      <c r="M47" s="14">
        <f t="shared" si="3"/>
        <v>0.37359683794466414</v>
      </c>
      <c r="N47" s="14">
        <f t="shared" si="3"/>
        <v>0.17129629629629628</v>
      </c>
    </row>
    <row r="48" spans="3:14" ht="15" customHeight="1" x14ac:dyDescent="0.2">
      <c r="C48" s="227" t="s">
        <v>89</v>
      </c>
      <c r="D48" s="13">
        <v>25.774473358116452</v>
      </c>
      <c r="E48" s="13">
        <v>29.215822345593338</v>
      </c>
      <c r="F48" s="13">
        <v>30.349344978165938</v>
      </c>
      <c r="G48" s="13">
        <v>35.855728429985859</v>
      </c>
      <c r="H48" s="13">
        <v>36.690140845070424</v>
      </c>
      <c r="I48" s="13">
        <v>41.784702549575073</v>
      </c>
      <c r="J48" s="14">
        <f>E48/D48-1</f>
        <v>0.13351772273528129</v>
      </c>
      <c r="K48" s="14">
        <f t="shared" si="3"/>
        <v>3.8798244977128693E-2</v>
      </c>
      <c r="L48" s="14">
        <f t="shared" si="3"/>
        <v>0.18143335402399452</v>
      </c>
      <c r="M48" s="14">
        <f t="shared" si="3"/>
        <v>2.3271383726421568E-2</v>
      </c>
      <c r="N48" s="14">
        <f t="shared" si="3"/>
        <v>0.13885369712853368</v>
      </c>
    </row>
    <row r="49" spans="3:14" ht="15" customHeight="1" x14ac:dyDescent="0.2">
      <c r="C49" s="297" t="s">
        <v>215</v>
      </c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</row>
    <row r="76" ht="12.75" customHeight="1" x14ac:dyDescent="0.2"/>
  </sheetData>
  <mergeCells count="4">
    <mergeCell ref="C3:N3"/>
    <mergeCell ref="C24:N24"/>
    <mergeCell ref="C28:N28"/>
    <mergeCell ref="C49:N49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N79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2" width="11.42578125" style="175"/>
    <col min="3" max="3" width="50.85546875" style="175" customWidth="1"/>
    <col min="4" max="9" width="7.7109375" style="175" customWidth="1"/>
    <col min="10" max="13" width="7.7109375" style="175" hidden="1" customWidth="1"/>
    <col min="14" max="14" width="7.7109375" style="175" customWidth="1"/>
    <col min="15" max="16384" width="11.42578125" style="175"/>
  </cols>
  <sheetData>
    <row r="2" spans="3:14" ht="26.25" customHeight="1" x14ac:dyDescent="0.2"/>
    <row r="3" spans="3:14" ht="36" customHeight="1" x14ac:dyDescent="0.2">
      <c r="C3" s="286" t="s">
        <v>345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</row>
    <row r="4" spans="3:14" ht="25.5" x14ac:dyDescent="0.2">
      <c r="C4" s="1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4" ht="15" customHeight="1" x14ac:dyDescent="0.2">
      <c r="C5" s="36" t="s">
        <v>346</v>
      </c>
      <c r="D5" s="45">
        <v>53.563636363636398</v>
      </c>
      <c r="E5" s="45">
        <v>54.581818181818178</v>
      </c>
      <c r="F5" s="45">
        <v>51.527272727272724</v>
      </c>
      <c r="G5" s="45">
        <v>52.427272727272729</v>
      </c>
      <c r="H5" s="45">
        <v>56.009090909090908</v>
      </c>
      <c r="I5" s="45">
        <v>55.027272727272724</v>
      </c>
      <c r="J5" s="103">
        <f t="shared" ref="J5:N14" si="0">E5/D5-1</f>
        <v>1.9008825526136475E-2</v>
      </c>
      <c r="K5" s="103">
        <f t="shared" si="0"/>
        <v>-5.5962691538974041E-2</v>
      </c>
      <c r="L5" s="103">
        <f t="shared" si="0"/>
        <v>1.7466478475652858E-2</v>
      </c>
      <c r="M5" s="103">
        <f t="shared" si="0"/>
        <v>6.8319750303450499E-2</v>
      </c>
      <c r="N5" s="103">
        <f t="shared" si="0"/>
        <v>-1.7529621814640572E-2</v>
      </c>
    </row>
    <row r="6" spans="3:14" ht="15" customHeight="1" x14ac:dyDescent="0.2">
      <c r="C6" s="232" t="s">
        <v>347</v>
      </c>
      <c r="D6" s="233">
        <v>29.845454545454501</v>
      </c>
      <c r="E6" s="233">
        <v>30.118181818181817</v>
      </c>
      <c r="F6" s="233">
        <v>27.681818181818183</v>
      </c>
      <c r="G6" s="233">
        <v>28.936363636363637</v>
      </c>
      <c r="H6" s="233">
        <v>33.409090909090907</v>
      </c>
      <c r="I6" s="233">
        <v>31.354545454545455</v>
      </c>
      <c r="J6" s="14">
        <f t="shared" si="0"/>
        <v>9.1379835516309793E-3</v>
      </c>
      <c r="K6" s="14">
        <f t="shared" si="0"/>
        <v>-8.089345004527615E-2</v>
      </c>
      <c r="L6" s="14">
        <f t="shared" si="0"/>
        <v>4.5320197044334876E-2</v>
      </c>
      <c r="M6" s="14">
        <f t="shared" si="0"/>
        <v>0.15457115928369447</v>
      </c>
      <c r="N6" s="14">
        <f t="shared" si="0"/>
        <v>-6.1496598639455669E-2</v>
      </c>
    </row>
    <row r="7" spans="3:14" ht="15" customHeight="1" x14ac:dyDescent="0.2">
      <c r="C7" s="232" t="s">
        <v>348</v>
      </c>
      <c r="D7" s="233">
        <v>12.072727272727301</v>
      </c>
      <c r="E7" s="233">
        <v>13.50909090909091</v>
      </c>
      <c r="F7" s="233">
        <v>13.4</v>
      </c>
      <c r="G7" s="233">
        <v>12.618181818181819</v>
      </c>
      <c r="H7" s="233">
        <v>13.072727272727272</v>
      </c>
      <c r="I7" s="233">
        <v>14.609090909090909</v>
      </c>
      <c r="J7" s="14">
        <f t="shared" si="0"/>
        <v>0.11897590361445531</v>
      </c>
      <c r="K7" s="14">
        <f t="shared" si="0"/>
        <v>-8.0753701211305762E-3</v>
      </c>
      <c r="L7" s="14">
        <f t="shared" si="0"/>
        <v>-5.8344640434192629E-2</v>
      </c>
      <c r="M7" s="14">
        <f t="shared" si="0"/>
        <v>3.6023054755043082E-2</v>
      </c>
      <c r="N7" s="14">
        <f t="shared" si="0"/>
        <v>0.11752433936022255</v>
      </c>
    </row>
    <row r="8" spans="3:14" ht="15" customHeight="1" x14ac:dyDescent="0.2">
      <c r="C8" s="232" t="s">
        <v>349</v>
      </c>
      <c r="D8" s="233">
        <v>13.1</v>
      </c>
      <c r="E8" s="233">
        <v>13.345454545454546</v>
      </c>
      <c r="F8" s="233">
        <v>11.372727272727273</v>
      </c>
      <c r="G8" s="233">
        <v>10.836363636363636</v>
      </c>
      <c r="H8" s="233">
        <v>12.272727272727273</v>
      </c>
      <c r="I8" s="233">
        <v>11.881818181818181</v>
      </c>
      <c r="J8" s="14">
        <f t="shared" si="0"/>
        <v>1.8736988202637139E-2</v>
      </c>
      <c r="K8" s="14">
        <f t="shared" si="0"/>
        <v>-0.14782016348773841</v>
      </c>
      <c r="L8" s="14">
        <f t="shared" si="0"/>
        <v>-4.7162270183852995E-2</v>
      </c>
      <c r="M8" s="14">
        <f t="shared" si="0"/>
        <v>0.1325503355704698</v>
      </c>
      <c r="N8" s="14">
        <f t="shared" si="0"/>
        <v>-3.185185185185202E-2</v>
      </c>
    </row>
    <row r="9" spans="3:14" ht="15" customHeight="1" x14ac:dyDescent="0.2">
      <c r="C9" s="232" t="s">
        <v>350</v>
      </c>
      <c r="D9" s="233">
        <v>5.3818181818181801</v>
      </c>
      <c r="E9" s="233">
        <v>5.5181818181818185</v>
      </c>
      <c r="F9" s="233">
        <v>4.9636363636363638</v>
      </c>
      <c r="G9" s="233">
        <v>5.5454545454545459</v>
      </c>
      <c r="H9" s="233">
        <v>6.627272727272727</v>
      </c>
      <c r="I9" s="233">
        <v>6.4727272727272727</v>
      </c>
      <c r="J9" s="14">
        <f t="shared" si="0"/>
        <v>2.5337837837838162E-2</v>
      </c>
      <c r="K9" s="14">
        <f t="shared" si="0"/>
        <v>-0.10049423393739709</v>
      </c>
      <c r="L9" s="14">
        <f t="shared" si="0"/>
        <v>0.11721611721611724</v>
      </c>
      <c r="M9" s="14">
        <f t="shared" si="0"/>
        <v>0.19508196721311455</v>
      </c>
      <c r="N9" s="14">
        <f t="shared" si="0"/>
        <v>-2.3319615912208436E-2</v>
      </c>
    </row>
    <row r="10" spans="3:14" ht="15" customHeight="1" x14ac:dyDescent="0.2">
      <c r="C10" s="232" t="s">
        <v>351</v>
      </c>
      <c r="D10" s="233">
        <v>5.3636363636363598</v>
      </c>
      <c r="E10" s="233">
        <v>5.7727272727272725</v>
      </c>
      <c r="F10" s="233">
        <v>5.2181818181818178</v>
      </c>
      <c r="G10" s="233">
        <v>5.290909090909091</v>
      </c>
      <c r="H10" s="233">
        <v>5.5363636363636362</v>
      </c>
      <c r="I10" s="233">
        <v>5.7727272727272725</v>
      </c>
      <c r="J10" s="14">
        <f t="shared" si="0"/>
        <v>7.6271186440678651E-2</v>
      </c>
      <c r="K10" s="14">
        <f t="shared" si="0"/>
        <v>-9.6062992125984237E-2</v>
      </c>
      <c r="L10" s="14">
        <f t="shared" si="0"/>
        <v>1.3937282229965264E-2</v>
      </c>
      <c r="M10" s="14">
        <f t="shared" si="0"/>
        <v>4.6391752577319423E-2</v>
      </c>
      <c r="N10" s="14">
        <f t="shared" si="0"/>
        <v>4.269293924466333E-2</v>
      </c>
    </row>
    <row r="11" spans="3:14" ht="15" customHeight="1" x14ac:dyDescent="0.2">
      <c r="C11" s="232" t="s">
        <v>352</v>
      </c>
      <c r="D11" s="233">
        <v>6.8090909090909104</v>
      </c>
      <c r="E11" s="233">
        <v>6.0363636363636362</v>
      </c>
      <c r="F11" s="233">
        <v>5.8636363636363633</v>
      </c>
      <c r="G11" s="233">
        <v>5.663636363636364</v>
      </c>
      <c r="H11" s="233">
        <v>5.163636363636364</v>
      </c>
      <c r="I11" s="233">
        <v>4.7</v>
      </c>
      <c r="J11" s="14">
        <f t="shared" si="0"/>
        <v>-0.11348464619492682</v>
      </c>
      <c r="K11" s="14">
        <f t="shared" si="0"/>
        <v>-2.8614457831325324E-2</v>
      </c>
      <c r="L11" s="14">
        <f t="shared" si="0"/>
        <v>-3.4108527131782806E-2</v>
      </c>
      <c r="M11" s="14">
        <f t="shared" si="0"/>
        <v>-8.8282504012841101E-2</v>
      </c>
      <c r="N11" s="14">
        <f t="shared" si="0"/>
        <v>-8.9788732394366244E-2</v>
      </c>
    </row>
    <row r="12" spans="3:14" ht="15" customHeight="1" x14ac:dyDescent="0.2">
      <c r="C12" s="232" t="s">
        <v>353</v>
      </c>
      <c r="D12" s="233">
        <v>5.1818181818181799</v>
      </c>
      <c r="E12" s="233">
        <v>4.8818181818181818</v>
      </c>
      <c r="F12" s="233">
        <v>4.4363636363636365</v>
      </c>
      <c r="G12" s="233">
        <v>4.5181818181818185</v>
      </c>
      <c r="H12" s="233">
        <v>4.1181818181818182</v>
      </c>
      <c r="I12" s="233">
        <v>3.790909090909091</v>
      </c>
      <c r="J12" s="14">
        <f t="shared" si="0"/>
        <v>-5.7894736842104888E-2</v>
      </c>
      <c r="K12" s="14">
        <f t="shared" si="0"/>
        <v>-9.1247672253258805E-2</v>
      </c>
      <c r="L12" s="14">
        <f t="shared" si="0"/>
        <v>1.8442622950819665E-2</v>
      </c>
      <c r="M12" s="14">
        <f t="shared" si="0"/>
        <v>-8.8531187122736443E-2</v>
      </c>
      <c r="N12" s="14">
        <f t="shared" si="0"/>
        <v>-7.9470198675496651E-2</v>
      </c>
    </row>
    <row r="13" spans="3:14" ht="15" customHeight="1" x14ac:dyDescent="0.2">
      <c r="C13" s="232" t="s">
        <v>354</v>
      </c>
      <c r="D13" s="233">
        <v>2.5636363636363599</v>
      </c>
      <c r="E13" s="233">
        <v>2.5</v>
      </c>
      <c r="F13" s="233">
        <v>1.8818181818181818</v>
      </c>
      <c r="G13" s="233">
        <v>1.9363636363636363</v>
      </c>
      <c r="H13" s="233">
        <v>2.0363636363636362</v>
      </c>
      <c r="I13" s="233">
        <v>2.1272727272727274</v>
      </c>
      <c r="J13" s="14">
        <f t="shared" si="0"/>
        <v>-2.4822695035459641E-2</v>
      </c>
      <c r="K13" s="14">
        <f t="shared" si="0"/>
        <v>-0.24727272727272731</v>
      </c>
      <c r="L13" s="14">
        <f t="shared" si="0"/>
        <v>2.8985507246376718E-2</v>
      </c>
      <c r="M13" s="14">
        <f t="shared" si="0"/>
        <v>5.1643192488262768E-2</v>
      </c>
      <c r="N13" s="14">
        <f t="shared" si="0"/>
        <v>4.4642857142857428E-2</v>
      </c>
    </row>
    <row r="14" spans="3:14" ht="15" customHeight="1" x14ac:dyDescent="0.2">
      <c r="C14" s="232" t="s">
        <v>355</v>
      </c>
      <c r="D14" s="233">
        <v>2.5909090909090899</v>
      </c>
      <c r="E14" s="233">
        <v>2.1727272727272728</v>
      </c>
      <c r="F14" s="233">
        <v>1.7363636363636363</v>
      </c>
      <c r="G14" s="233">
        <v>2.0272727272727273</v>
      </c>
      <c r="H14" s="233">
        <v>2.5181818181818181</v>
      </c>
      <c r="I14" s="233">
        <v>2.1090909090909089</v>
      </c>
      <c r="J14" s="14">
        <f t="shared" si="0"/>
        <v>-0.16140350877192944</v>
      </c>
      <c r="K14" s="14">
        <f t="shared" si="0"/>
        <v>-0.20083682008368209</v>
      </c>
      <c r="L14" s="14">
        <f t="shared" si="0"/>
        <v>0.16753926701570676</v>
      </c>
      <c r="M14" s="14">
        <f t="shared" si="0"/>
        <v>0.24215246636771282</v>
      </c>
      <c r="N14" s="14">
        <f t="shared" si="0"/>
        <v>-0.16245487364620947</v>
      </c>
    </row>
    <row r="15" spans="3:14" ht="15" customHeight="1" x14ac:dyDescent="0.2">
      <c r="C15" s="232" t="s">
        <v>356</v>
      </c>
      <c r="D15" s="234" t="s">
        <v>98</v>
      </c>
      <c r="E15" s="234" t="s">
        <v>98</v>
      </c>
      <c r="F15" s="234" t="s">
        <v>98</v>
      </c>
      <c r="G15" s="234" t="s">
        <v>98</v>
      </c>
      <c r="H15" s="233">
        <v>1.5</v>
      </c>
      <c r="I15" s="233">
        <v>2.0181818181818181</v>
      </c>
      <c r="J15" s="14" t="str">
        <f>IFERROR(E15/D15-1,"-")</f>
        <v>-</v>
      </c>
      <c r="K15" s="14" t="str">
        <f>IFERROR(F15/E15-1,"-")</f>
        <v>-</v>
      </c>
      <c r="L15" s="14" t="str">
        <f>IFERROR(G15/F15-1,"-")</f>
        <v>-</v>
      </c>
      <c r="M15" s="14" t="str">
        <f>IFERROR(H15/G15-1,"-")</f>
        <v>-</v>
      </c>
      <c r="N15" s="14">
        <f>IFERROR(I15/H15-1,"-")</f>
        <v>0.34545454545454546</v>
      </c>
    </row>
    <row r="16" spans="3:14" ht="15" customHeight="1" x14ac:dyDescent="0.2">
      <c r="C16" s="232" t="s">
        <v>357</v>
      </c>
      <c r="D16" s="233">
        <v>2.28181818181818</v>
      </c>
      <c r="E16" s="233">
        <v>2.2363636363636363</v>
      </c>
      <c r="F16" s="233">
        <v>2.0909090909090908</v>
      </c>
      <c r="G16" s="233">
        <v>1.9090909090909092</v>
      </c>
      <c r="H16" s="233">
        <v>2.0454545454545454</v>
      </c>
      <c r="I16" s="233">
        <v>1.9454545454545455</v>
      </c>
      <c r="J16" s="14">
        <f t="shared" ref="J16:N17" si="1">E16/D16-1</f>
        <v>-1.9920318725098807E-2</v>
      </c>
      <c r="K16" s="14">
        <f t="shared" si="1"/>
        <v>-6.5040650406504086E-2</v>
      </c>
      <c r="L16" s="14">
        <f t="shared" si="1"/>
        <v>-8.6956521739130377E-2</v>
      </c>
      <c r="M16" s="14">
        <f t="shared" si="1"/>
        <v>7.1428571428571397E-2</v>
      </c>
      <c r="N16" s="14">
        <f t="shared" si="1"/>
        <v>-4.8888888888888871E-2</v>
      </c>
    </row>
    <row r="17" spans="3:14" ht="15" customHeight="1" x14ac:dyDescent="0.2">
      <c r="C17" s="232" t="s">
        <v>358</v>
      </c>
      <c r="D17" s="233">
        <v>1.63636363636364</v>
      </c>
      <c r="E17" s="233">
        <v>1.6272727272727272</v>
      </c>
      <c r="F17" s="233">
        <v>1.2</v>
      </c>
      <c r="G17" s="233">
        <v>1.7545454545454546</v>
      </c>
      <c r="H17" s="233">
        <v>1.6090909090909091</v>
      </c>
      <c r="I17" s="233">
        <v>1.6545454545454545</v>
      </c>
      <c r="J17" s="14">
        <f t="shared" si="1"/>
        <v>-5.5555555555578673E-3</v>
      </c>
      <c r="K17" s="14">
        <f t="shared" si="1"/>
        <v>-0.26256983240223464</v>
      </c>
      <c r="L17" s="14">
        <f t="shared" si="1"/>
        <v>0.46212121212121215</v>
      </c>
      <c r="M17" s="14">
        <f t="shared" si="1"/>
        <v>-8.290155440414515E-2</v>
      </c>
      <c r="N17" s="14">
        <f t="shared" si="1"/>
        <v>2.8248587570621542E-2</v>
      </c>
    </row>
    <row r="18" spans="3:14" ht="15" customHeight="1" x14ac:dyDescent="0.2">
      <c r="C18" s="232" t="s">
        <v>359</v>
      </c>
      <c r="D18" s="234" t="s">
        <v>98</v>
      </c>
      <c r="E18" s="234" t="s">
        <v>98</v>
      </c>
      <c r="F18" s="234" t="s">
        <v>98</v>
      </c>
      <c r="G18" s="233" t="s">
        <v>98</v>
      </c>
      <c r="H18" s="233">
        <v>1.7363636363636363</v>
      </c>
      <c r="I18" s="233">
        <v>1.490909090909091</v>
      </c>
      <c r="J18" s="14" t="str">
        <f t="shared" ref="J18:N19" si="2">IFERROR(E18/D18-1,"-")</f>
        <v>-</v>
      </c>
      <c r="K18" s="14" t="str">
        <f t="shared" si="2"/>
        <v>-</v>
      </c>
      <c r="L18" s="14" t="str">
        <f t="shared" si="2"/>
        <v>-</v>
      </c>
      <c r="M18" s="14" t="str">
        <f t="shared" si="2"/>
        <v>-</v>
      </c>
      <c r="N18" s="14">
        <f t="shared" si="2"/>
        <v>-0.1413612565445026</v>
      </c>
    </row>
    <row r="19" spans="3:14" ht="15" customHeight="1" x14ac:dyDescent="0.2">
      <c r="C19" s="232" t="s">
        <v>360</v>
      </c>
      <c r="D19" s="234" t="s">
        <v>98</v>
      </c>
      <c r="E19" s="234" t="s">
        <v>98</v>
      </c>
      <c r="F19" s="234" t="s">
        <v>98</v>
      </c>
      <c r="G19" s="234" t="s">
        <v>98</v>
      </c>
      <c r="H19" s="233">
        <v>1.209090909090909</v>
      </c>
      <c r="I19" s="233">
        <v>1.1909090909090909</v>
      </c>
      <c r="J19" s="14" t="str">
        <f t="shared" si="2"/>
        <v>-</v>
      </c>
      <c r="K19" s="14" t="str">
        <f t="shared" si="2"/>
        <v>-</v>
      </c>
      <c r="L19" s="14" t="str">
        <f t="shared" si="2"/>
        <v>-</v>
      </c>
      <c r="M19" s="14" t="str">
        <f t="shared" si="2"/>
        <v>-</v>
      </c>
      <c r="N19" s="14">
        <f t="shared" si="2"/>
        <v>-1.5037593984962294E-2</v>
      </c>
    </row>
    <row r="20" spans="3:14" ht="15" customHeight="1" x14ac:dyDescent="0.2">
      <c r="C20" s="232" t="s">
        <v>361</v>
      </c>
      <c r="D20" s="233">
        <v>0.95454545454545503</v>
      </c>
      <c r="E20" s="233">
        <v>0.94545454545454544</v>
      </c>
      <c r="F20" s="233">
        <v>0.8545454545454545</v>
      </c>
      <c r="G20" s="233">
        <v>0.86363636363636365</v>
      </c>
      <c r="H20" s="233">
        <v>1.1545454545454545</v>
      </c>
      <c r="I20" s="233">
        <v>0.98181818181818181</v>
      </c>
      <c r="J20" s="14">
        <f>E20/D20-1</f>
        <v>-9.5238095238100451E-3</v>
      </c>
      <c r="K20" s="14">
        <f>F20/E20-1</f>
        <v>-9.6153846153846145E-2</v>
      </c>
      <c r="L20" s="14">
        <f>G20/F20-1</f>
        <v>1.0638297872340496E-2</v>
      </c>
      <c r="M20" s="14">
        <f>H20/G20-1</f>
        <v>0.33684210526315783</v>
      </c>
      <c r="N20" s="14">
        <f>I20/H20-1</f>
        <v>-0.14960629921259838</v>
      </c>
    </row>
    <row r="21" spans="3:14" ht="15" customHeight="1" x14ac:dyDescent="0.2">
      <c r="C21" s="232" t="s">
        <v>362</v>
      </c>
      <c r="D21" s="234" t="s">
        <v>98</v>
      </c>
      <c r="E21" s="234" t="s">
        <v>98</v>
      </c>
      <c r="F21" s="234" t="s">
        <v>98</v>
      </c>
      <c r="G21" s="234" t="s">
        <v>98</v>
      </c>
      <c r="H21" s="233">
        <v>0.36363636363636365</v>
      </c>
      <c r="I21" s="233">
        <v>0.21818181818181817</v>
      </c>
      <c r="J21" s="14" t="str">
        <f>IFERROR(E21/D21-1,"-")</f>
        <v>-</v>
      </c>
      <c r="K21" s="14" t="str">
        <f>IFERROR(F21/E21-1,"-")</f>
        <v>-</v>
      </c>
      <c r="L21" s="14" t="str">
        <f>IFERROR(G21/F21-1,"-")</f>
        <v>-</v>
      </c>
      <c r="M21" s="14" t="str">
        <f>IFERROR(H21/G21-1,"-")</f>
        <v>-</v>
      </c>
      <c r="N21" s="14">
        <f>IFERROR(I21/H21-1,"-")</f>
        <v>-0.4</v>
      </c>
    </row>
    <row r="22" spans="3:14" ht="15" customHeight="1" x14ac:dyDescent="0.2">
      <c r="C22" s="232" t="s">
        <v>363</v>
      </c>
      <c r="D22" s="234" t="s">
        <v>98</v>
      </c>
      <c r="E22" s="234" t="s">
        <v>98</v>
      </c>
      <c r="F22" s="234" t="s">
        <v>98</v>
      </c>
      <c r="G22" s="234" t="s">
        <v>98</v>
      </c>
      <c r="H22" s="233">
        <v>0.86363636363636365</v>
      </c>
      <c r="I22" s="233">
        <v>0.83636363636363631</v>
      </c>
      <c r="J22" s="14" t="str">
        <f t="shared" ref="J22:N22" si="3">IFERROR(E22/D22-1,"-")</f>
        <v>-</v>
      </c>
      <c r="K22" s="14" t="str">
        <f t="shared" si="3"/>
        <v>-</v>
      </c>
      <c r="L22" s="14" t="str">
        <f t="shared" si="3"/>
        <v>-</v>
      </c>
      <c r="M22" s="14" t="str">
        <f t="shared" si="3"/>
        <v>-</v>
      </c>
      <c r="N22" s="14">
        <f t="shared" si="3"/>
        <v>-3.1578947368421151E-2</v>
      </c>
    </row>
    <row r="23" spans="3:14" ht="15" hidden="1" customHeight="1" x14ac:dyDescent="0.2">
      <c r="C23" s="232" t="s">
        <v>364</v>
      </c>
      <c r="D23" s="233">
        <v>0</v>
      </c>
      <c r="E23" s="233">
        <v>2.9545454545454546</v>
      </c>
      <c r="F23" s="233">
        <v>2.6</v>
      </c>
      <c r="G23" s="233">
        <v>2.290909090909091</v>
      </c>
      <c r="H23" s="233">
        <v>0</v>
      </c>
      <c r="I23" s="233">
        <v>0</v>
      </c>
      <c r="J23" s="14" t="s">
        <v>98</v>
      </c>
      <c r="K23" s="14">
        <f>F23/E23-1</f>
        <v>-0.12</v>
      </c>
      <c r="L23" s="14">
        <f>G23/F23-1</f>
        <v>-0.11888111888111885</v>
      </c>
      <c r="M23" s="14">
        <f>H23/G23-1</f>
        <v>-1</v>
      </c>
      <c r="N23" s="14" t="e">
        <f>I23/H23-1</f>
        <v>#DIV/0!</v>
      </c>
    </row>
    <row r="24" spans="3:14" ht="15" customHeight="1" x14ac:dyDescent="0.2">
      <c r="C24" s="189" t="s">
        <v>365</v>
      </c>
      <c r="D24" s="235">
        <v>23.045454545454501</v>
      </c>
      <c r="E24" s="235">
        <v>16.118181818181817</v>
      </c>
      <c r="F24" s="235">
        <v>41.772727272727273</v>
      </c>
      <c r="G24" s="235">
        <v>38.718181818181819</v>
      </c>
      <c r="H24" s="235">
        <v>37.790909090909089</v>
      </c>
      <c r="I24" s="235">
        <v>39.218181818181819</v>
      </c>
      <c r="J24" s="218">
        <f>IFERROR(E24/D24-1,"-")</f>
        <v>-0.30059171597633005</v>
      </c>
      <c r="K24" s="186">
        <f t="shared" ref="K24:N25" si="4">F24/E24-1</f>
        <v>1.5916525662718559</v>
      </c>
      <c r="L24" s="186">
        <f t="shared" si="4"/>
        <v>-7.3122959738846527E-2</v>
      </c>
      <c r="M24" s="186">
        <f t="shared" si="4"/>
        <v>-2.3949283869452942E-2</v>
      </c>
      <c r="N24" s="186">
        <f t="shared" si="4"/>
        <v>3.776762088044272E-2</v>
      </c>
    </row>
    <row r="25" spans="3:14" ht="15" customHeight="1" x14ac:dyDescent="0.2">
      <c r="C25" s="191" t="s">
        <v>142</v>
      </c>
      <c r="D25" s="236">
        <v>23.390909090909101</v>
      </c>
      <c r="E25" s="236">
        <v>29.3</v>
      </c>
      <c r="F25" s="236">
        <v>6.7</v>
      </c>
      <c r="G25" s="236">
        <v>8.8545454545454554</v>
      </c>
      <c r="H25" s="236">
        <v>6.2</v>
      </c>
      <c r="I25" s="236">
        <v>5.7545454545454549</v>
      </c>
      <c r="J25" s="218">
        <f>IFERROR(E25/D25-1,"-")</f>
        <v>0.25262339681305823</v>
      </c>
      <c r="K25" s="218">
        <f t="shared" si="4"/>
        <v>-0.77133105802047786</v>
      </c>
      <c r="L25" s="218">
        <f t="shared" si="4"/>
        <v>0.32157394843962006</v>
      </c>
      <c r="M25" s="218">
        <f t="shared" si="4"/>
        <v>-0.29979466119096509</v>
      </c>
      <c r="N25" s="218">
        <f t="shared" si="4"/>
        <v>-7.1847507331378235E-2</v>
      </c>
    </row>
    <row r="26" spans="3:14" ht="32.25" customHeight="1" x14ac:dyDescent="0.2">
      <c r="C26" s="288" t="s">
        <v>366</v>
      </c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</row>
    <row r="27" spans="3:14" ht="15" customHeight="1" x14ac:dyDescent="0.2"/>
    <row r="28" spans="3:14" ht="15" customHeight="1" x14ac:dyDescent="0.2">
      <c r="C28" s="237"/>
    </row>
    <row r="29" spans="3:14" ht="35.1" customHeight="1" x14ac:dyDescent="0.2"/>
    <row r="79" ht="12.75" customHeight="1" x14ac:dyDescent="0.2"/>
  </sheetData>
  <mergeCells count="2">
    <mergeCell ref="C3:N3"/>
    <mergeCell ref="C26:N2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N79"/>
  <sheetViews>
    <sheetView showGridLines="0" topLeftCell="A7" zoomScaleNormal="100" workbookViewId="0">
      <selection activeCell="L59" sqref="L59"/>
    </sheetView>
  </sheetViews>
  <sheetFormatPr baseColWidth="10" defaultRowHeight="12.75" x14ac:dyDescent="0.2"/>
  <cols>
    <col min="3" max="3" width="17.42578125" customWidth="1"/>
    <col min="4" max="9" width="7.7109375" customWidth="1"/>
    <col min="10" max="13" width="7.7109375" hidden="1" customWidth="1"/>
    <col min="14" max="14" width="7.7109375" customWidth="1"/>
    <col min="15" max="15" width="22.5703125" customWidth="1"/>
    <col min="16" max="16" width="21.85546875" customWidth="1"/>
    <col min="17" max="17" width="17.42578125" customWidth="1"/>
    <col min="18" max="18" width="20.28515625" customWidth="1"/>
    <col min="19" max="19" width="23.85546875" bestFit="1" customWidth="1"/>
    <col min="20" max="20" width="16.85546875" customWidth="1"/>
    <col min="21" max="21" width="18" customWidth="1"/>
    <col min="22" max="22" width="21.7109375" bestFit="1" customWidth="1"/>
    <col min="23" max="23" width="19.85546875" customWidth="1"/>
    <col min="24" max="24" width="14.5703125" bestFit="1" customWidth="1"/>
    <col min="25" max="25" width="21" bestFit="1" customWidth="1"/>
    <col min="26" max="26" width="22" customWidth="1"/>
    <col min="27" max="27" width="18.5703125" bestFit="1" customWidth="1"/>
    <col min="28" max="28" width="22.5703125" bestFit="1" customWidth="1"/>
    <col min="29" max="29" width="21.85546875" customWidth="1"/>
    <col min="30" max="30" width="17.42578125" bestFit="1" customWidth="1"/>
    <col min="31" max="31" width="20.28515625" bestFit="1" customWidth="1"/>
  </cols>
  <sheetData>
    <row r="2" spans="3:14" ht="32.25" customHeight="1" x14ac:dyDescent="0.2"/>
    <row r="3" spans="3:14" ht="36" customHeight="1" x14ac:dyDescent="0.2">
      <c r="C3" s="308" t="s">
        <v>367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3:14" ht="45" customHeight="1" x14ac:dyDescent="0.2">
      <c r="C4" s="1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4" ht="15" customHeight="1" x14ac:dyDescent="0.2">
      <c r="C5" s="150" t="s">
        <v>89</v>
      </c>
      <c r="D5" s="13">
        <v>72.862453531598504</v>
      </c>
      <c r="E5" s="13">
        <v>75.01734906315059</v>
      </c>
      <c r="F5" s="13">
        <v>74.81804949053857</v>
      </c>
      <c r="G5" s="13">
        <v>74.752475247524757</v>
      </c>
      <c r="H5" s="13">
        <v>77.957746478873233</v>
      </c>
      <c r="I5" s="13">
        <v>78.611898016997173</v>
      </c>
      <c r="J5" s="14">
        <f t="shared" ref="J5:N20" si="0">E5/D5-1</f>
        <v>2.9574841734056667E-2</v>
      </c>
      <c r="K5" s="14">
        <f t="shared" si="0"/>
        <v>-2.6567130817198858E-3</v>
      </c>
      <c r="L5" s="14">
        <f t="shared" si="0"/>
        <v>-8.7644951265541948E-4</v>
      </c>
      <c r="M5" s="14">
        <f t="shared" si="0"/>
        <v>4.2878462829959663E-2</v>
      </c>
      <c r="N5" s="14">
        <f t="shared" si="0"/>
        <v>8.3911037410659972E-3</v>
      </c>
    </row>
    <row r="6" spans="3:14" ht="15" customHeight="1" x14ac:dyDescent="0.2">
      <c r="C6" s="162" t="s">
        <v>93</v>
      </c>
      <c r="D6" s="88">
        <v>71.794871794871796</v>
      </c>
      <c r="E6" s="88">
        <v>72.727272727272734</v>
      </c>
      <c r="F6" s="88">
        <v>70.512820512820511</v>
      </c>
      <c r="G6" s="88">
        <v>68.987341772151893</v>
      </c>
      <c r="H6" s="88">
        <v>73.224043715846989</v>
      </c>
      <c r="I6" s="88">
        <v>68.253968253968253</v>
      </c>
      <c r="J6" s="14">
        <f t="shared" si="0"/>
        <v>1.2987012987013102E-2</v>
      </c>
      <c r="K6" s="14">
        <f t="shared" si="0"/>
        <v>-3.0448717948718063E-2</v>
      </c>
      <c r="L6" s="14">
        <f t="shared" si="0"/>
        <v>-2.1634062140391319E-2</v>
      </c>
      <c r="M6" s="14">
        <f t="shared" si="0"/>
        <v>6.1412743770993039E-2</v>
      </c>
      <c r="N6" s="14">
        <f t="shared" si="0"/>
        <v>-6.7874911158493201E-2</v>
      </c>
    </row>
    <row r="7" spans="3:14" ht="15" customHeight="1" x14ac:dyDescent="0.2">
      <c r="C7" s="162" t="s">
        <v>92</v>
      </c>
      <c r="D7" s="88">
        <v>69.230769230769198</v>
      </c>
      <c r="E7" s="88">
        <v>62.753036437246962</v>
      </c>
      <c r="F7" s="88">
        <v>65.490196078431367</v>
      </c>
      <c r="G7" s="88">
        <v>64.14473684210526</v>
      </c>
      <c r="H7" s="88">
        <v>67.029972752043591</v>
      </c>
      <c r="I7" s="88">
        <v>67.397260273972606</v>
      </c>
      <c r="J7" s="14">
        <f t="shared" si="0"/>
        <v>-9.3567251461987855E-2</v>
      </c>
      <c r="K7" s="14">
        <f t="shared" si="0"/>
        <v>4.3617963314357855E-2</v>
      </c>
      <c r="L7" s="14">
        <f t="shared" si="0"/>
        <v>-2.0544437440907615E-2</v>
      </c>
      <c r="M7" s="14">
        <f t="shared" si="0"/>
        <v>4.4980088031859156E-2</v>
      </c>
      <c r="N7" s="14">
        <f t="shared" si="0"/>
        <v>5.4794520547947201E-3</v>
      </c>
    </row>
    <row r="8" spans="3:14" ht="15" customHeight="1" x14ac:dyDescent="0.2">
      <c r="C8" s="150" t="s">
        <v>95</v>
      </c>
      <c r="D8" s="13">
        <v>65.646258503401398</v>
      </c>
      <c r="E8" s="13">
        <v>69.058295964125563</v>
      </c>
      <c r="F8" s="13">
        <v>67.10526315789474</v>
      </c>
      <c r="G8" s="13">
        <v>62.396694214876035</v>
      </c>
      <c r="H8" s="13">
        <v>69.230769230769226</v>
      </c>
      <c r="I8" s="13">
        <v>65.560165975103729</v>
      </c>
      <c r="J8" s="14">
        <f t="shared" si="0"/>
        <v>5.1976114686678843E-2</v>
      </c>
      <c r="K8" s="14">
        <f t="shared" si="0"/>
        <v>-2.8280929596719018E-2</v>
      </c>
      <c r="L8" s="14">
        <f t="shared" si="0"/>
        <v>-7.0166909739102223E-2</v>
      </c>
      <c r="M8" s="14">
        <f t="shared" si="0"/>
        <v>0.10952623535404982</v>
      </c>
      <c r="N8" s="14">
        <f t="shared" si="0"/>
        <v>-5.3019824804057203E-2</v>
      </c>
    </row>
    <row r="9" spans="3:14" ht="15" customHeight="1" x14ac:dyDescent="0.2">
      <c r="C9" s="150" t="s">
        <v>96</v>
      </c>
      <c r="D9" s="13" t="s">
        <v>98</v>
      </c>
      <c r="E9" s="13">
        <v>64.325481798715202</v>
      </c>
      <c r="F9" s="13">
        <v>60.880296174413822</v>
      </c>
      <c r="G9" s="13">
        <v>61.557478368355994</v>
      </c>
      <c r="H9" s="13">
        <v>64.777947932618687</v>
      </c>
      <c r="I9" s="13">
        <v>63.212435233160619</v>
      </c>
      <c r="J9" s="14" t="str">
        <f>IFERROR(E9/D9-1,"-")</f>
        <v>-</v>
      </c>
      <c r="K9" s="14">
        <f t="shared" si="0"/>
        <v>-5.3558644692035418E-2</v>
      </c>
      <c r="L9" s="14">
        <f t="shared" si="0"/>
        <v>1.1123175091036552E-2</v>
      </c>
      <c r="M9" s="14">
        <f t="shared" si="0"/>
        <v>5.2316463403383917E-2</v>
      </c>
      <c r="N9" s="14">
        <f t="shared" si="0"/>
        <v>-2.4167370986905912E-2</v>
      </c>
    </row>
    <row r="10" spans="3:14" ht="15" customHeight="1" x14ac:dyDescent="0.2">
      <c r="C10" s="150" t="s">
        <v>99</v>
      </c>
      <c r="D10" s="13">
        <v>62.860892388451397</v>
      </c>
      <c r="E10" s="13">
        <v>63.138977635782744</v>
      </c>
      <c r="F10" s="13">
        <v>59.684251058914128</v>
      </c>
      <c r="G10" s="13">
        <v>60.447761194029852</v>
      </c>
      <c r="H10" s="13">
        <v>63.777994157740991</v>
      </c>
      <c r="I10" s="13">
        <v>62.762762762762762</v>
      </c>
      <c r="J10" s="14">
        <f t="shared" ref="J10:J17" si="1">E10/D10-1</f>
        <v>4.4238195922021717E-3</v>
      </c>
      <c r="K10" s="14">
        <f t="shared" si="0"/>
        <v>-5.4716226113086797E-2</v>
      </c>
      <c r="L10" s="14">
        <f t="shared" si="0"/>
        <v>1.2792489167067878E-2</v>
      </c>
      <c r="M10" s="14">
        <f t="shared" si="0"/>
        <v>5.5092742856455823E-2</v>
      </c>
      <c r="N10" s="14">
        <f t="shared" si="0"/>
        <v>-1.5918208284620539E-2</v>
      </c>
    </row>
    <row r="11" spans="3:14" ht="15" customHeight="1" x14ac:dyDescent="0.2">
      <c r="C11" s="150" t="s">
        <v>86</v>
      </c>
      <c r="D11" s="13">
        <v>53.8860103626943</v>
      </c>
      <c r="E11" s="13">
        <v>55.595667870036102</v>
      </c>
      <c r="F11" s="13">
        <v>52.887537993920972</v>
      </c>
      <c r="G11" s="13">
        <v>56.82656826568266</v>
      </c>
      <c r="H11" s="13">
        <v>56.927710843373497</v>
      </c>
      <c r="I11" s="13">
        <v>58.518518518518519</v>
      </c>
      <c r="J11" s="14">
        <f t="shared" si="1"/>
        <v>3.1727297972785395E-2</v>
      </c>
      <c r="K11" s="14">
        <f t="shared" si="0"/>
        <v>-4.8711167252200704E-2</v>
      </c>
      <c r="L11" s="14">
        <f t="shared" si="0"/>
        <v>7.4479365483310023E-2</v>
      </c>
      <c r="M11" s="14">
        <f t="shared" si="0"/>
        <v>1.7798466593648143E-3</v>
      </c>
      <c r="N11" s="14">
        <f t="shared" si="0"/>
        <v>2.7944346462865033E-2</v>
      </c>
    </row>
    <row r="12" spans="3:14" ht="15" customHeight="1" x14ac:dyDescent="0.2">
      <c r="C12" s="152" t="s">
        <v>90</v>
      </c>
      <c r="D12" s="17">
        <v>53.563636363636398</v>
      </c>
      <c r="E12" s="17">
        <v>54.581818181818178</v>
      </c>
      <c r="F12" s="17">
        <v>51.527272727272724</v>
      </c>
      <c r="G12" s="17">
        <v>52.427272727272729</v>
      </c>
      <c r="H12" s="17">
        <v>56.009090909090908</v>
      </c>
      <c r="I12" s="17">
        <v>55.027272727272724</v>
      </c>
      <c r="J12" s="103">
        <f t="shared" si="1"/>
        <v>1.9008825526136475E-2</v>
      </c>
      <c r="K12" s="103">
        <f t="shared" si="0"/>
        <v>-5.5962691538974041E-2</v>
      </c>
      <c r="L12" s="103">
        <f t="shared" si="0"/>
        <v>1.7466478475652858E-2</v>
      </c>
      <c r="M12" s="103">
        <f t="shared" si="0"/>
        <v>6.8319750303450499E-2</v>
      </c>
      <c r="N12" s="103">
        <f t="shared" si="0"/>
        <v>-1.7529621814640572E-2</v>
      </c>
    </row>
    <row r="13" spans="3:14" ht="15" customHeight="1" x14ac:dyDescent="0.2">
      <c r="C13" s="150" t="s">
        <v>85</v>
      </c>
      <c r="D13" s="13">
        <v>49.816849816849803</v>
      </c>
      <c r="E13" s="13">
        <v>48.771929824561404</v>
      </c>
      <c r="F13" s="13">
        <v>41.522491349480966</v>
      </c>
      <c r="G13" s="13">
        <v>47.222222222222221</v>
      </c>
      <c r="H13" s="13">
        <v>53.648068669527895</v>
      </c>
      <c r="I13" s="13">
        <v>54.86725663716814</v>
      </c>
      <c r="J13" s="14">
        <f t="shared" si="1"/>
        <v>-2.0975232198142124E-2</v>
      </c>
      <c r="K13" s="14">
        <f t="shared" si="0"/>
        <v>-0.14863956585596583</v>
      </c>
      <c r="L13" s="14">
        <f t="shared" si="0"/>
        <v>0.13726851851851851</v>
      </c>
      <c r="M13" s="14">
        <f t="shared" si="0"/>
        <v>0.1360767482958849</v>
      </c>
      <c r="N13" s="14">
        <f t="shared" si="0"/>
        <v>2.272566371681406E-2</v>
      </c>
    </row>
    <row r="14" spans="3:14" ht="15" customHeight="1" x14ac:dyDescent="0.2">
      <c r="C14" s="150" t="s">
        <v>91</v>
      </c>
      <c r="D14" s="13">
        <v>49.709302325581397</v>
      </c>
      <c r="E14" s="13">
        <v>50.692520775623265</v>
      </c>
      <c r="F14" s="13">
        <v>53.174603174603178</v>
      </c>
      <c r="G14" s="13">
        <v>54.4973544973545</v>
      </c>
      <c r="H14" s="13">
        <v>57.377049180327866</v>
      </c>
      <c r="I14" s="13">
        <v>54.032258064516128</v>
      </c>
      <c r="J14" s="14">
        <f t="shared" si="1"/>
        <v>1.9779365310783836E-2</v>
      </c>
      <c r="K14" s="14">
        <f t="shared" si="0"/>
        <v>4.8963483389713014E-2</v>
      </c>
      <c r="L14" s="14">
        <f t="shared" si="0"/>
        <v>2.4875621890547261E-2</v>
      </c>
      <c r="M14" s="14">
        <f t="shared" si="0"/>
        <v>5.2840999522520971E-2</v>
      </c>
      <c r="N14" s="14">
        <f t="shared" si="0"/>
        <v>-5.8294930875576023E-2</v>
      </c>
    </row>
    <row r="15" spans="3:14" ht="15" customHeight="1" x14ac:dyDescent="0.2">
      <c r="C15" s="150" t="s">
        <v>88</v>
      </c>
      <c r="D15" s="13">
        <v>52.592592592592602</v>
      </c>
      <c r="E15" s="13">
        <v>53.225806451612904</v>
      </c>
      <c r="F15" s="13">
        <v>46.687697160883282</v>
      </c>
      <c r="G15" s="13">
        <v>47.79874213836478</v>
      </c>
      <c r="H15" s="13">
        <v>58.385093167701861</v>
      </c>
      <c r="I15" s="13">
        <v>53.37243401759531</v>
      </c>
      <c r="J15" s="14">
        <f t="shared" si="1"/>
        <v>1.2039981826442281E-2</v>
      </c>
      <c r="K15" s="14">
        <f t="shared" si="0"/>
        <v>-0.12283720485613225</v>
      </c>
      <c r="L15" s="14">
        <f t="shared" si="0"/>
        <v>2.3797382287948254E-2</v>
      </c>
      <c r="M15" s="14">
        <f t="shared" si="0"/>
        <v>0.22147760706113107</v>
      </c>
      <c r="N15" s="14">
        <f t="shared" si="0"/>
        <v>-8.5855119485867548E-2</v>
      </c>
    </row>
    <row r="16" spans="3:14" ht="15" customHeight="1" x14ac:dyDescent="0.2">
      <c r="C16" s="150" t="s">
        <v>100</v>
      </c>
      <c r="D16" s="13">
        <v>87.162162162162204</v>
      </c>
      <c r="E16" s="13">
        <v>85.84905660377359</v>
      </c>
      <c r="F16" s="13">
        <v>80.219780219780219</v>
      </c>
      <c r="G16" s="13">
        <v>78.453038674033152</v>
      </c>
      <c r="H16" s="13">
        <v>57.312252964426875</v>
      </c>
      <c r="I16" s="13">
        <v>52.33918128654971</v>
      </c>
      <c r="J16" s="14">
        <f t="shared" si="1"/>
        <v>-1.5065087026474022E-2</v>
      </c>
      <c r="K16" s="14">
        <f t="shared" si="0"/>
        <v>-6.5571790846516209E-2</v>
      </c>
      <c r="L16" s="14">
        <f t="shared" si="0"/>
        <v>-2.2023764474381258E-2</v>
      </c>
      <c r="M16" s="14">
        <f t="shared" si="0"/>
        <v>-0.26947057841117861</v>
      </c>
      <c r="N16" s="14">
        <f t="shared" si="0"/>
        <v>-8.677152651744291E-2</v>
      </c>
    </row>
    <row r="17" spans="3:14" ht="15" customHeight="1" x14ac:dyDescent="0.2">
      <c r="C17" s="150" t="s">
        <v>224</v>
      </c>
      <c r="D17" s="13">
        <v>54.054054054054099</v>
      </c>
      <c r="E17" s="13">
        <v>49.732620320855617</v>
      </c>
      <c r="F17" s="13">
        <v>41.29032258064516</v>
      </c>
      <c r="G17" s="13">
        <v>49.418604651162788</v>
      </c>
      <c r="H17" s="13">
        <v>50.276243093922652</v>
      </c>
      <c r="I17" s="13">
        <v>52.095808383233532</v>
      </c>
      <c r="J17" s="14">
        <f t="shared" si="1"/>
        <v>-7.9946524064171909E-2</v>
      </c>
      <c r="K17" s="14">
        <f t="shared" si="0"/>
        <v>-0.16975372875476935</v>
      </c>
      <c r="L17" s="14">
        <f t="shared" si="0"/>
        <v>0.19685683139534871</v>
      </c>
      <c r="M17" s="14">
        <f t="shared" si="0"/>
        <v>1.7354566135846738E-2</v>
      </c>
      <c r="N17" s="14">
        <f t="shared" si="0"/>
        <v>3.6191353556622952E-2</v>
      </c>
    </row>
    <row r="18" spans="3:14" ht="15" customHeight="1" x14ac:dyDescent="0.2">
      <c r="C18" s="150" t="s">
        <v>101</v>
      </c>
      <c r="D18" s="13" t="s">
        <v>98</v>
      </c>
      <c r="E18" s="13">
        <v>46.745562130177518</v>
      </c>
      <c r="F18" s="13">
        <v>42.168674698795179</v>
      </c>
      <c r="G18" s="13">
        <v>37.815126050420169</v>
      </c>
      <c r="H18" s="13">
        <v>43.157894736842103</v>
      </c>
      <c r="I18" s="13">
        <v>50</v>
      </c>
      <c r="J18" s="14" t="str">
        <f>IFERROR(E18/D18-1,"-")</f>
        <v>-</v>
      </c>
      <c r="K18" s="14">
        <f t="shared" si="0"/>
        <v>-9.7910629861217124E-2</v>
      </c>
      <c r="L18" s="14">
        <f t="shared" si="0"/>
        <v>-0.10324129651860736</v>
      </c>
      <c r="M18" s="14">
        <f t="shared" si="0"/>
        <v>0.14128654970760235</v>
      </c>
      <c r="N18" s="14">
        <f t="shared" si="0"/>
        <v>0.1585365853658538</v>
      </c>
    </row>
    <row r="19" spans="3:14" ht="15" customHeight="1" x14ac:dyDescent="0.2">
      <c r="C19" s="150" t="s">
        <v>84</v>
      </c>
      <c r="D19" s="13">
        <v>45.346320346320297</v>
      </c>
      <c r="E19" s="13">
        <v>48.479427549194988</v>
      </c>
      <c r="F19" s="13">
        <v>46.853741496598637</v>
      </c>
      <c r="G19" s="13">
        <v>47.227722772277225</v>
      </c>
      <c r="H19" s="13">
        <v>50.303555941023419</v>
      </c>
      <c r="I19" s="13">
        <v>49.869224062772453</v>
      </c>
      <c r="J19" s="14">
        <f>E19/D19-1</f>
        <v>6.9092865285351301E-2</v>
      </c>
      <c r="K19" s="14">
        <f t="shared" si="0"/>
        <v>-3.3533524110751278E-2</v>
      </c>
      <c r="L19" s="14">
        <f t="shared" si="0"/>
        <v>7.9818871179313522E-3</v>
      </c>
      <c r="M19" s="14">
        <f t="shared" si="0"/>
        <v>6.5127704411606979E-2</v>
      </c>
      <c r="N19" s="14">
        <f t="shared" si="0"/>
        <v>-8.6342182004027768E-3</v>
      </c>
    </row>
    <row r="20" spans="3:14" ht="15" customHeight="1" x14ac:dyDescent="0.2">
      <c r="C20" s="162" t="s">
        <v>83</v>
      </c>
      <c r="D20" s="88">
        <v>43.75</v>
      </c>
      <c r="E20" s="88">
        <v>48.458149779735685</v>
      </c>
      <c r="F20" s="88">
        <v>47.663551401869157</v>
      </c>
      <c r="G20" s="88">
        <v>43.75</v>
      </c>
      <c r="H20" s="88">
        <v>50.854700854700852</v>
      </c>
      <c r="I20" s="88">
        <v>49.377593360995853</v>
      </c>
      <c r="J20" s="14">
        <f>E20/D20-1</f>
        <v>0.10761485210824429</v>
      </c>
      <c r="K20" s="14">
        <f t="shared" si="0"/>
        <v>-1.6397621070518342E-2</v>
      </c>
      <c r="L20" s="14">
        <f t="shared" si="0"/>
        <v>-8.2107843137254832E-2</v>
      </c>
      <c r="M20" s="14">
        <f t="shared" si="0"/>
        <v>0.16239316239316226</v>
      </c>
      <c r="N20" s="14">
        <f t="shared" si="0"/>
        <v>-2.9045643153526868E-2</v>
      </c>
    </row>
    <row r="21" spans="3:14" ht="15" customHeight="1" x14ac:dyDescent="0.2">
      <c r="C21" s="150" t="s">
        <v>82</v>
      </c>
      <c r="D21" s="13">
        <v>36.577181208053702</v>
      </c>
      <c r="E21" s="13">
        <v>42.249240121580549</v>
      </c>
      <c r="F21" s="13">
        <v>45.058139534883722</v>
      </c>
      <c r="G21" s="13">
        <v>41.498559077809801</v>
      </c>
      <c r="H21" s="13">
        <v>41.525423728813557</v>
      </c>
      <c r="I21" s="13">
        <v>41.707317073170735</v>
      </c>
      <c r="J21" s="14">
        <f>E21/D21-1</f>
        <v>0.15507096846155966</v>
      </c>
      <c r="K21" s="14">
        <f t="shared" ref="K21:N22" si="2">F21/E21-1</f>
        <v>6.6484022084657868E-2</v>
      </c>
      <c r="L21" s="14">
        <f t="shared" si="2"/>
        <v>-7.8999721111834065E-2</v>
      </c>
      <c r="M21" s="14">
        <f t="shared" si="2"/>
        <v>6.4736346516003351E-4</v>
      </c>
      <c r="N21" s="14">
        <f t="shared" si="2"/>
        <v>4.3802887008463909E-3</v>
      </c>
    </row>
    <row r="22" spans="3:14" ht="15" customHeight="1" x14ac:dyDescent="0.2">
      <c r="C22" s="150" t="s">
        <v>87</v>
      </c>
      <c r="D22" s="13">
        <v>39.021535580524301</v>
      </c>
      <c r="E22" s="13">
        <v>38.269379345866597</v>
      </c>
      <c r="F22" s="13">
        <v>34.362834155203736</v>
      </c>
      <c r="G22" s="13">
        <v>35.745333674252109</v>
      </c>
      <c r="H22" s="13">
        <v>40.945674044265594</v>
      </c>
      <c r="I22" s="13">
        <v>40.241087458322646</v>
      </c>
      <c r="J22" s="14">
        <f>E22/D22-1</f>
        <v>-1.9275413524041496E-2</v>
      </c>
      <c r="K22" s="14">
        <f t="shared" si="2"/>
        <v>-0.10208018152990506</v>
      </c>
      <c r="L22" s="14">
        <f t="shared" si="2"/>
        <v>4.0232406698590406E-2</v>
      </c>
      <c r="M22" s="14">
        <f t="shared" si="2"/>
        <v>0.14548305570187936</v>
      </c>
      <c r="N22" s="14">
        <f t="shared" si="2"/>
        <v>-1.7207839469957964E-2</v>
      </c>
    </row>
    <row r="23" spans="3:14" ht="15" customHeight="1" x14ac:dyDescent="0.2">
      <c r="C23" s="150" t="s">
        <v>170</v>
      </c>
      <c r="D23" s="13">
        <v>65.656565656565704</v>
      </c>
      <c r="E23" s="13">
        <v>71.800947867298575</v>
      </c>
      <c r="F23" s="13">
        <v>68.693009118541028</v>
      </c>
      <c r="G23" s="13">
        <v>69.945355191256837</v>
      </c>
      <c r="H23" s="13">
        <v>73.804100227790428</v>
      </c>
      <c r="I23" s="13">
        <v>69.449715370018978</v>
      </c>
      <c r="J23" s="14">
        <f>E23/D23-1</f>
        <v>9.358366751731606E-2</v>
      </c>
      <c r="K23" s="14">
        <f>F23/E23-1</f>
        <v>-4.3285483563553995E-2</v>
      </c>
      <c r="L23" s="14">
        <f>G23/F23-1</f>
        <v>1.8231055660332007E-2</v>
      </c>
      <c r="M23" s="14">
        <f>H23/G23-1</f>
        <v>5.5167995444191265E-2</v>
      </c>
      <c r="N23" s="14">
        <f>I23/H23-1</f>
        <v>-5.8999226930915638E-2</v>
      </c>
    </row>
    <row r="24" spans="3:14" ht="15" customHeight="1" x14ac:dyDescent="0.2">
      <c r="C24" s="297" t="s">
        <v>215</v>
      </c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</row>
    <row r="25" spans="3:14" ht="31.5" customHeight="1" x14ac:dyDescent="0.2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3:14" x14ac:dyDescent="0.2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3:14" x14ac:dyDescent="0.2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3:14" x14ac:dyDescent="0.2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3:14" x14ac:dyDescent="0.2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3:14" x14ac:dyDescent="0.2">
      <c r="C30" s="15"/>
      <c r="D30" s="15"/>
      <c r="E30" s="15"/>
      <c r="K30" s="15"/>
      <c r="L30" s="15"/>
      <c r="M30" s="15"/>
      <c r="N30" s="15"/>
    </row>
    <row r="31" spans="3:14" x14ac:dyDescent="0.2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3:14" x14ac:dyDescent="0.2">
      <c r="C32" s="15"/>
      <c r="D32" s="15"/>
      <c r="E32" s="15"/>
    </row>
    <row r="34" spans="3:5" x14ac:dyDescent="0.2">
      <c r="C34" s="15"/>
      <c r="D34" s="15"/>
      <c r="E34" s="15"/>
    </row>
    <row r="49" ht="12" customHeight="1" x14ac:dyDescent="0.2"/>
    <row r="79" ht="12.75" customHeight="1" x14ac:dyDescent="0.2"/>
  </sheetData>
  <mergeCells count="2">
    <mergeCell ref="C3:N3"/>
    <mergeCell ref="C24:N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96"/>
  <sheetViews>
    <sheetView showGridLines="0" topLeftCell="A12" zoomScaleNormal="100" workbookViewId="0">
      <selection activeCell="L59" sqref="L59"/>
    </sheetView>
  </sheetViews>
  <sheetFormatPr baseColWidth="10" defaultRowHeight="12.75" x14ac:dyDescent="0.2"/>
  <cols>
    <col min="1" max="2" width="11.42578125" style="175"/>
    <col min="3" max="3" width="25.28515625" style="175" customWidth="1"/>
    <col min="4" max="9" width="7.7109375" style="175" customWidth="1"/>
    <col min="10" max="13" width="7.7109375" style="175" hidden="1" customWidth="1"/>
    <col min="14" max="14" width="7.7109375" style="175" customWidth="1"/>
    <col min="15" max="15" width="16.140625" style="175" customWidth="1"/>
    <col min="16" max="16" width="11.42578125" style="175"/>
    <col min="17" max="17" width="25.42578125" style="175" bestFit="1" customWidth="1"/>
    <col min="18" max="18" width="21.42578125" style="175" bestFit="1" customWidth="1"/>
    <col min="19" max="22" width="9.140625" style="175" customWidth="1"/>
    <col min="23" max="16384" width="11.42578125" style="175"/>
  </cols>
  <sheetData>
    <row r="2" spans="3:18" ht="15" customHeight="1" x14ac:dyDescent="0.2"/>
    <row r="3" spans="3:18" ht="18" customHeight="1" x14ac:dyDescent="0.2">
      <c r="C3" s="286" t="s">
        <v>368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</row>
    <row r="4" spans="3:18" ht="44.25" customHeight="1" x14ac:dyDescent="0.2">
      <c r="C4" s="1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58</v>
      </c>
      <c r="K4" s="143" t="s">
        <v>59</v>
      </c>
      <c r="L4" s="143" t="s">
        <v>60</v>
      </c>
      <c r="M4" s="143" t="s">
        <v>61</v>
      </c>
      <c r="N4" s="143" t="s">
        <v>62</v>
      </c>
    </row>
    <row r="5" spans="3:18" x14ac:dyDescent="0.2">
      <c r="C5" s="36" t="s">
        <v>369</v>
      </c>
      <c r="D5" s="45">
        <f t="shared" ref="D5:I5" si="0">100-D20-D21</f>
        <v>55.227272727272805</v>
      </c>
      <c r="E5" s="45">
        <f t="shared" si="0"/>
        <v>56.554545454545455</v>
      </c>
      <c r="F5" s="45">
        <f t="shared" si="0"/>
        <v>54.954545454545453</v>
      </c>
      <c r="G5" s="45">
        <f t="shared" si="0"/>
        <v>54.772727272727273</v>
      </c>
      <c r="H5" s="45">
        <f t="shared" si="0"/>
        <v>55.445454545454538</v>
      </c>
      <c r="I5" s="45">
        <f t="shared" si="0"/>
        <v>56.75454545454545</v>
      </c>
      <c r="J5" s="103">
        <f>E5/D5-1</f>
        <v>2.4032921810698049E-2</v>
      </c>
      <c r="K5" s="103">
        <f>F5/E5-1</f>
        <v>-2.8291271499758852E-2</v>
      </c>
      <c r="L5" s="103">
        <f>G5/F5-1</f>
        <v>-3.3085194375516158E-3</v>
      </c>
      <c r="M5" s="103">
        <f>H5/G5-1</f>
        <v>1.2282157676348326E-2</v>
      </c>
      <c r="N5" s="103">
        <f>I5/H5-1</f>
        <v>2.3610427939006362E-2</v>
      </c>
      <c r="Q5"/>
      <c r="R5"/>
    </row>
    <row r="6" spans="3:18" ht="15" customHeight="1" x14ac:dyDescent="0.2">
      <c r="C6" s="232" t="s">
        <v>370</v>
      </c>
      <c r="D6" s="233">
        <v>37.937619350732</v>
      </c>
      <c r="E6" s="233">
        <v>39.214259730811207</v>
      </c>
      <c r="F6" s="233">
        <v>37.401109393470946</v>
      </c>
      <c r="G6" s="233">
        <v>36.071688500727802</v>
      </c>
      <c r="H6" s="233">
        <v>36.82582992269213</v>
      </c>
      <c r="I6" s="233">
        <v>38.450345580210985</v>
      </c>
      <c r="J6" s="14">
        <f t="shared" ref="J6:N10" si="1">E6/D6-1</f>
        <v>3.3651040891014006E-2</v>
      </c>
      <c r="K6" s="14">
        <f t="shared" si="1"/>
        <v>-4.6237015559817962E-2</v>
      </c>
      <c r="L6" s="14">
        <f t="shared" si="1"/>
        <v>-3.5544958807430915E-2</v>
      </c>
      <c r="M6" s="14">
        <f t="shared" si="1"/>
        <v>2.09067402527916E-2</v>
      </c>
      <c r="N6" s="14">
        <f t="shared" si="1"/>
        <v>4.4113483957569422E-2</v>
      </c>
      <c r="Q6"/>
      <c r="R6"/>
    </row>
    <row r="7" spans="3:18" ht="15" customHeight="1" x14ac:dyDescent="0.2">
      <c r="C7" s="232" t="s">
        <v>371</v>
      </c>
      <c r="D7" s="233">
        <v>28.957564575645801</v>
      </c>
      <c r="E7" s="233">
        <v>29.712078005703248</v>
      </c>
      <c r="F7" s="233">
        <v>29.460811561978876</v>
      </c>
      <c r="G7" s="233">
        <v>29.0346352247605</v>
      </c>
      <c r="H7" s="233">
        <v>29.091243223375908</v>
      </c>
      <c r="I7" s="233">
        <v>29.905426498944081</v>
      </c>
      <c r="J7" s="14">
        <f t="shared" si="1"/>
        <v>2.6055831735656954E-2</v>
      </c>
      <c r="K7" s="14">
        <f t="shared" si="1"/>
        <v>-8.4567105564323786E-3</v>
      </c>
      <c r="L7" s="14">
        <f t="shared" si="1"/>
        <v>-1.4465872276525626E-2</v>
      </c>
      <c r="M7" s="14">
        <f t="shared" si="1"/>
        <v>1.9496714243936175E-3</v>
      </c>
      <c r="N7" s="14">
        <f t="shared" si="1"/>
        <v>2.7987228641845885E-2</v>
      </c>
      <c r="Q7"/>
      <c r="R7"/>
    </row>
    <row r="8" spans="3:18" ht="15" customHeight="1" x14ac:dyDescent="0.2">
      <c r="C8" s="232" t="s">
        <v>372</v>
      </c>
      <c r="D8" s="233">
        <v>27.6427235727643</v>
      </c>
      <c r="E8" s="233">
        <v>28.297707387307565</v>
      </c>
      <c r="F8" s="233">
        <v>26.158068057080133</v>
      </c>
      <c r="G8" s="233">
        <v>25.781505282648951</v>
      </c>
      <c r="H8" s="233">
        <v>26.514016691632783</v>
      </c>
      <c r="I8" s="233">
        <v>27.210004312203537</v>
      </c>
      <c r="J8" s="14">
        <f t="shared" si="1"/>
        <v>2.3694619411113393E-2</v>
      </c>
      <c r="K8" s="14">
        <f t="shared" si="1"/>
        <v>-7.5611755431011729E-2</v>
      </c>
      <c r="L8" s="14">
        <f t="shared" si="1"/>
        <v>-1.4395664603726654E-2</v>
      </c>
      <c r="M8" s="14">
        <f t="shared" si="1"/>
        <v>2.8412282407606959E-2</v>
      </c>
      <c r="N8" s="14">
        <f t="shared" si="1"/>
        <v>2.6249799442511268E-2</v>
      </c>
      <c r="Q8"/>
      <c r="R8"/>
    </row>
    <row r="9" spans="3:18" ht="15" customHeight="1" x14ac:dyDescent="0.2">
      <c r="C9" s="232" t="s">
        <v>373</v>
      </c>
      <c r="D9" s="233">
        <v>23.627479160678401</v>
      </c>
      <c r="E9" s="233">
        <v>25.666602723959333</v>
      </c>
      <c r="F9" s="233">
        <v>24.584653798136944</v>
      </c>
      <c r="G9" s="233">
        <v>24.632637277648879</v>
      </c>
      <c r="H9" s="233">
        <v>23.975647468109781</v>
      </c>
      <c r="I9" s="233">
        <v>23.828802776171198</v>
      </c>
      <c r="J9" s="14">
        <f t="shared" si="1"/>
        <v>8.6303052027425053E-2</v>
      </c>
      <c r="K9" s="14">
        <f t="shared" si="1"/>
        <v>-4.215395926989618E-2</v>
      </c>
      <c r="L9" s="14">
        <f t="shared" si="1"/>
        <v>1.9517655162413217E-3</v>
      </c>
      <c r="M9" s="14">
        <f t="shared" si="1"/>
        <v>-2.667151722869876E-2</v>
      </c>
      <c r="N9" s="14">
        <f t="shared" si="1"/>
        <v>-6.124743539623001E-3</v>
      </c>
      <c r="Q9"/>
      <c r="R9"/>
    </row>
    <row r="10" spans="3:18" ht="15" customHeight="1" x14ac:dyDescent="0.2">
      <c r="C10" s="232" t="s">
        <v>374</v>
      </c>
      <c r="D10" s="233">
        <v>20.0729261622607</v>
      </c>
      <c r="E10" s="233">
        <v>21.674562682215743</v>
      </c>
      <c r="F10" s="233">
        <v>20.524733533752393</v>
      </c>
      <c r="G10" s="233">
        <v>20.777443197372023</v>
      </c>
      <c r="H10" s="233">
        <v>20.751276440554339</v>
      </c>
      <c r="I10" s="233">
        <v>20.693430656934307</v>
      </c>
      <c r="J10" s="14">
        <f t="shared" si="1"/>
        <v>7.9790883850621386E-2</v>
      </c>
      <c r="K10" s="14">
        <f t="shared" si="1"/>
        <v>-5.3049704638645334E-2</v>
      </c>
      <c r="L10" s="14">
        <f t="shared" si="1"/>
        <v>1.2312445528418481E-2</v>
      </c>
      <c r="M10" s="14">
        <f t="shared" si="1"/>
        <v>-1.2593829071805285E-3</v>
      </c>
      <c r="N10" s="14">
        <f t="shared" si="1"/>
        <v>-2.7875771298089269E-3</v>
      </c>
      <c r="Q10"/>
      <c r="R10"/>
    </row>
    <row r="11" spans="3:18" ht="15" customHeight="1" x14ac:dyDescent="0.2">
      <c r="C11" s="238" t="s">
        <v>375</v>
      </c>
      <c r="D11" s="233">
        <v>0</v>
      </c>
      <c r="E11" s="233">
        <v>0</v>
      </c>
      <c r="F11" s="233">
        <v>0</v>
      </c>
      <c r="G11" s="233">
        <v>0</v>
      </c>
      <c r="H11" s="233">
        <v>18.863636363636363</v>
      </c>
      <c r="I11" s="233">
        <v>18.681818181818183</v>
      </c>
      <c r="J11" s="14" t="str">
        <f>IFERROR(E11/D11-1,"-")</f>
        <v>-</v>
      </c>
      <c r="K11" s="14" t="str">
        <f>IFERROR(F11/E11-1,"-")</f>
        <v>-</v>
      </c>
      <c r="L11" s="14" t="str">
        <f>IFERROR(G11/F11-1,"-")</f>
        <v>-</v>
      </c>
      <c r="M11" s="14" t="str">
        <f>IFERROR(H11/G11-1,"-")</f>
        <v>-</v>
      </c>
      <c r="N11" s="14">
        <f>IFERROR(I11/H11-1,"-")</f>
        <v>-9.6385542168673233E-3</v>
      </c>
      <c r="Q11"/>
      <c r="R11"/>
    </row>
    <row r="12" spans="3:18" ht="15" customHeight="1" x14ac:dyDescent="0.2">
      <c r="C12" s="232" t="s">
        <v>376</v>
      </c>
      <c r="D12" s="233">
        <v>13.0060450631984</v>
      </c>
      <c r="E12" s="233">
        <v>14.051779343152502</v>
      </c>
      <c r="F12" s="233">
        <v>15.202116981476411</v>
      </c>
      <c r="G12" s="233">
        <v>15.866217078283059</v>
      </c>
      <c r="H12" s="233">
        <v>16.920412070380163</v>
      </c>
      <c r="I12" s="233">
        <v>17.570400072906224</v>
      </c>
      <c r="J12" s="14">
        <f t="shared" ref="J12:N16" si="2">E12/D12-1</f>
        <v>8.0403710341823142E-2</v>
      </c>
      <c r="K12" s="14">
        <f t="shared" si="2"/>
        <v>8.1864197425251639E-2</v>
      </c>
      <c r="L12" s="14">
        <f t="shared" si="2"/>
        <v>4.3684711650084251E-2</v>
      </c>
      <c r="M12" s="14">
        <f t="shared" si="2"/>
        <v>6.6442743528325687E-2</v>
      </c>
      <c r="N12" s="14">
        <f t="shared" si="2"/>
        <v>3.8414431032911533E-2</v>
      </c>
      <c r="Q12"/>
      <c r="R12"/>
    </row>
    <row r="13" spans="3:18" ht="15" customHeight="1" x14ac:dyDescent="0.2">
      <c r="C13" s="232" t="s">
        <v>377</v>
      </c>
      <c r="D13" s="233">
        <v>15.7037576198708</v>
      </c>
      <c r="E13" s="233">
        <v>17.026117026117028</v>
      </c>
      <c r="F13" s="233">
        <v>16.527120495085548</v>
      </c>
      <c r="G13" s="233">
        <v>16.192122259619758</v>
      </c>
      <c r="H13" s="233">
        <v>16.653024101864485</v>
      </c>
      <c r="I13" s="233">
        <v>16.22088791848617</v>
      </c>
      <c r="J13" s="14">
        <f t="shared" si="2"/>
        <v>8.4206559872840758E-2</v>
      </c>
      <c r="K13" s="14">
        <f t="shared" si="2"/>
        <v>-2.9307711809219317E-2</v>
      </c>
      <c r="L13" s="14">
        <f t="shared" si="2"/>
        <v>-2.0269606890408021E-2</v>
      </c>
      <c r="M13" s="14">
        <f t="shared" si="2"/>
        <v>2.8464572762900486E-2</v>
      </c>
      <c r="N13" s="14">
        <f t="shared" si="2"/>
        <v>-2.5949411994781957E-2</v>
      </c>
      <c r="Q13"/>
      <c r="R13"/>
    </row>
    <row r="14" spans="3:18" ht="15" customHeight="1" x14ac:dyDescent="0.2">
      <c r="C14" s="232" t="s">
        <v>378</v>
      </c>
      <c r="D14" s="233">
        <v>13.9</v>
      </c>
      <c r="E14" s="233">
        <v>14.963636363636363</v>
      </c>
      <c r="F14" s="233">
        <v>14.809090909090909</v>
      </c>
      <c r="G14" s="233">
        <v>15.145454545454545</v>
      </c>
      <c r="H14" s="233">
        <v>15.027272727272727</v>
      </c>
      <c r="I14" s="233">
        <v>15.627272727272727</v>
      </c>
      <c r="J14" s="14">
        <f t="shared" si="2"/>
        <v>7.6520601700457824E-2</v>
      </c>
      <c r="K14" s="14">
        <f t="shared" si="2"/>
        <v>-1.0328068043742422E-2</v>
      </c>
      <c r="L14" s="14">
        <f t="shared" si="2"/>
        <v>2.2713321055862545E-2</v>
      </c>
      <c r="M14" s="14">
        <f t="shared" si="2"/>
        <v>-7.8031212484993562E-3</v>
      </c>
      <c r="N14" s="14">
        <f t="shared" si="2"/>
        <v>3.9927404718693271E-2</v>
      </c>
      <c r="Q14"/>
      <c r="R14"/>
    </row>
    <row r="15" spans="3:18" ht="15" customHeight="1" x14ac:dyDescent="0.2">
      <c r="C15" s="232" t="s">
        <v>379</v>
      </c>
      <c r="D15" s="233">
        <v>10.246386035094099</v>
      </c>
      <c r="E15" s="233">
        <v>10.538279687215857</v>
      </c>
      <c r="F15" s="233">
        <v>10.536363636363637</v>
      </c>
      <c r="G15" s="233">
        <v>10.737339758159832</v>
      </c>
      <c r="H15" s="233">
        <v>10.6</v>
      </c>
      <c r="I15" s="233">
        <v>10.674668121476632</v>
      </c>
      <c r="J15" s="14">
        <f t="shared" si="2"/>
        <v>2.8487473644074557E-2</v>
      </c>
      <c r="K15" s="14">
        <f t="shared" si="2"/>
        <v>-1.8181818181806086E-4</v>
      </c>
      <c r="L15" s="14">
        <f t="shared" si="2"/>
        <v>1.9074524070389565E-2</v>
      </c>
      <c r="M15" s="14">
        <f t="shared" si="2"/>
        <v>-1.2790855207451268E-2</v>
      </c>
      <c r="N15" s="14">
        <f t="shared" si="2"/>
        <v>7.0441624034558448E-3</v>
      </c>
    </row>
    <row r="16" spans="3:18" ht="15" customHeight="1" x14ac:dyDescent="0.2">
      <c r="C16" s="232" t="s">
        <v>380</v>
      </c>
      <c r="D16" s="233">
        <v>10.147314484399301</v>
      </c>
      <c r="E16" s="233">
        <v>11.465084436330443</v>
      </c>
      <c r="F16" s="233">
        <v>10.752196193265007</v>
      </c>
      <c r="G16" s="233">
        <v>10.812047972168818</v>
      </c>
      <c r="H16" s="233">
        <v>10.48062865497076</v>
      </c>
      <c r="I16" s="233">
        <v>10.508474576271187</v>
      </c>
      <c r="J16" s="14">
        <f t="shared" si="2"/>
        <v>0.12986391167407985</v>
      </c>
      <c r="K16" s="14">
        <f t="shared" si="2"/>
        <v>-6.2179066104951053E-2</v>
      </c>
      <c r="L16" s="14">
        <f t="shared" si="2"/>
        <v>5.5664701264752647E-3</v>
      </c>
      <c r="M16" s="14">
        <f t="shared" si="2"/>
        <v>-3.0652779015701848E-2</v>
      </c>
      <c r="N16" s="14">
        <f t="shared" si="2"/>
        <v>2.6568941823179593E-3</v>
      </c>
    </row>
    <row r="17" spans="3:14" ht="15" customHeight="1" x14ac:dyDescent="0.2">
      <c r="C17" s="238" t="s">
        <v>381</v>
      </c>
      <c r="D17" s="233">
        <v>0</v>
      </c>
      <c r="E17" s="233">
        <v>0</v>
      </c>
      <c r="F17" s="233">
        <v>0</v>
      </c>
      <c r="G17" s="233">
        <v>0</v>
      </c>
      <c r="H17" s="233">
        <v>8.9818181818181824</v>
      </c>
      <c r="I17" s="233">
        <v>9.1909090909090914</v>
      </c>
      <c r="J17" s="14" t="str">
        <f>IFERROR(E17/D17-1,"-")</f>
        <v>-</v>
      </c>
      <c r="K17" s="14" t="str">
        <f>IFERROR(F17/E17-1,"-")</f>
        <v>-</v>
      </c>
      <c r="L17" s="14" t="str">
        <f>IFERROR(G17/F17-1,"-")</f>
        <v>-</v>
      </c>
      <c r="M17" s="14" t="str">
        <f>IFERROR(H17/G17-1,"-")</f>
        <v>-</v>
      </c>
      <c r="N17" s="14">
        <f>IFERROR(I17/H17-1,"-")</f>
        <v>2.3279352226720729E-2</v>
      </c>
    </row>
    <row r="18" spans="3:14" ht="15" customHeight="1" x14ac:dyDescent="0.2">
      <c r="C18" s="232" t="s">
        <v>382</v>
      </c>
      <c r="D18" s="233">
        <v>6.9551777434312196</v>
      </c>
      <c r="E18" s="233">
        <v>7.4461314664969542</v>
      </c>
      <c r="F18" s="233">
        <v>7.4909090909090912</v>
      </c>
      <c r="G18" s="233">
        <v>7.7181818181818178</v>
      </c>
      <c r="H18" s="233">
        <v>7.8650663757046733</v>
      </c>
      <c r="I18" s="233">
        <v>8.7296535418750576</v>
      </c>
      <c r="J18" s="14">
        <f>E18/D18-1</f>
        <v>7.058823529411784E-2</v>
      </c>
      <c r="K18" s="14">
        <f>F18/E18-1</f>
        <v>6.0135420135420947E-3</v>
      </c>
      <c r="L18" s="14">
        <f>G18/F18-1</f>
        <v>3.0339805825242649E-2</v>
      </c>
      <c r="M18" s="14">
        <f>H18/G18-1</f>
        <v>1.9030979184351038E-2</v>
      </c>
      <c r="N18" s="14">
        <f>I18/H18-1</f>
        <v>0.10992751044557103</v>
      </c>
    </row>
    <row r="19" spans="3:14" ht="15" customHeight="1" x14ac:dyDescent="0.2">
      <c r="C19" s="232" t="s">
        <v>383</v>
      </c>
      <c r="D19" s="233">
        <v>4.0727272727272696</v>
      </c>
      <c r="E19" s="233">
        <v>4.2454545454545451</v>
      </c>
      <c r="F19" s="233">
        <v>2.9090909090909092</v>
      </c>
      <c r="G19" s="233" t="s">
        <v>97</v>
      </c>
      <c r="H19" s="233" t="s">
        <v>384</v>
      </c>
      <c r="I19" s="233" t="s">
        <v>384</v>
      </c>
      <c r="J19" s="14">
        <f t="shared" ref="J19:N21" si="3">E19/D19-1</f>
        <v>4.2410714285715079E-2</v>
      </c>
      <c r="K19" s="14">
        <f t="shared" si="3"/>
        <v>-0.31477516059957167</v>
      </c>
      <c r="L19" s="14" t="s">
        <v>98</v>
      </c>
      <c r="M19" s="14" t="str">
        <f>IFERROR(H19/G19-1,"-")</f>
        <v>-</v>
      </c>
      <c r="N19" s="14" t="str">
        <f>IFERROR(I19/H19-1,"-")</f>
        <v>-</v>
      </c>
    </row>
    <row r="20" spans="3:14" ht="15" customHeight="1" x14ac:dyDescent="0.2">
      <c r="C20" s="189" t="s">
        <v>385</v>
      </c>
      <c r="D20" s="235">
        <v>33.736363636363599</v>
      </c>
      <c r="E20" s="235">
        <v>30.236363636363638</v>
      </c>
      <c r="F20" s="235">
        <v>40.436363636363637</v>
      </c>
      <c r="G20" s="235">
        <v>37.136363636363633</v>
      </c>
      <c r="H20" s="235">
        <v>37.918181818181822</v>
      </c>
      <c r="I20" s="235">
        <v>38.654545454545456</v>
      </c>
      <c r="J20" s="186">
        <f t="shared" si="3"/>
        <v>-0.10374562112637997</v>
      </c>
      <c r="K20" s="186">
        <f t="shared" si="3"/>
        <v>0.3373421527360192</v>
      </c>
      <c r="L20" s="186">
        <f t="shared" si="3"/>
        <v>-8.1609712230215958E-2</v>
      </c>
      <c r="M20" s="186">
        <f t="shared" si="3"/>
        <v>2.1052631578947656E-2</v>
      </c>
      <c r="N20" s="186">
        <f t="shared" si="3"/>
        <v>1.9419803404459257E-2</v>
      </c>
    </row>
    <row r="21" spans="3:14" ht="15" customHeight="1" x14ac:dyDescent="0.2">
      <c r="C21" s="191" t="s">
        <v>142</v>
      </c>
      <c r="D21" s="236">
        <v>11.0363636363636</v>
      </c>
      <c r="E21" s="236">
        <v>13.209090909090909</v>
      </c>
      <c r="F21" s="236">
        <v>4.6090909090909093</v>
      </c>
      <c r="G21" s="236">
        <v>8.0909090909090917</v>
      </c>
      <c r="H21" s="236">
        <v>6.6363636363636367</v>
      </c>
      <c r="I21" s="236">
        <v>4.5909090909090908</v>
      </c>
      <c r="J21" s="218">
        <f t="shared" si="3"/>
        <v>0.19686985172982285</v>
      </c>
      <c r="K21" s="218">
        <f t="shared" si="3"/>
        <v>-0.65106675843083273</v>
      </c>
      <c r="L21" s="218">
        <f t="shared" si="3"/>
        <v>0.75542406311637089</v>
      </c>
      <c r="M21" s="218">
        <f t="shared" si="3"/>
        <v>-0.1797752808988764</v>
      </c>
      <c r="N21" s="218">
        <f t="shared" si="3"/>
        <v>-0.30821917808219179</v>
      </c>
    </row>
    <row r="22" spans="3:14" ht="67.5" customHeight="1" x14ac:dyDescent="0.2">
      <c r="C22" s="288" t="s">
        <v>386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</row>
    <row r="25" spans="3:14" x14ac:dyDescent="0.2"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</row>
    <row r="26" spans="3:14" x14ac:dyDescent="0.2"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</row>
    <row r="27" spans="3:14" x14ac:dyDescent="0.2"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</row>
    <row r="28" spans="3:14" x14ac:dyDescent="0.2"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</row>
    <row r="29" spans="3:14" x14ac:dyDescent="0.2"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</row>
    <row r="30" spans="3:14" x14ac:dyDescent="0.2"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</row>
    <row r="31" spans="3:14" ht="15.75" customHeight="1" x14ac:dyDescent="0.2"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</row>
    <row r="32" spans="3:14" x14ac:dyDescent="0.2"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</row>
    <row r="33" spans="4:14" x14ac:dyDescent="0.2"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</row>
    <row r="34" spans="4:14" x14ac:dyDescent="0.2"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</row>
    <row r="35" spans="4:14" x14ac:dyDescent="0.2"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</row>
    <row r="36" spans="4:14" x14ac:dyDescent="0.2">
      <c r="D36" s="221"/>
      <c r="E36" s="221"/>
    </row>
    <row r="37" spans="4:14" x14ac:dyDescent="0.2">
      <c r="D37" s="221"/>
      <c r="E37" s="221"/>
    </row>
    <row r="38" spans="4:14" x14ac:dyDescent="0.2">
      <c r="F38" s="221"/>
      <c r="G38" s="221"/>
      <c r="H38" s="221"/>
      <c r="I38" s="221"/>
      <c r="J38" s="221"/>
      <c r="K38" s="221"/>
      <c r="L38" s="221"/>
      <c r="M38" s="221"/>
      <c r="N38" s="221"/>
    </row>
    <row r="39" spans="4:14" x14ac:dyDescent="0.2">
      <c r="F39" s="221"/>
      <c r="G39" s="221"/>
      <c r="H39" s="221"/>
      <c r="I39" s="221"/>
      <c r="J39" s="221"/>
      <c r="K39" s="221"/>
      <c r="L39" s="221"/>
      <c r="M39" s="221"/>
      <c r="N39" s="221"/>
    </row>
    <row r="75" spans="8:11" x14ac:dyDescent="0.2">
      <c r="H75" s="239"/>
      <c r="I75" s="239"/>
      <c r="J75" s="239"/>
      <c r="K75" s="239"/>
    </row>
    <row r="76" spans="8:11" x14ac:dyDescent="0.2">
      <c r="H76" s="239"/>
      <c r="I76" s="239"/>
      <c r="J76" s="239"/>
      <c r="K76" s="239"/>
    </row>
    <row r="77" spans="8:11" x14ac:dyDescent="0.2">
      <c r="H77" s="239"/>
      <c r="I77" s="239"/>
      <c r="J77" s="239"/>
      <c r="K77" s="239"/>
    </row>
    <row r="78" spans="8:11" x14ac:dyDescent="0.2">
      <c r="H78" s="239"/>
      <c r="I78" s="239"/>
      <c r="J78" s="239"/>
      <c r="K78" s="239"/>
    </row>
    <row r="79" spans="8:11" x14ac:dyDescent="0.2">
      <c r="H79" s="316"/>
      <c r="I79" s="240"/>
      <c r="J79" s="241"/>
      <c r="K79" s="242"/>
    </row>
    <row r="80" spans="8:11" x14ac:dyDescent="0.2">
      <c r="H80" s="316"/>
      <c r="I80" s="240"/>
      <c r="J80" s="241"/>
      <c r="K80" s="242"/>
    </row>
    <row r="81" spans="8:11" x14ac:dyDescent="0.2">
      <c r="H81" s="316"/>
      <c r="I81" s="240"/>
      <c r="J81" s="241"/>
      <c r="K81" s="242"/>
    </row>
    <row r="82" spans="8:11" x14ac:dyDescent="0.2">
      <c r="H82" s="316"/>
      <c r="I82" s="240"/>
      <c r="J82" s="241"/>
      <c r="K82" s="242"/>
    </row>
    <row r="83" spans="8:11" x14ac:dyDescent="0.2">
      <c r="H83" s="316"/>
      <c r="I83" s="240"/>
      <c r="J83" s="241"/>
      <c r="K83" s="242"/>
    </row>
    <row r="84" spans="8:11" x14ac:dyDescent="0.2">
      <c r="H84" s="316"/>
      <c r="I84" s="240"/>
      <c r="J84" s="241"/>
      <c r="K84" s="242"/>
    </row>
    <row r="85" spans="8:11" x14ac:dyDescent="0.2">
      <c r="H85" s="316"/>
      <c r="I85" s="240"/>
      <c r="J85" s="241"/>
      <c r="K85" s="242"/>
    </row>
    <row r="86" spans="8:11" x14ac:dyDescent="0.2">
      <c r="H86" s="316"/>
      <c r="I86" s="240"/>
      <c r="J86" s="241"/>
      <c r="K86" s="242"/>
    </row>
    <row r="87" spans="8:11" x14ac:dyDescent="0.2">
      <c r="H87" s="316"/>
      <c r="I87" s="240"/>
      <c r="J87" s="243"/>
      <c r="K87" s="242"/>
    </row>
    <row r="88" spans="8:11" x14ac:dyDescent="0.2">
      <c r="H88" s="316"/>
      <c r="I88" s="240"/>
      <c r="J88" s="243"/>
      <c r="K88" s="242"/>
    </row>
    <row r="89" spans="8:11" x14ac:dyDescent="0.2">
      <c r="H89" s="316"/>
      <c r="I89" s="240"/>
      <c r="J89" s="243"/>
      <c r="K89" s="242"/>
    </row>
    <row r="90" spans="8:11" x14ac:dyDescent="0.2">
      <c r="H90" s="316"/>
      <c r="I90" s="240"/>
      <c r="J90" s="243"/>
      <c r="K90" s="242"/>
    </row>
    <row r="91" spans="8:11" x14ac:dyDescent="0.2">
      <c r="H91" s="316"/>
      <c r="I91" s="240"/>
      <c r="J91" s="243"/>
      <c r="K91" s="242"/>
    </row>
    <row r="92" spans="8:11" x14ac:dyDescent="0.2">
      <c r="H92" s="316"/>
      <c r="I92" s="240"/>
      <c r="J92" s="243"/>
      <c r="K92" s="242"/>
    </row>
    <row r="93" spans="8:11" x14ac:dyDescent="0.2">
      <c r="H93" s="316"/>
      <c r="I93" s="240"/>
      <c r="J93" s="243"/>
      <c r="K93" s="242"/>
    </row>
    <row r="94" spans="8:11" x14ac:dyDescent="0.2">
      <c r="H94" s="316"/>
      <c r="I94" s="240"/>
      <c r="J94" s="243"/>
      <c r="K94" s="242"/>
    </row>
    <row r="95" spans="8:11" x14ac:dyDescent="0.2">
      <c r="H95" s="239"/>
      <c r="I95" s="239"/>
      <c r="J95" s="239"/>
      <c r="K95" s="239"/>
    </row>
    <row r="96" spans="8:11" x14ac:dyDescent="0.2">
      <c r="H96" s="239"/>
      <c r="I96" s="239"/>
      <c r="J96" s="239"/>
      <c r="K96" s="239"/>
    </row>
  </sheetData>
  <mergeCells count="3">
    <mergeCell ref="C3:N3"/>
    <mergeCell ref="C22:N22"/>
    <mergeCell ref="H79:H9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3" orientation="landscape" r:id="rId1"/>
  <headerFooter>
    <oddHeader>&amp;L&amp;G&amp;CEncuesta de Turismo Receptivo&amp;RAño 2012</oddHeader>
    <oddFooter>&amp;LTurismo de Tenerife&amp;R&amp;P</oddFooter>
  </headerFooter>
  <ignoredErrors>
    <ignoredError sqref="J11:N11 J17:N17 M19:N19" formula="1"/>
  </ignoredErrors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2" width="11.42578125" style="244"/>
    <col min="3" max="3" width="35.85546875" style="244" customWidth="1"/>
    <col min="4" max="6" width="7.7109375" style="244" customWidth="1"/>
    <col min="7" max="11" width="10.28515625" customWidth="1"/>
    <col min="12" max="12" width="14.85546875" style="244" bestFit="1" customWidth="1"/>
    <col min="13" max="16384" width="11.42578125" style="244"/>
  </cols>
  <sheetData>
    <row r="1" spans="1:11" ht="30" customHeight="1" x14ac:dyDescent="0.2"/>
    <row r="2" spans="1:11" ht="25.5" customHeight="1" x14ac:dyDescent="0.2"/>
    <row r="3" spans="1:11" x14ac:dyDescent="0.2">
      <c r="A3" s="245"/>
      <c r="B3" s="245"/>
    </row>
    <row r="4" spans="1:11" x14ac:dyDescent="0.2">
      <c r="A4" s="245"/>
      <c r="B4" s="245"/>
    </row>
    <row r="5" spans="1:11" ht="53.25" customHeight="1" x14ac:dyDescent="0.2">
      <c r="A5" s="245"/>
      <c r="B5" s="245"/>
      <c r="C5" s="286" t="s">
        <v>387</v>
      </c>
      <c r="D5" s="286"/>
      <c r="E5" s="286"/>
      <c r="F5" s="286"/>
      <c r="G5" s="244"/>
      <c r="H5" s="244"/>
      <c r="I5" s="244"/>
      <c r="J5" s="244"/>
      <c r="K5" s="244"/>
    </row>
    <row r="6" spans="1:11" ht="25.5" x14ac:dyDescent="0.2">
      <c r="A6" s="245"/>
      <c r="B6" s="245"/>
      <c r="C6" s="10"/>
      <c r="D6" s="10" t="s">
        <v>158</v>
      </c>
      <c r="E6" s="10" t="s">
        <v>159</v>
      </c>
      <c r="F6" s="143" t="s">
        <v>62</v>
      </c>
      <c r="G6" s="244"/>
      <c r="H6" s="244"/>
      <c r="I6" s="244"/>
      <c r="J6" s="244"/>
      <c r="K6" s="244"/>
    </row>
    <row r="7" spans="1:11" x14ac:dyDescent="0.2">
      <c r="C7" s="246" t="s">
        <v>388</v>
      </c>
      <c r="D7" s="247">
        <v>79.327272727272728</v>
      </c>
      <c r="E7" s="247">
        <v>79.645454545454541</v>
      </c>
      <c r="F7" s="248">
        <f t="shared" ref="F7:F45" si="0">E7/D7-1</f>
        <v>4.0110016044005992E-3</v>
      </c>
      <c r="G7" s="244"/>
      <c r="H7" s="244"/>
      <c r="I7" s="244"/>
      <c r="J7" s="244"/>
      <c r="K7" s="244"/>
    </row>
    <row r="8" spans="1:11" x14ac:dyDescent="0.2">
      <c r="C8" s="246" t="s">
        <v>389</v>
      </c>
      <c r="D8" s="247">
        <v>13.445454545454545</v>
      </c>
      <c r="E8" s="247">
        <v>14.036363636363637</v>
      </c>
      <c r="F8" s="248">
        <f t="shared" si="0"/>
        <v>4.3948613928330049E-2</v>
      </c>
      <c r="G8" s="244"/>
    </row>
    <row r="9" spans="1:11" x14ac:dyDescent="0.2">
      <c r="C9" s="246" t="s">
        <v>390</v>
      </c>
      <c r="D9" s="247">
        <v>13.172727272727272</v>
      </c>
      <c r="E9" s="247">
        <v>13.709090909090909</v>
      </c>
      <c r="F9" s="248">
        <f t="shared" si="0"/>
        <v>4.0717736369910273E-2</v>
      </c>
      <c r="G9" s="244"/>
    </row>
    <row r="10" spans="1:11" x14ac:dyDescent="0.2">
      <c r="C10" s="246" t="s">
        <v>391</v>
      </c>
      <c r="D10" s="247">
        <v>13.49090909090909</v>
      </c>
      <c r="E10" s="247">
        <v>13.663636363636364</v>
      </c>
      <c r="F10" s="248">
        <f t="shared" si="0"/>
        <v>1.2803234501347793E-2</v>
      </c>
      <c r="G10" s="244"/>
    </row>
    <row r="11" spans="1:11" x14ac:dyDescent="0.2">
      <c r="C11" s="246" t="s">
        <v>392</v>
      </c>
      <c r="D11" s="247">
        <v>12.6</v>
      </c>
      <c r="E11" s="247">
        <v>12.027272727272727</v>
      </c>
      <c r="F11" s="248">
        <f t="shared" si="0"/>
        <v>-4.5454545454545414E-2</v>
      </c>
      <c r="G11" s="244"/>
    </row>
    <row r="12" spans="1:11" x14ac:dyDescent="0.2">
      <c r="C12" s="246" t="s">
        <v>393</v>
      </c>
      <c r="D12" s="247">
        <v>10.436363636363636</v>
      </c>
      <c r="E12" s="247">
        <v>11.481818181818182</v>
      </c>
      <c r="F12" s="248">
        <f t="shared" si="0"/>
        <v>0.10017421602787469</v>
      </c>
      <c r="G12" s="244"/>
    </row>
    <row r="13" spans="1:11" x14ac:dyDescent="0.2">
      <c r="C13" s="246" t="s">
        <v>394</v>
      </c>
      <c r="D13" s="247">
        <v>9.9818181818181824</v>
      </c>
      <c r="E13" s="247">
        <v>10.263636363636364</v>
      </c>
      <c r="F13" s="248">
        <f t="shared" si="0"/>
        <v>2.823315118397085E-2</v>
      </c>
      <c r="G13" s="244"/>
    </row>
    <row r="14" spans="1:11" x14ac:dyDescent="0.2">
      <c r="C14" s="246" t="s">
        <v>395</v>
      </c>
      <c r="D14" s="247">
        <v>9.3636363636363633</v>
      </c>
      <c r="E14" s="247">
        <v>9.627272727272727</v>
      </c>
      <c r="F14" s="248">
        <f t="shared" si="0"/>
        <v>2.8155339805825186E-2</v>
      </c>
      <c r="G14" s="244"/>
    </row>
    <row r="15" spans="1:11" x14ac:dyDescent="0.2">
      <c r="C15" s="246" t="s">
        <v>396</v>
      </c>
      <c r="D15" s="247">
        <v>9.9</v>
      </c>
      <c r="E15" s="247">
        <v>9.4818181818181824</v>
      </c>
      <c r="F15" s="248">
        <f t="shared" si="0"/>
        <v>-4.2240587695133169E-2</v>
      </c>
      <c r="G15" s="244"/>
    </row>
    <row r="16" spans="1:11" x14ac:dyDescent="0.2">
      <c r="C16" s="246" t="s">
        <v>397</v>
      </c>
      <c r="D16" s="247">
        <v>7.8636363636363633</v>
      </c>
      <c r="E16" s="247">
        <v>7.836363636363636</v>
      </c>
      <c r="F16" s="248">
        <f t="shared" si="0"/>
        <v>-3.4682080924856029E-3</v>
      </c>
      <c r="G16" s="244"/>
    </row>
    <row r="17" spans="3:7" x14ac:dyDescent="0.2">
      <c r="C17" s="246" t="s">
        <v>398</v>
      </c>
      <c r="D17" s="247">
        <v>5.836363636363636</v>
      </c>
      <c r="E17" s="247">
        <v>5.4909090909090912</v>
      </c>
      <c r="F17" s="248">
        <f t="shared" si="0"/>
        <v>-5.9190031152647871E-2</v>
      </c>
      <c r="G17" s="244"/>
    </row>
    <row r="18" spans="3:7" x14ac:dyDescent="0.2">
      <c r="C18" s="246" t="s">
        <v>399</v>
      </c>
      <c r="D18" s="247">
        <v>5.7636363636363637</v>
      </c>
      <c r="E18" s="247">
        <v>5.372727272727273</v>
      </c>
      <c r="F18" s="248">
        <f t="shared" si="0"/>
        <v>-6.7823343848580353E-2</v>
      </c>
      <c r="G18" s="244"/>
    </row>
    <row r="19" spans="3:7" x14ac:dyDescent="0.2">
      <c r="C19" s="246" t="s">
        <v>400</v>
      </c>
      <c r="D19" s="247">
        <v>3.918181818181818</v>
      </c>
      <c r="E19" s="247">
        <v>4.2272727272727275</v>
      </c>
      <c r="F19" s="248">
        <f t="shared" si="0"/>
        <v>7.8886310904872525E-2</v>
      </c>
      <c r="G19" s="244"/>
    </row>
    <row r="20" spans="3:7" x14ac:dyDescent="0.2">
      <c r="C20" s="246" t="s">
        <v>401</v>
      </c>
      <c r="D20" s="247">
        <v>3.709090909090909</v>
      </c>
      <c r="E20" s="247">
        <v>3.7727272727272729</v>
      </c>
      <c r="F20" s="248">
        <f t="shared" si="0"/>
        <v>1.71568627450982E-2</v>
      </c>
      <c r="G20" s="244"/>
    </row>
    <row r="21" spans="3:7" x14ac:dyDescent="0.2">
      <c r="C21" s="246" t="s">
        <v>402</v>
      </c>
      <c r="D21" s="247">
        <v>3.8363636363636364</v>
      </c>
      <c r="E21" s="247">
        <v>3.7636363636363637</v>
      </c>
      <c r="F21" s="248">
        <f t="shared" si="0"/>
        <v>-1.8957345971563955E-2</v>
      </c>
      <c r="G21" s="244"/>
    </row>
    <row r="22" spans="3:7" x14ac:dyDescent="0.2">
      <c r="C22" s="246" t="s">
        <v>403</v>
      </c>
      <c r="D22" s="247">
        <v>3.2363636363636363</v>
      </c>
      <c r="E22" s="247">
        <v>3.4272727272727272</v>
      </c>
      <c r="F22" s="248">
        <f t="shared" si="0"/>
        <v>5.8988764044943798E-2</v>
      </c>
    </row>
    <row r="23" spans="3:7" x14ac:dyDescent="0.2">
      <c r="C23" s="246" t="s">
        <v>404</v>
      </c>
      <c r="D23" s="247">
        <v>3.8181818181818183</v>
      </c>
      <c r="E23" s="247">
        <v>3.3454545454545452</v>
      </c>
      <c r="F23" s="248">
        <f t="shared" si="0"/>
        <v>-0.12380952380952392</v>
      </c>
      <c r="G23" s="244"/>
    </row>
    <row r="24" spans="3:7" x14ac:dyDescent="0.2">
      <c r="C24" s="246" t="s">
        <v>405</v>
      </c>
      <c r="D24" s="247">
        <v>2.5545454545454547</v>
      </c>
      <c r="E24" s="247">
        <v>2.3727272727272726</v>
      </c>
      <c r="F24" s="248">
        <f t="shared" si="0"/>
        <v>-7.1174377224199392E-2</v>
      </c>
    </row>
    <row r="25" spans="3:7" x14ac:dyDescent="0.2">
      <c r="C25" s="246" t="s">
        <v>406</v>
      </c>
      <c r="D25" s="247">
        <v>1.8727272727272728</v>
      </c>
      <c r="E25" s="247">
        <v>2.0181818181818181</v>
      </c>
      <c r="F25" s="248">
        <f t="shared" si="0"/>
        <v>7.7669902912621325E-2</v>
      </c>
    </row>
    <row r="26" spans="3:7" x14ac:dyDescent="0.2">
      <c r="C26" s="246" t="s">
        <v>407</v>
      </c>
      <c r="D26" s="247">
        <v>1.4727272727272727</v>
      </c>
      <c r="E26" s="247">
        <v>2</v>
      </c>
      <c r="F26" s="248">
        <f t="shared" si="0"/>
        <v>0.35802469135802473</v>
      </c>
    </row>
    <row r="27" spans="3:7" x14ac:dyDescent="0.2">
      <c r="C27" s="246" t="s">
        <v>408</v>
      </c>
      <c r="D27" s="247">
        <v>1.8545454545454545</v>
      </c>
      <c r="E27" s="247">
        <v>1.5272727272727273</v>
      </c>
      <c r="F27" s="248">
        <f t="shared" si="0"/>
        <v>-0.17647058823529405</v>
      </c>
    </row>
    <row r="28" spans="3:7" ht="15.75" customHeight="1" x14ac:dyDescent="0.2">
      <c r="C28" s="246" t="s">
        <v>409</v>
      </c>
      <c r="D28" s="247">
        <v>1.6181818181818182</v>
      </c>
      <c r="E28" s="247">
        <v>1.509090909090909</v>
      </c>
      <c r="F28" s="248">
        <f t="shared" si="0"/>
        <v>-6.7415730337078705E-2</v>
      </c>
    </row>
    <row r="29" spans="3:7" x14ac:dyDescent="0.2">
      <c r="C29" s="246" t="s">
        <v>410</v>
      </c>
      <c r="D29" s="247">
        <v>1.7727272727272727</v>
      </c>
      <c r="E29" s="247">
        <v>1.509090909090909</v>
      </c>
      <c r="F29" s="248">
        <f t="shared" si="0"/>
        <v>-0.14871794871794874</v>
      </c>
    </row>
    <row r="30" spans="3:7" x14ac:dyDescent="0.2">
      <c r="C30" s="246" t="s">
        <v>411</v>
      </c>
      <c r="D30" s="247">
        <v>1.5181818181818181</v>
      </c>
      <c r="E30" s="247">
        <v>1.3181818181818181</v>
      </c>
      <c r="F30" s="248">
        <f t="shared" si="0"/>
        <v>-0.13173652694610771</v>
      </c>
    </row>
    <row r="31" spans="3:7" x14ac:dyDescent="0.2">
      <c r="C31" s="246" t="s">
        <v>412</v>
      </c>
      <c r="D31" s="247">
        <v>1.1727272727272726</v>
      </c>
      <c r="E31" s="247">
        <v>1.1454545454545455</v>
      </c>
      <c r="F31" s="248">
        <f t="shared" si="0"/>
        <v>-2.3255813953488191E-2</v>
      </c>
      <c r="G31" s="244"/>
    </row>
    <row r="32" spans="3:7" ht="15.75" customHeight="1" x14ac:dyDescent="0.2">
      <c r="C32" s="246" t="s">
        <v>413</v>
      </c>
      <c r="D32" s="247">
        <v>1.1181818181818182</v>
      </c>
      <c r="E32" s="247">
        <v>1.0636363636363637</v>
      </c>
      <c r="F32" s="248">
        <f t="shared" si="0"/>
        <v>-4.8780487804877981E-2</v>
      </c>
      <c r="G32" s="244"/>
    </row>
    <row r="33" spans="3:11" x14ac:dyDescent="0.2">
      <c r="C33" s="246" t="s">
        <v>414</v>
      </c>
      <c r="D33" s="247">
        <v>1.0818181818181818</v>
      </c>
      <c r="E33" s="247">
        <v>0.96363636363636362</v>
      </c>
      <c r="F33" s="248">
        <f t="shared" si="0"/>
        <v>-0.10924369747899154</v>
      </c>
      <c r="G33" s="244"/>
    </row>
    <row r="34" spans="3:11" x14ac:dyDescent="0.2">
      <c r="C34" s="246" t="s">
        <v>415</v>
      </c>
      <c r="D34" s="247">
        <v>1.7</v>
      </c>
      <c r="E34" s="247">
        <v>0.82727272727272727</v>
      </c>
      <c r="F34" s="248">
        <f t="shared" si="0"/>
        <v>-0.5133689839572193</v>
      </c>
      <c r="G34" s="244"/>
    </row>
    <row r="35" spans="3:11" x14ac:dyDescent="0.2">
      <c r="C35" s="246" t="s">
        <v>416</v>
      </c>
      <c r="D35" s="247">
        <v>0.57272727272727275</v>
      </c>
      <c r="E35" s="247">
        <v>0.79090909090909089</v>
      </c>
      <c r="F35" s="248">
        <f t="shared" si="0"/>
        <v>0.38095238095238093</v>
      </c>
    </row>
    <row r="36" spans="3:11" x14ac:dyDescent="0.2">
      <c r="C36" s="246" t="s">
        <v>417</v>
      </c>
      <c r="D36" s="247">
        <v>1.009090909090909</v>
      </c>
      <c r="E36" s="247">
        <v>0.78181818181818186</v>
      </c>
      <c r="F36" s="248">
        <f t="shared" si="0"/>
        <v>-0.22522522522522515</v>
      </c>
      <c r="G36" s="244"/>
    </row>
    <row r="37" spans="3:11" x14ac:dyDescent="0.2">
      <c r="C37" s="246" t="s">
        <v>418</v>
      </c>
      <c r="D37" s="247">
        <v>1.1454545454545455</v>
      </c>
      <c r="E37" s="247">
        <v>0.75454545454545452</v>
      </c>
      <c r="F37" s="248">
        <f t="shared" si="0"/>
        <v>-0.34126984126984128</v>
      </c>
    </row>
    <row r="38" spans="3:11" x14ac:dyDescent="0.2">
      <c r="C38" s="246" t="s">
        <v>419</v>
      </c>
      <c r="D38" s="247">
        <v>0.80909090909090908</v>
      </c>
      <c r="E38" s="247">
        <v>0.67272727272727273</v>
      </c>
      <c r="F38" s="248">
        <f t="shared" si="0"/>
        <v>-0.1685393258426966</v>
      </c>
    </row>
    <row r="39" spans="3:11" x14ac:dyDescent="0.2">
      <c r="C39" s="246" t="s">
        <v>420</v>
      </c>
      <c r="D39" s="247">
        <v>0.74545454545454548</v>
      </c>
      <c r="E39" s="247">
        <v>0.61818181818181817</v>
      </c>
      <c r="F39" s="248">
        <f t="shared" si="0"/>
        <v>-0.17073170731707321</v>
      </c>
    </row>
    <row r="40" spans="3:11" x14ac:dyDescent="0.2">
      <c r="C40" s="246" t="s">
        <v>421</v>
      </c>
      <c r="D40" s="247">
        <v>0.38181818181818183</v>
      </c>
      <c r="E40" s="247">
        <v>0.59090909090909094</v>
      </c>
      <c r="F40" s="248">
        <f t="shared" si="0"/>
        <v>0.54761904761904767</v>
      </c>
      <c r="G40" s="244"/>
      <c r="H40" s="244"/>
      <c r="I40" s="244"/>
      <c r="J40" s="244"/>
      <c r="K40" s="244"/>
    </row>
    <row r="41" spans="3:11" x14ac:dyDescent="0.2">
      <c r="C41" s="246" t="s">
        <v>422</v>
      </c>
      <c r="D41" s="247">
        <v>0.40909090909090912</v>
      </c>
      <c r="E41" s="247">
        <v>0.55454545454545456</v>
      </c>
      <c r="F41" s="248">
        <f t="shared" si="0"/>
        <v>0.35555555555555562</v>
      </c>
      <c r="G41" s="244"/>
      <c r="H41" s="244"/>
      <c r="I41" s="244"/>
      <c r="J41" s="244"/>
      <c r="K41" s="244"/>
    </row>
    <row r="42" spans="3:11" x14ac:dyDescent="0.2">
      <c r="C42" s="249" t="s">
        <v>423</v>
      </c>
      <c r="D42" s="247">
        <v>0.47272727272727272</v>
      </c>
      <c r="E42" s="247">
        <v>0.53636363636363638</v>
      </c>
      <c r="F42" s="248">
        <f t="shared" si="0"/>
        <v>0.13461538461538458</v>
      </c>
    </row>
    <row r="43" spans="3:11" x14ac:dyDescent="0.2">
      <c r="C43" s="246" t="s">
        <v>424</v>
      </c>
      <c r="D43" s="247">
        <v>0.35454545454545455</v>
      </c>
      <c r="E43" s="247">
        <v>0.27272727272727271</v>
      </c>
      <c r="F43" s="248">
        <f t="shared" si="0"/>
        <v>-0.23076923076923084</v>
      </c>
    </row>
    <row r="44" spans="3:11" x14ac:dyDescent="0.2">
      <c r="C44" s="246" t="s">
        <v>425</v>
      </c>
      <c r="D44" s="247">
        <v>0.11818181818181818</v>
      </c>
      <c r="E44" s="247">
        <v>0.10909090909090909</v>
      </c>
      <c r="F44" s="248">
        <f t="shared" si="0"/>
        <v>-7.6923076923076983E-2</v>
      </c>
      <c r="G44" s="244"/>
      <c r="H44" s="244"/>
      <c r="I44" s="244"/>
      <c r="J44" s="244"/>
      <c r="K44" s="244"/>
    </row>
    <row r="45" spans="3:11" x14ac:dyDescent="0.2">
      <c r="C45" s="246" t="s">
        <v>426</v>
      </c>
      <c r="D45" s="247">
        <v>0.11818181818181818</v>
      </c>
      <c r="E45" s="247">
        <v>0.1</v>
      </c>
      <c r="F45" s="248">
        <f t="shared" si="0"/>
        <v>-0.15384615384615374</v>
      </c>
    </row>
    <row r="46" spans="3:11" ht="12.75" customHeight="1" x14ac:dyDescent="0.2">
      <c r="C46" s="246" t="s">
        <v>427</v>
      </c>
      <c r="D46" s="247">
        <v>3.0727272727272728</v>
      </c>
      <c r="E46" s="247">
        <v>3.0636363636363635</v>
      </c>
      <c r="F46" s="248">
        <f>E46/D46-1</f>
        <v>-2.9585798816568198E-3</v>
      </c>
    </row>
    <row r="47" spans="3:11" ht="25.5" customHeight="1" x14ac:dyDescent="0.2">
      <c r="C47" s="288" t="s">
        <v>73</v>
      </c>
      <c r="D47" s="288"/>
      <c r="E47" s="288"/>
      <c r="F47" s="288"/>
    </row>
  </sheetData>
  <mergeCells count="2">
    <mergeCell ref="C5:F5"/>
    <mergeCell ref="C47:F4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6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42:J43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9" max="9" width="7" customWidth="1"/>
    <col min="11" max="11" width="8.28515625" customWidth="1"/>
  </cols>
  <sheetData>
    <row r="42" spans="10:10" x14ac:dyDescent="0.2">
      <c r="J42" s="291" t="s">
        <v>76</v>
      </c>
    </row>
    <row r="43" spans="10:10" x14ac:dyDescent="0.2">
      <c r="J43" s="291"/>
    </row>
  </sheetData>
  <mergeCells count="1">
    <mergeCell ref="J42:J43"/>
  </mergeCells>
  <hyperlinks>
    <hyperlink ref="J42:J43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7:H45"/>
  <sheetViews>
    <sheetView showGridLines="0" topLeftCell="A4" zoomScaleNormal="100" workbookViewId="0">
      <selection activeCell="L59" sqref="L59"/>
    </sheetView>
  </sheetViews>
  <sheetFormatPr baseColWidth="10" defaultRowHeight="12.75" x14ac:dyDescent="0.2"/>
  <cols>
    <col min="1" max="1" width="17.7109375" customWidth="1"/>
    <col min="2" max="2" width="8.85546875" customWidth="1"/>
    <col min="3" max="3" width="9.42578125" customWidth="1"/>
    <col min="4" max="4" width="29" bestFit="1" customWidth="1"/>
    <col min="8" max="8" width="7.140625" customWidth="1"/>
    <col min="17" max="17" width="6.7109375" customWidth="1"/>
  </cols>
  <sheetData>
    <row r="17" spans="4:8" x14ac:dyDescent="0.2">
      <c r="D17" s="244"/>
      <c r="E17" s="244"/>
      <c r="F17" s="244"/>
      <c r="G17" s="244"/>
      <c r="H17" s="244"/>
    </row>
    <row r="18" spans="4:8" x14ac:dyDescent="0.2">
      <c r="D18" s="250"/>
      <c r="E18" s="244"/>
      <c r="F18" s="244"/>
      <c r="G18" s="244"/>
      <c r="H18" s="244"/>
    </row>
    <row r="19" spans="4:8" x14ac:dyDescent="0.2">
      <c r="D19" s="250"/>
      <c r="E19" s="110" t="str">
        <f>Motivación!D6</f>
        <v>año 2011</v>
      </c>
      <c r="F19" s="110" t="str">
        <f>Motivación!E6</f>
        <v>año 2012</v>
      </c>
      <c r="G19" t="s">
        <v>221</v>
      </c>
    </row>
    <row r="20" spans="4:8" x14ac:dyDescent="0.2">
      <c r="D20" s="246" t="s">
        <v>388</v>
      </c>
      <c r="E20" s="251">
        <f>VLOOKUP("clima",Motivación!$C$6:$F$46,2,FALSE)</f>
        <v>79.327272727272728</v>
      </c>
      <c r="F20" s="251">
        <f>VLOOKUP("clima",Motivación!$C$6:$F$46,3,FALSE)</f>
        <v>79.645454545454541</v>
      </c>
      <c r="G20" s="92">
        <f t="shared" ref="G20:G43" si="0">E20/F20-1</f>
        <v>-3.9949777422667587E-3</v>
      </c>
      <c r="H20" s="92"/>
    </row>
    <row r="21" spans="4:8" x14ac:dyDescent="0.2">
      <c r="D21" s="246" t="s">
        <v>391</v>
      </c>
      <c r="E21" s="252">
        <f>VLOOKUP("precio del viaje",Motivación!$C$7:$F$46,2,FALSE)+VLOOKUP("precios en tenerife",Motivación!$C$7:$F$46,2,FALSE)</f>
        <v>17.409090909090907</v>
      </c>
      <c r="F21" s="252">
        <f>VLOOKUP("precio del viaje",Motivación!$C$7:$F$46,3,FALSE)+VLOOKUP("precios en tenerife",Motivación!$C$7:$F$46,3,FALSE)</f>
        <v>17.890909090909091</v>
      </c>
      <c r="G21" s="92">
        <f t="shared" si="0"/>
        <v>-2.6930894308943243E-2</v>
      </c>
      <c r="H21" s="92"/>
    </row>
    <row r="22" spans="4:8" x14ac:dyDescent="0.2">
      <c r="D22" s="246" t="s">
        <v>389</v>
      </c>
      <c r="E22" s="252">
        <f>VLOOKUP("playas /mar",Motivación!$C$7:$F$47,2,FALSE)</f>
        <v>13.445454545454545</v>
      </c>
      <c r="F22" s="252">
        <f>VLOOKUP("playas /mar",Motivación!$C$7:$F$47,3,FALSE)</f>
        <v>14.036363636363637</v>
      </c>
      <c r="G22" s="92">
        <f t="shared" si="0"/>
        <v>-4.2098445595854961E-2</v>
      </c>
      <c r="H22" s="92"/>
    </row>
    <row r="23" spans="4:8" x14ac:dyDescent="0.2">
      <c r="D23" s="246" t="s">
        <v>390</v>
      </c>
      <c r="E23" s="251">
        <f>VLOOKUP("accesibilidad /cercanía",Motivación!$C$6:$F$46,2,FALSE)</f>
        <v>13.172727272727272</v>
      </c>
      <c r="F23" s="251">
        <f>VLOOKUP("accesibilidad /cercanía",Motivación!$C$6:$F$46,3,FALSE)</f>
        <v>13.709090909090909</v>
      </c>
      <c r="G23" s="92">
        <f t="shared" si="0"/>
        <v>-3.9124668435013277E-2</v>
      </c>
      <c r="H23" s="92"/>
    </row>
    <row r="24" spans="4:8" x14ac:dyDescent="0.2">
      <c r="D24" s="246" t="s">
        <v>428</v>
      </c>
      <c r="E24" s="251">
        <f>VLOOKUP("conocer/ excursiones",Motivación!$C$6:$F$46,2,FALSE)+VLOOKUP("la isla",Motivación!$C$6:$F$46,2,FALSE)</f>
        <v>11.554545454545455</v>
      </c>
      <c r="F24" s="251">
        <f>VLOOKUP("conocer/ excursiones",Motivación!$C$6:$F$46,3,FALSE)+VLOOKUP("la isla",Motivación!$C$6:$F$46,3,FALSE)</f>
        <v>12.545454545454547</v>
      </c>
      <c r="G24" s="92">
        <f t="shared" si="0"/>
        <v>-7.8985507246376874E-2</v>
      </c>
      <c r="H24" s="92"/>
    </row>
    <row r="25" spans="4:8" x14ac:dyDescent="0.2">
      <c r="D25" s="246" t="s">
        <v>392</v>
      </c>
      <c r="E25" s="251">
        <f>VLOOKUP("paisaje natural",Motivación!$C$6:$F$46,2,FALSE)</f>
        <v>12.6</v>
      </c>
      <c r="F25" s="251">
        <f>VLOOKUP("paisaje natural",Motivación!$C$6:$F$46,3,FALSE)</f>
        <v>12.027272727272727</v>
      </c>
      <c r="G25" s="92">
        <f t="shared" si="0"/>
        <v>4.7619047619047672E-2</v>
      </c>
      <c r="H25" s="92"/>
    </row>
    <row r="26" spans="4:8" x14ac:dyDescent="0.2">
      <c r="D26" s="246" t="s">
        <v>394</v>
      </c>
      <c r="E26" s="251">
        <f>VLOOKUP("características del alojamiento",Motivación!$C$6:$F$46,2,FALSE)</f>
        <v>9.9818181818181824</v>
      </c>
      <c r="F26" s="251">
        <f>VLOOKUP("características del alojamiento",Motivación!$C$6:$F$46,3,FALSE)</f>
        <v>10.263636363636364</v>
      </c>
      <c r="G26" s="92">
        <f t="shared" si="0"/>
        <v>-2.7457927369353374E-2</v>
      </c>
      <c r="H26" s="92"/>
    </row>
    <row r="27" spans="4:8" x14ac:dyDescent="0.2">
      <c r="D27" s="246" t="s">
        <v>395</v>
      </c>
      <c r="E27" s="251">
        <f>VLOOKUP("buenas referencias /fidelidad",Motivación!$C$6:$F$46,2,FALSE)</f>
        <v>9.3636363636363633</v>
      </c>
      <c r="F27" s="251">
        <f>VLOOKUP("buenas referencias /fidelidad",Motivación!$C$6:$F$46,3,FALSE)</f>
        <v>9.627272727272727</v>
      </c>
      <c r="G27" s="92">
        <f t="shared" si="0"/>
        <v>-2.7384324834749729E-2</v>
      </c>
      <c r="H27" s="92"/>
    </row>
    <row r="28" spans="4:8" x14ac:dyDescent="0.2">
      <c r="D28" s="246" t="s">
        <v>396</v>
      </c>
      <c r="E28" s="252">
        <f>VLOOKUP("relax",Motivación!$C$6:$F$46,2,FALSE)</f>
        <v>9.9</v>
      </c>
      <c r="F28" s="252">
        <f>VLOOKUP("relax",Motivación!$C$6:$F$46,3,FALSE)</f>
        <v>9.4818181818181824</v>
      </c>
      <c r="G28" s="92">
        <f t="shared" si="0"/>
        <v>4.4103547459252157E-2</v>
      </c>
      <c r="H28" s="92"/>
    </row>
    <row r="29" spans="4:8" x14ac:dyDescent="0.2">
      <c r="D29" s="246" t="s">
        <v>429</v>
      </c>
      <c r="E29" s="252">
        <f>VLOOKUP("cultura/eventos/costumbres",Motivación!$C$6:$F$46,2,FALSE)+VLOOKUP("senderismo",Motivación!$C$6:$F$46,2,FALSE)+VLOOKUP("deportes",Motivación!$C$6:$F$46,2,FALSE)+VLOOKUP("actividades /ocio",Motivación!$C$6:$F$46,2,FALSE)</f>
        <v>8.7818181818181813</v>
      </c>
      <c r="F29" s="252">
        <f>VLOOKUP("cultura/eventos/costumbres",Motivación!$C$6:$F$46,3,FALSE)+VLOOKUP("senderismo",Motivación!$C$6:$F$46,3,FALSE)+VLOOKUP("deportes",Motivación!$C$6:$F$46,3,FALSE)+VLOOKUP("actividades /ocio",Motivación!$C$6:$F$46,3,FALSE)</f>
        <v>8.872727272727273</v>
      </c>
      <c r="G29" s="92">
        <f t="shared" si="0"/>
        <v>-1.0245901639344357E-2</v>
      </c>
      <c r="H29" s="92"/>
    </row>
    <row r="30" spans="4:8" x14ac:dyDescent="0.2">
      <c r="D30" s="246" t="s">
        <v>430</v>
      </c>
      <c r="E30" s="252">
        <f>VLOOKUP("medioambiente urbano",Motivación!$C$7:$F$46,2,FALSE)+VLOOKUP("infraestructuras urbanas",Motivación!$C$7:$F$46,2,FALSE)+VLOOKUP("destino preparado para el turismo",Motivación!$C$7:$F$46,2,FALSE)+VLOOKUP("carreteras/transporte",Motivación!$C$7:$F$46,2,FALSE)+VLOOKUP("servicios",Motivación!$C$7:$F$46,2,FALSE)</f>
        <v>8.0090909090909097</v>
      </c>
      <c r="F30" s="252">
        <f>VLOOKUP("medioambiente urbano",Motivación!$C$7:$F$46,3,FALSE)+VLOOKUP("infraestructuras urbanas",Motivación!$C$7:$F$46,3,FALSE)+VLOOKUP("destino preparado para el turismo",Motivación!$C$7:$F$46,3,FALSE)+VLOOKUP("carreteras/transporte",Motivación!$C$7:$F$46,3,FALSE)+VLOOKUP("servicios",Motivación!$C$7:$F$46,3,FALSE)</f>
        <v>8.0090909090909097</v>
      </c>
      <c r="G30" s="92">
        <f t="shared" si="0"/>
        <v>0</v>
      </c>
      <c r="H30" s="92"/>
    </row>
    <row r="31" spans="4:8" x14ac:dyDescent="0.2">
      <c r="D31" s="246" t="s">
        <v>397</v>
      </c>
      <c r="E31" s="252">
        <f>VLOOKUP("amabilidad/ hospitalidad/ambiente",Motivación!$C$6:$F$46,2,FALSE)</f>
        <v>7.8636363636363633</v>
      </c>
      <c r="F31" s="252">
        <f>VLOOKUP("amabilidad/ hospitalidad/ambiente",Motivación!$C$6:$F$46,3,FALSE)</f>
        <v>7.836363636363636</v>
      </c>
      <c r="G31" s="92">
        <f t="shared" si="0"/>
        <v>3.4802784222738303E-3</v>
      </c>
      <c r="H31" s="92"/>
    </row>
    <row r="32" spans="4:8" x14ac:dyDescent="0.2">
      <c r="D32" s="246" t="s">
        <v>398</v>
      </c>
      <c r="E32" s="252">
        <f>VLOOKUP("visita familiares /amigos",Motivación!$C$6:$F$46,2,FALSE)</f>
        <v>5.836363636363636</v>
      </c>
      <c r="F32" s="252">
        <f>VLOOKUP("visita familiares /amigos",Motivación!$C$6:$F$46,3,FALSE)</f>
        <v>5.4909090909090912</v>
      </c>
      <c r="G32" s="92">
        <f t="shared" si="0"/>
        <v>6.2913907284767978E-2</v>
      </c>
      <c r="H32" s="92"/>
    </row>
    <row r="33" spans="4:8" x14ac:dyDescent="0.2">
      <c r="D33" s="246" t="s">
        <v>431</v>
      </c>
      <c r="E33" s="251">
        <f>VLOOKUP("gastronomía",Motivación!$C$6:$F$46,2,FALSE)+VLOOKUP("restaurantes/bares/cafés",Motivación!$C$6:$F$46,2,FALSE)</f>
        <v>4.3090909090909095</v>
      </c>
      <c r="F33" s="251">
        <f>VLOOKUP("gastronomía",Motivación!$C$6:$F$46,3,FALSE)+VLOOKUP("restaurantes/bares/cafés",Motivación!$C$6:$F$46,3,FALSE)</f>
        <v>4.3</v>
      </c>
      <c r="G33" s="92">
        <f t="shared" si="0"/>
        <v>2.1141649048628253E-3</v>
      </c>
      <c r="H33" s="92"/>
    </row>
    <row r="34" spans="4:8" x14ac:dyDescent="0.2">
      <c r="D34" s="246" t="s">
        <v>432</v>
      </c>
      <c r="E34" s="251">
        <f>VLOOKUP("El Teide",Motivación!$C$6:$F$46,2,FALSE)+VLOOKUP("lugares específicos",Motivación!$C$6:$F$46,2,FALSE)</f>
        <v>3.6454545454545455</v>
      </c>
      <c r="F34" s="251">
        <f>VLOOKUP("El Teide",Motivación!$C$6:$F$46,3,FALSE)+VLOOKUP("lugares específicos",Motivación!$C$6:$F$46,3,FALSE)</f>
        <v>3.9818181818181819</v>
      </c>
      <c r="G34" s="92">
        <f t="shared" si="0"/>
        <v>-8.4474885844748826E-2</v>
      </c>
      <c r="H34" s="92"/>
    </row>
    <row r="35" spans="4:8" x14ac:dyDescent="0.2">
      <c r="D35" s="246" t="s">
        <v>401</v>
      </c>
      <c r="E35" s="251">
        <f>VLOOKUP("alojamiento (contratación)",Motivación!$C$6:$F$46,2,FALSE)</f>
        <v>3.709090909090909</v>
      </c>
      <c r="F35" s="251">
        <f>VLOOKUP("alojamiento (contratación)",Motivación!$C$6:$F$46,3,FALSE)</f>
        <v>3.7727272727272729</v>
      </c>
      <c r="G35" s="92">
        <f t="shared" si="0"/>
        <v>-1.6867469879518149E-2</v>
      </c>
      <c r="H35" s="92"/>
    </row>
    <row r="36" spans="4:8" x14ac:dyDescent="0.2">
      <c r="D36" s="246" t="s">
        <v>433</v>
      </c>
      <c r="E36" s="251">
        <f>VLOOKUP("loro parque",Motivación!$C$6:$F$46,2,FALSE)+VLOOKUP("siam park",Motivación!$C$6:$F$46,2,FALSE)+VLOOKUP("otros parques temáticos",Motivación!$C$6:$F$46,2,FALSE)</f>
        <v>2.9545454545454546</v>
      </c>
      <c r="F36" s="251">
        <f>VLOOKUP("loro parque",Motivación!$C$6:$F$46,3,FALSE)+VLOOKUP("siam park",Motivación!$C$6:$F$46,3,FALSE)+VLOOKUP("otros parques temáticos",Motivación!$C$6:$F$46,3,FALSE)</f>
        <v>2.418181818181818</v>
      </c>
      <c r="G36" s="92">
        <f t="shared" si="0"/>
        <v>0.22180451127819567</v>
      </c>
      <c r="H36" s="92"/>
    </row>
    <row r="37" spans="4:8" x14ac:dyDescent="0.2">
      <c r="D37" s="246" t="s">
        <v>410</v>
      </c>
      <c r="E37" s="252">
        <f>VLOOKUP("negocios/estudios/médicos",Motivación!$C$6:$F$46,2,FALSE)</f>
        <v>1.7727272727272727</v>
      </c>
      <c r="F37" s="252">
        <f>VLOOKUP("negocios/estudios/médicos",Motivación!$C$6:$F$46,3,FALSE)</f>
        <v>1.509090909090909</v>
      </c>
      <c r="G37" s="92">
        <f t="shared" si="0"/>
        <v>0.17469879518072284</v>
      </c>
      <c r="H37" s="92"/>
    </row>
    <row r="38" spans="4:8" x14ac:dyDescent="0.2">
      <c r="D38" s="246" t="s">
        <v>411</v>
      </c>
      <c r="E38" s="251">
        <f>VLOOKUP("turismo familiar",Motivación!$C$6:$F$46,2,FALSE)</f>
        <v>1.5181818181818181</v>
      </c>
      <c r="F38" s="251">
        <f>VLOOKUP("turismo familiar",Motivación!$C$6:$F$46,3,FALSE)</f>
        <v>1.3181818181818181</v>
      </c>
      <c r="G38" s="92">
        <f t="shared" si="0"/>
        <v>0.15172413793103456</v>
      </c>
      <c r="H38" s="92"/>
    </row>
    <row r="39" spans="4:8" x14ac:dyDescent="0.2">
      <c r="D39" s="246" t="s">
        <v>414</v>
      </c>
      <c r="E39" s="252">
        <f>VLOOKUP("celebración/aniversarios/evento",Motivación!$C$6:$F$46,2,FALSE)</f>
        <v>1.0818181818181818</v>
      </c>
      <c r="F39" s="252">
        <f>VLOOKUP("celebración/aniversarios/evento",Motivación!$C$6:$F$46,3,FALSE)</f>
        <v>0.96363636363636362</v>
      </c>
      <c r="G39" s="92">
        <f t="shared" si="0"/>
        <v>0.12264150943396235</v>
      </c>
      <c r="H39" s="92"/>
    </row>
    <row r="40" spans="4:8" x14ac:dyDescent="0.2">
      <c r="D40" s="246" t="s">
        <v>434</v>
      </c>
      <c r="E40" s="251">
        <f>VLOOKUP("ocio nocturno",Motivación!$C$6:$F$46,2,FALSE)+VLOOKUP("pubs/clubs/bares",Motivación!$C$6:$F$46,2,FALSE)</f>
        <v>1.1272727272727272</v>
      </c>
      <c r="F40" s="251">
        <f>VLOOKUP("ocio nocturno",Motivación!$C$6:$F$46,3,FALSE)+VLOOKUP("pubs/clubs/bares",Motivación!$C$6:$F$46,3,FALSE)</f>
        <v>0.88181818181818183</v>
      </c>
      <c r="G40" s="92">
        <f t="shared" si="0"/>
        <v>0.27835051546391743</v>
      </c>
      <c r="H40" s="92"/>
    </row>
    <row r="41" spans="4:8" x14ac:dyDescent="0.2">
      <c r="D41" s="246" t="s">
        <v>415</v>
      </c>
      <c r="E41" s="252">
        <f>VLOOKUP("seguridad",Motivación!$C$6:$F$46,2,FALSE)</f>
        <v>1.7</v>
      </c>
      <c r="F41" s="252">
        <f>VLOOKUP("seguridad",Motivación!$C$6:$F$46,3,FALSE)</f>
        <v>0.82727272727272727</v>
      </c>
      <c r="G41" s="92">
        <f t="shared" si="0"/>
        <v>1.0549450549450547</v>
      </c>
      <c r="H41" s="92"/>
    </row>
    <row r="42" spans="4:8" x14ac:dyDescent="0.2">
      <c r="D42" s="246" t="s">
        <v>418</v>
      </c>
      <c r="E42" s="252">
        <f>VLOOKUP("está en España",Motivación!$C$6:$F$46,2,FALSE)</f>
        <v>1.1454545454545455</v>
      </c>
      <c r="F42" s="252">
        <f>VLOOKUP("está en España",Motivación!$C$6:$F$46,3,FALSE)</f>
        <v>0.75454545454545452</v>
      </c>
      <c r="G42" s="92">
        <f t="shared" si="0"/>
        <v>0.51807228915662673</v>
      </c>
      <c r="H42" s="92"/>
    </row>
    <row r="43" spans="4:8" x14ac:dyDescent="0.2">
      <c r="D43" s="246" t="s">
        <v>419</v>
      </c>
      <c r="E43" s="252">
        <f>VLOOKUP("comercio/compras",Motivación!$C$6:$F$46,2,FALSE)</f>
        <v>0.80909090909090908</v>
      </c>
      <c r="F43" s="252">
        <f>VLOOKUP("comercio/compras",Motivación!$C$6:$F$46,3,FALSE)</f>
        <v>0.67272727272727273</v>
      </c>
      <c r="G43" s="92">
        <f t="shared" si="0"/>
        <v>0.20270270270270263</v>
      </c>
      <c r="H43" s="92"/>
    </row>
    <row r="44" spans="4:8" x14ac:dyDescent="0.2">
      <c r="D44" s="246" t="s">
        <v>405</v>
      </c>
      <c r="E44" s="251">
        <f>VLOOKUP("otros",Motivación!$C$6:$F$46,2,FALSE)</f>
        <v>2.5545454545454547</v>
      </c>
      <c r="F44" s="251">
        <f>VLOOKUP("otros",Motivación!$C$6:$F$46,3,FALSE)</f>
        <v>2.3727272727272726</v>
      </c>
      <c r="G44" s="92">
        <f>E44/F44-1</f>
        <v>7.6628352490421658E-2</v>
      </c>
      <c r="H44" s="92"/>
    </row>
    <row r="45" spans="4:8" x14ac:dyDescent="0.2">
      <c r="D45" s="246" t="s">
        <v>435</v>
      </c>
      <c r="E45" s="251">
        <f>VLOOKUP("No contestan",Motivación!$C$6:$F$46,2,FALSE)</f>
        <v>3.0727272727272728</v>
      </c>
      <c r="F45" s="251">
        <f>VLOOKUP("No contestan",Motivación!$C$6:$F$46,3,FALSE)</f>
        <v>3.0636363636363635</v>
      </c>
      <c r="G45" s="92">
        <f>E45/F45-1</f>
        <v>2.9673590504450953E-3</v>
      </c>
      <c r="H45" s="92"/>
    </row>
  </sheetData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6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2" width="11.42578125" style="244"/>
    <col min="3" max="3" width="36.42578125" style="244" customWidth="1"/>
    <col min="4" max="5" width="13.28515625" style="244" customWidth="1"/>
    <col min="6" max="6" width="8.7109375" style="244" bestFit="1" customWidth="1"/>
    <col min="7" max="7" width="10.28515625" style="244" customWidth="1"/>
    <col min="8" max="8" width="9" style="244" customWidth="1"/>
    <col min="9" max="9" width="18.28515625" style="244" customWidth="1"/>
    <col min="10" max="11" width="14.85546875" style="244" bestFit="1" customWidth="1"/>
    <col min="12" max="16384" width="11.42578125" style="244"/>
  </cols>
  <sheetData>
    <row r="1" spans="1:6" ht="30" customHeight="1" x14ac:dyDescent="0.2"/>
    <row r="2" spans="1:6" ht="25.5" customHeight="1" x14ac:dyDescent="0.2"/>
    <row r="3" spans="1:6" x14ac:dyDescent="0.2">
      <c r="A3" s="245"/>
      <c r="B3" s="245"/>
    </row>
    <row r="4" spans="1:6" x14ac:dyDescent="0.2">
      <c r="A4" s="245"/>
      <c r="B4" s="245"/>
    </row>
    <row r="5" spans="1:6" ht="36.75" customHeight="1" x14ac:dyDescent="0.2">
      <c r="A5" s="245"/>
      <c r="B5" s="245"/>
      <c r="C5" s="286" t="s">
        <v>436</v>
      </c>
      <c r="D5" s="286"/>
      <c r="E5" s="286"/>
      <c r="F5" s="286"/>
    </row>
    <row r="6" spans="1:6" x14ac:dyDescent="0.2">
      <c r="A6" s="245"/>
      <c r="B6" s="245"/>
      <c r="C6" s="10"/>
      <c r="D6" s="10" t="s">
        <v>158</v>
      </c>
      <c r="E6" s="10" t="s">
        <v>159</v>
      </c>
      <c r="F6" s="143" t="s">
        <v>62</v>
      </c>
    </row>
    <row r="7" spans="1:6" x14ac:dyDescent="0.2">
      <c r="C7" s="246" t="s">
        <v>388</v>
      </c>
      <c r="D7" s="247">
        <v>33.962557895146539</v>
      </c>
      <c r="E7" s="247">
        <v>34.151951038864851</v>
      </c>
      <c r="F7" s="248">
        <f t="shared" ref="F7:F45" si="0">E7/D7-1</f>
        <v>5.5765276662327334E-3</v>
      </c>
    </row>
    <row r="8" spans="1:6" x14ac:dyDescent="0.2">
      <c r="C8" s="246" t="s">
        <v>389</v>
      </c>
      <c r="D8" s="247">
        <v>5.756431712917915</v>
      </c>
      <c r="E8" s="247">
        <v>6.018789225431723</v>
      </c>
      <c r="F8" s="248">
        <f t="shared" si="0"/>
        <v>4.5576413583619191E-2</v>
      </c>
    </row>
    <row r="9" spans="1:6" x14ac:dyDescent="0.2">
      <c r="C9" s="246" t="s">
        <v>391</v>
      </c>
      <c r="D9" s="247">
        <v>5.7758922663760561</v>
      </c>
      <c r="E9" s="247">
        <v>5.8589638638755703</v>
      </c>
      <c r="F9" s="248">
        <f t="shared" si="0"/>
        <v>1.4382470044171258E-2</v>
      </c>
    </row>
    <row r="10" spans="1:6" x14ac:dyDescent="0.2">
      <c r="C10" s="246" t="s">
        <v>390</v>
      </c>
      <c r="D10" s="247">
        <v>5.6396683921690736</v>
      </c>
      <c r="E10" s="247">
        <v>5.8784547616263207</v>
      </c>
      <c r="F10" s="248">
        <f t="shared" si="0"/>
        <v>4.2340498208868649E-2</v>
      </c>
    </row>
    <row r="11" spans="1:6" x14ac:dyDescent="0.2">
      <c r="C11" s="246" t="s">
        <v>393</v>
      </c>
      <c r="D11" s="247">
        <v>4.4681430739890242</v>
      </c>
      <c r="E11" s="247">
        <v>4.9234007718395505</v>
      </c>
      <c r="F11" s="248">
        <f t="shared" si="0"/>
        <v>0.10188968668008336</v>
      </c>
    </row>
    <row r="12" spans="1:6" x14ac:dyDescent="0.2">
      <c r="C12" s="246" t="s">
        <v>392</v>
      </c>
      <c r="D12" s="247">
        <v>5.3944654185965053</v>
      </c>
      <c r="E12" s="247">
        <v>5.1572915448485555</v>
      </c>
      <c r="F12" s="248">
        <f t="shared" si="0"/>
        <v>-4.3966149626306406E-2</v>
      </c>
    </row>
    <row r="13" spans="1:6" x14ac:dyDescent="0.2">
      <c r="C13" s="246" t="s">
        <v>394</v>
      </c>
      <c r="D13" s="247">
        <v>4.2735375394076209</v>
      </c>
      <c r="E13" s="247">
        <v>4.4010447121194405</v>
      </c>
      <c r="F13" s="248">
        <f t="shared" si="0"/>
        <v>2.9836446161063623E-2</v>
      </c>
    </row>
    <row r="14" spans="1:6" x14ac:dyDescent="0.2">
      <c r="C14" s="246" t="s">
        <v>395</v>
      </c>
      <c r="D14" s="247">
        <v>4.0088740123769124</v>
      </c>
      <c r="E14" s="247">
        <v>4.1281721436089347</v>
      </c>
      <c r="F14" s="248">
        <f t="shared" si="0"/>
        <v>2.9758513453828517E-2</v>
      </c>
    </row>
    <row r="15" spans="1:6" x14ac:dyDescent="0.2">
      <c r="C15" s="246" t="s">
        <v>396</v>
      </c>
      <c r="D15" s="247">
        <v>4.2385085431829683</v>
      </c>
      <c r="E15" s="247">
        <v>4.0658012708065332</v>
      </c>
      <c r="F15" s="248">
        <f t="shared" si="0"/>
        <v>-4.0747180433128971E-2</v>
      </c>
    </row>
    <row r="16" spans="1:6" x14ac:dyDescent="0.2">
      <c r="C16" s="246" t="s">
        <v>397</v>
      </c>
      <c r="D16" s="247">
        <v>3.3666757482582805</v>
      </c>
      <c r="E16" s="247">
        <v>3.3602307722293689</v>
      </c>
      <c r="F16" s="248">
        <f t="shared" si="0"/>
        <v>-1.9143441515702131E-3</v>
      </c>
    </row>
    <row r="17" spans="3:6" x14ac:dyDescent="0.2">
      <c r="C17" s="246" t="s">
        <v>398</v>
      </c>
      <c r="D17" s="247">
        <v>2.4987350640252211</v>
      </c>
      <c r="E17" s="247">
        <v>2.3545004482906484</v>
      </c>
      <c r="F17" s="248">
        <f t="shared" si="0"/>
        <v>-5.7723052680192732E-2</v>
      </c>
    </row>
    <row r="18" spans="3:6" x14ac:dyDescent="0.2">
      <c r="C18" s="246" t="s">
        <v>399</v>
      </c>
      <c r="D18" s="247">
        <v>2.4675981784921963</v>
      </c>
      <c r="E18" s="247">
        <v>2.3038241141386973</v>
      </c>
      <c r="F18" s="248">
        <f t="shared" si="0"/>
        <v>-6.6369827057325748E-2</v>
      </c>
    </row>
    <row r="19" spans="3:6" x14ac:dyDescent="0.2">
      <c r="C19" s="246" t="s">
        <v>400</v>
      </c>
      <c r="D19" s="247">
        <v>1.6774997080916982</v>
      </c>
      <c r="E19" s="247">
        <v>1.8126534908197871</v>
      </c>
      <c r="F19" s="248">
        <f t="shared" si="0"/>
        <v>8.0568587926514779E-2</v>
      </c>
    </row>
    <row r="20" spans="3:6" x14ac:dyDescent="0.2">
      <c r="C20" s="246" t="s">
        <v>401</v>
      </c>
      <c r="D20" s="247">
        <v>1.5879811621842526</v>
      </c>
      <c r="E20" s="247">
        <v>1.6177445133122832</v>
      </c>
      <c r="F20" s="248">
        <f t="shared" si="0"/>
        <v>1.874288677775704E-2</v>
      </c>
    </row>
    <row r="21" spans="3:6" x14ac:dyDescent="0.2">
      <c r="C21" s="246" t="s">
        <v>403</v>
      </c>
      <c r="D21" s="247">
        <v>1.3855914062195929</v>
      </c>
      <c r="E21" s="247">
        <v>1.4696136904065802</v>
      </c>
      <c r="F21" s="248">
        <f t="shared" si="0"/>
        <v>6.0640015382479318E-2</v>
      </c>
    </row>
    <row r="22" spans="3:6" x14ac:dyDescent="0.2">
      <c r="C22" s="246" t="s">
        <v>402</v>
      </c>
      <c r="D22" s="247">
        <v>1.6424707118670454</v>
      </c>
      <c r="E22" s="247">
        <v>1.6138463337621332</v>
      </c>
      <c r="F22" s="248">
        <f t="shared" si="0"/>
        <v>-1.742763380686041E-2</v>
      </c>
    </row>
    <row r="23" spans="3:6" x14ac:dyDescent="0.2">
      <c r="C23" s="246" t="s">
        <v>404</v>
      </c>
      <c r="D23" s="247">
        <v>1.6346864904837894</v>
      </c>
      <c r="E23" s="247">
        <v>1.4345300744552294</v>
      </c>
      <c r="F23" s="248">
        <f t="shared" si="0"/>
        <v>-0.12244330469099507</v>
      </c>
    </row>
    <row r="24" spans="3:6" x14ac:dyDescent="0.2">
      <c r="C24" s="246" t="s">
        <v>405</v>
      </c>
      <c r="D24" s="247">
        <v>1.0936831043474877</v>
      </c>
      <c r="E24" s="247">
        <v>1.0174248625891709</v>
      </c>
      <c r="F24" s="248">
        <f t="shared" si="0"/>
        <v>-6.9726085604855381E-2</v>
      </c>
    </row>
    <row r="25" spans="3:6" x14ac:dyDescent="0.2">
      <c r="C25" s="246" t="s">
        <v>406</v>
      </c>
      <c r="D25" s="247">
        <v>0.80177480247538235</v>
      </c>
      <c r="E25" s="247">
        <v>0.86539586013331771</v>
      </c>
      <c r="F25" s="248">
        <f t="shared" si="0"/>
        <v>7.935028322355997E-2</v>
      </c>
    </row>
    <row r="26" spans="3:6" x14ac:dyDescent="0.2">
      <c r="C26" s="246" t="s">
        <v>407</v>
      </c>
      <c r="D26" s="247">
        <v>0.63052193204374729</v>
      </c>
      <c r="E26" s="247">
        <v>0.85759950103301763</v>
      </c>
      <c r="F26" s="248">
        <f t="shared" si="0"/>
        <v>0.36014222099020521</v>
      </c>
    </row>
    <row r="27" spans="3:6" x14ac:dyDescent="0.2">
      <c r="C27" s="246" t="s">
        <v>408</v>
      </c>
      <c r="D27" s="247">
        <v>0.79399058109212628</v>
      </c>
      <c r="E27" s="247">
        <v>0.65489416442521342</v>
      </c>
      <c r="F27" s="248">
        <f t="shared" si="0"/>
        <v>-0.17518648203053877</v>
      </c>
    </row>
    <row r="28" spans="3:6" ht="15.75" customHeight="1" x14ac:dyDescent="0.2">
      <c r="C28" s="246" t="s">
        <v>409</v>
      </c>
      <c r="D28" s="247">
        <v>0.69279570310979643</v>
      </c>
      <c r="E28" s="247">
        <v>0.64709780532491323</v>
      </c>
      <c r="F28" s="248">
        <f t="shared" si="0"/>
        <v>-6.5961577965562013E-2</v>
      </c>
    </row>
    <row r="29" spans="3:6" x14ac:dyDescent="0.2">
      <c r="C29" s="246" t="s">
        <v>410</v>
      </c>
      <c r="D29" s="247">
        <v>0.75896158486747367</v>
      </c>
      <c r="E29" s="247">
        <v>0.64709780532491323</v>
      </c>
      <c r="F29" s="248">
        <f t="shared" si="0"/>
        <v>-0.14739056860446176</v>
      </c>
    </row>
    <row r="30" spans="3:6" x14ac:dyDescent="0.2">
      <c r="C30" s="246" t="s">
        <v>411</v>
      </c>
      <c r="D30" s="247">
        <v>0.64998248550188764</v>
      </c>
      <c r="E30" s="247">
        <v>0.56523603477176154</v>
      </c>
      <c r="F30" s="248">
        <f t="shared" si="0"/>
        <v>-0.1303826681801874</v>
      </c>
    </row>
    <row r="31" spans="3:6" x14ac:dyDescent="0.2">
      <c r="C31" s="246" t="s">
        <v>412</v>
      </c>
      <c r="D31" s="247">
        <v>0.50208227922002102</v>
      </c>
      <c r="E31" s="247">
        <v>0.49117062331891009</v>
      </c>
      <c r="F31" s="248">
        <f t="shared" si="0"/>
        <v>-2.1732804268778549E-2</v>
      </c>
    </row>
    <row r="32" spans="3:6" ht="15.75" customHeight="1" x14ac:dyDescent="0.2">
      <c r="C32" s="246" t="s">
        <v>413</v>
      </c>
      <c r="D32" s="247">
        <v>0.47872961507025258</v>
      </c>
      <c r="E32" s="247">
        <v>0.45608700736755936</v>
      </c>
      <c r="F32" s="248">
        <f t="shared" si="0"/>
        <v>-4.7297278024820866E-2</v>
      </c>
    </row>
    <row r="33" spans="3:6" x14ac:dyDescent="0.2">
      <c r="C33" s="246" t="s">
        <v>414</v>
      </c>
      <c r="D33" s="247">
        <v>0.46316117230374032</v>
      </c>
      <c r="E33" s="247">
        <v>0.4132070323159085</v>
      </c>
      <c r="F33" s="248">
        <f t="shared" si="0"/>
        <v>-0.10785476627792967</v>
      </c>
    </row>
    <row r="34" spans="3:6" x14ac:dyDescent="0.2">
      <c r="C34" s="246" t="s">
        <v>417</v>
      </c>
      <c r="D34" s="247">
        <v>0.43202428677071575</v>
      </c>
      <c r="E34" s="247">
        <v>0.3352434413129069</v>
      </c>
      <c r="F34" s="248">
        <f t="shared" si="0"/>
        <v>-0.2240171407520255</v>
      </c>
    </row>
    <row r="35" spans="3:6" x14ac:dyDescent="0.2">
      <c r="C35" s="246" t="s">
        <v>418</v>
      </c>
      <c r="D35" s="247">
        <v>0.4904059471451368</v>
      </c>
      <c r="E35" s="247">
        <v>0.32354890266245662</v>
      </c>
      <c r="F35" s="248">
        <f t="shared" si="0"/>
        <v>-0.34024270189630967</v>
      </c>
    </row>
    <row r="36" spans="3:6" x14ac:dyDescent="0.2">
      <c r="C36" s="246" t="s">
        <v>415</v>
      </c>
      <c r="D36" s="247">
        <v>0.72782469933444904</v>
      </c>
      <c r="E36" s="247">
        <v>0.35473433906365726</v>
      </c>
      <c r="F36" s="248">
        <f t="shared" si="0"/>
        <v>-0.51261019392713658</v>
      </c>
    </row>
    <row r="37" spans="3:6" x14ac:dyDescent="0.2">
      <c r="C37" s="246" t="s">
        <v>416</v>
      </c>
      <c r="D37" s="247">
        <v>0.2452029735725684</v>
      </c>
      <c r="E37" s="247">
        <v>0.33914162086305694</v>
      </c>
      <c r="F37" s="248">
        <f t="shared" si="0"/>
        <v>0.38310566108484467</v>
      </c>
    </row>
    <row r="38" spans="3:6" x14ac:dyDescent="0.2">
      <c r="C38" s="246" t="s">
        <v>420</v>
      </c>
      <c r="D38" s="247">
        <v>0.31915307671350174</v>
      </c>
      <c r="E38" s="247">
        <v>0.26507620941020543</v>
      </c>
      <c r="F38" s="248">
        <f t="shared" si="0"/>
        <v>-0.1694386526370234</v>
      </c>
    </row>
    <row r="39" spans="3:6" x14ac:dyDescent="0.2">
      <c r="C39" s="246" t="s">
        <v>419</v>
      </c>
      <c r="D39" s="247">
        <v>0.34639785155489822</v>
      </c>
      <c r="E39" s="247">
        <v>0.28846528671110594</v>
      </c>
      <c r="F39" s="248">
        <f t="shared" si="0"/>
        <v>-0.16724285264399497</v>
      </c>
    </row>
    <row r="40" spans="3:6" x14ac:dyDescent="0.2">
      <c r="C40" s="249" t="s">
        <v>423</v>
      </c>
      <c r="D40" s="247">
        <v>0.20238975596465963</v>
      </c>
      <c r="E40" s="247">
        <v>0.22999259345885473</v>
      </c>
      <c r="F40" s="248">
        <f t="shared" si="0"/>
        <v>0.13638455841122199</v>
      </c>
    </row>
    <row r="41" spans="3:6" x14ac:dyDescent="0.2">
      <c r="C41" s="246" t="s">
        <v>421</v>
      </c>
      <c r="D41" s="247">
        <v>0.16346864904837893</v>
      </c>
      <c r="E41" s="247">
        <v>0.25338167075975521</v>
      </c>
      <c r="F41" s="248">
        <f t="shared" si="0"/>
        <v>0.55003220638818817</v>
      </c>
    </row>
    <row r="42" spans="3:6" x14ac:dyDescent="0.2">
      <c r="C42" s="246" t="s">
        <v>422</v>
      </c>
      <c r="D42" s="247">
        <v>0.17514498112326315</v>
      </c>
      <c r="E42" s="247">
        <v>0.23778895255915489</v>
      </c>
      <c r="F42" s="248">
        <f t="shared" si="0"/>
        <v>0.35766923513385906</v>
      </c>
    </row>
    <row r="43" spans="3:6" x14ac:dyDescent="0.2">
      <c r="C43" s="246" t="s">
        <v>424</v>
      </c>
      <c r="D43" s="247">
        <v>0.15179231697349474</v>
      </c>
      <c r="E43" s="247">
        <v>0.1169453865045024</v>
      </c>
      <c r="F43" s="248">
        <f t="shared" si="0"/>
        <v>-0.22956979090764618</v>
      </c>
    </row>
    <row r="44" spans="3:6" x14ac:dyDescent="0.2">
      <c r="C44" s="246" t="s">
        <v>426</v>
      </c>
      <c r="D44" s="247">
        <v>5.0597438991164909E-2</v>
      </c>
      <c r="E44" s="247">
        <v>4.2879975051650879E-2</v>
      </c>
      <c r="F44" s="248">
        <f t="shared" si="0"/>
        <v>-0.15252676999841075</v>
      </c>
    </row>
    <row r="45" spans="3:6" x14ac:dyDescent="0.2">
      <c r="C45" s="246" t="s">
        <v>425</v>
      </c>
      <c r="D45" s="247">
        <v>5.0597438991164909E-2</v>
      </c>
      <c r="E45" s="247">
        <v>4.6778154601800959E-2</v>
      </c>
      <c r="F45" s="248">
        <f t="shared" si="0"/>
        <v>-7.5483749089175323E-2</v>
      </c>
    </row>
    <row r="46" spans="3:6" x14ac:dyDescent="0.2">
      <c r="C46" s="288" t="s">
        <v>73</v>
      </c>
      <c r="D46" s="288"/>
      <c r="E46" s="288"/>
      <c r="F46" s="288"/>
    </row>
    <row r="47" spans="3:6" ht="12.75" customHeight="1" x14ac:dyDescent="0.2"/>
  </sheetData>
  <mergeCells count="2">
    <mergeCell ref="C5:F5"/>
    <mergeCell ref="C46:F4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5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0:G38"/>
  <sheetViews>
    <sheetView showGridLines="0" topLeftCell="C10" zoomScaleNormal="100" workbookViewId="0">
      <selection activeCell="L59" sqref="L59"/>
    </sheetView>
  </sheetViews>
  <sheetFormatPr baseColWidth="10" defaultRowHeight="12.75" x14ac:dyDescent="0.2"/>
  <cols>
    <col min="1" max="1" width="17.7109375" customWidth="1"/>
    <col min="2" max="2" width="8.85546875" customWidth="1"/>
    <col min="3" max="3" width="9.42578125" customWidth="1"/>
    <col min="13" max="13" width="6.7109375" customWidth="1"/>
  </cols>
  <sheetData>
    <row r="10" spans="3:7" x14ac:dyDescent="0.2">
      <c r="C10" s="244"/>
      <c r="D10" s="244"/>
      <c r="E10" s="244" t="s">
        <v>437</v>
      </c>
    </row>
    <row r="11" spans="3:7" x14ac:dyDescent="0.2">
      <c r="C11" s="250"/>
      <c r="D11" s="244"/>
      <c r="E11" s="110"/>
    </row>
    <row r="12" spans="3:7" x14ac:dyDescent="0.2">
      <c r="C12" s="250"/>
      <c r="D12" s="110" t="str">
        <f>'Motivación repuestas'!D6</f>
        <v>año 2011</v>
      </c>
      <c r="E12" s="110" t="str">
        <f>'Motivación repuestas'!E6</f>
        <v>año 2012</v>
      </c>
      <c r="F12" t="s">
        <v>221</v>
      </c>
    </row>
    <row r="13" spans="3:7" x14ac:dyDescent="0.2">
      <c r="C13" s="246" t="s">
        <v>388</v>
      </c>
      <c r="D13" s="251">
        <f>VLOOKUP("clima",'Motivación repuestas'!$C$5:$H$47,2,FALSE)</f>
        <v>33.962557895146539</v>
      </c>
      <c r="E13" s="251">
        <f>VLOOKUP("clima",'Motivación repuestas'!$C$5:$H$47,3,FALSE)</f>
        <v>34.151951038864851</v>
      </c>
      <c r="F13" s="92">
        <f t="shared" ref="F13:F36" si="0">D13/E13-1</f>
        <v>-5.5456024606846954E-3</v>
      </c>
      <c r="G13" s="92"/>
    </row>
    <row r="14" spans="3:7" x14ac:dyDescent="0.2">
      <c r="C14" s="246" t="s">
        <v>391</v>
      </c>
      <c r="D14" s="252">
        <f>VLOOKUP("precio del viaje",'Motivación repuestas'!$C$5:$H$47,2,FALSE)+VLOOKUP("precios en tenerife",'Motivación repuestas'!$C$5:$H$47,2,FALSE)</f>
        <v>7.4533919744677544</v>
      </c>
      <c r="E14" s="252">
        <f>VLOOKUP("precio del viaje",'Motivación repuestas'!$C$5:$H$47,3,FALSE)+VLOOKUP("precios en tenerife",'Motivación repuestas'!$C$5:$H$47,3,FALSE)</f>
        <v>7.671617354695357</v>
      </c>
      <c r="F14" s="92">
        <f t="shared" si="0"/>
        <v>-2.8445811376924257E-2</v>
      </c>
      <c r="G14" s="92"/>
    </row>
    <row r="15" spans="3:7" x14ac:dyDescent="0.2">
      <c r="C15" s="246" t="s">
        <v>389</v>
      </c>
      <c r="D15" s="252">
        <f>VLOOKUP("playas /mar",'Motivación repuestas'!$C$5:$H$47,2,FALSE)</f>
        <v>5.756431712917915</v>
      </c>
      <c r="E15" s="252">
        <f>VLOOKUP("playas /mar",'Motivación repuestas'!$C$5:$H$47,3,FALSE)</f>
        <v>6.018789225431723</v>
      </c>
      <c r="F15" s="92">
        <f t="shared" si="0"/>
        <v>-4.3589749148424284E-2</v>
      </c>
      <c r="G15" s="92"/>
    </row>
    <row r="16" spans="3:7" x14ac:dyDescent="0.2">
      <c r="C16" s="246" t="s">
        <v>390</v>
      </c>
      <c r="D16" s="251">
        <f>VLOOKUP("accesibilidad /cercanía",'Motivación repuestas'!$C$5:$H$47,2,FALSE)</f>
        <v>5.6396683921690736</v>
      </c>
      <c r="E16" s="251">
        <f>VLOOKUP("accesibilidad /cercanía",'Motivación repuestas'!$C$5:$H$47,3,FALSE)</f>
        <v>5.8784547616263207</v>
      </c>
      <c r="F16" s="92">
        <f t="shared" si="0"/>
        <v>-4.0620601695535608E-2</v>
      </c>
      <c r="G16" s="92"/>
    </row>
    <row r="17" spans="3:7" x14ac:dyDescent="0.2">
      <c r="C17" s="246" t="s">
        <v>428</v>
      </c>
      <c r="D17" s="251">
        <f>VLOOKUP("conocer/ excursiones",'Motivación repuestas'!$C$5:$H$47,2,FALSE)+VLOOKUP("la isla",'Motivación repuestas'!$C$5:$H$47,2,FALSE)</f>
        <v>4.9468726890592771</v>
      </c>
      <c r="E17" s="251">
        <f>VLOOKUP("conocer/ excursiones",'Motivación repuestas'!$C$5:$H$47,3,FALSE)+VLOOKUP("la isla",'Motivación repuestas'!$C$5:$H$47,3,FALSE)</f>
        <v>5.3794877792071096</v>
      </c>
      <c r="F17" s="92">
        <f t="shared" si="0"/>
        <v>-8.0419383388132926E-2</v>
      </c>
      <c r="G17" s="92"/>
    </row>
    <row r="18" spans="3:7" x14ac:dyDescent="0.2">
      <c r="C18" s="246" t="s">
        <v>392</v>
      </c>
      <c r="D18" s="251">
        <f>VLOOKUP("paisaje natural",'Motivación repuestas'!$C$5:$H$47,2,FALSE)</f>
        <v>5.3944654185965053</v>
      </c>
      <c r="E18" s="251">
        <f>VLOOKUP("paisaje natural",'Motivación repuestas'!$C$5:$H$47,3,FALSE)</f>
        <v>5.1572915448485555</v>
      </c>
      <c r="F18" s="92">
        <f t="shared" si="0"/>
        <v>4.5988067900651242E-2</v>
      </c>
      <c r="G18" s="92"/>
    </row>
    <row r="19" spans="3:7" x14ac:dyDescent="0.2">
      <c r="C19" s="246" t="s">
        <v>394</v>
      </c>
      <c r="D19" s="251">
        <f>VLOOKUP("características del alojamiento",'Motivación repuestas'!$C$5:$H$47,2,FALSE)</f>
        <v>4.2735375394076209</v>
      </c>
      <c r="E19" s="251">
        <f>VLOOKUP("características del alojamiento",'Motivación repuestas'!$C$5:$H$47,3,FALSE)</f>
        <v>4.4010447121194405</v>
      </c>
      <c r="F19" s="92">
        <f t="shared" si="0"/>
        <v>-2.8972023928930946E-2</v>
      </c>
      <c r="G19" s="92"/>
    </row>
    <row r="20" spans="3:7" x14ac:dyDescent="0.2">
      <c r="C20" s="246" t="s">
        <v>395</v>
      </c>
      <c r="D20" s="251">
        <f>VLOOKUP("buenas referencias /fidelidad",'Motivación repuestas'!$C$5:$H$47,2,FALSE)</f>
        <v>4.0088740123769124</v>
      </c>
      <c r="E20" s="251">
        <f>VLOOKUP("buenas referencias /fidelidad",'Motivación repuestas'!$C$5:$H$47,3,FALSE)</f>
        <v>4.1281721436089347</v>
      </c>
      <c r="F20" s="92">
        <f t="shared" si="0"/>
        <v>-2.8898535982011975E-2</v>
      </c>
      <c r="G20" s="92"/>
    </row>
    <row r="21" spans="3:7" x14ac:dyDescent="0.2">
      <c r="C21" s="246" t="s">
        <v>396</v>
      </c>
      <c r="D21" s="252">
        <f>VLOOKUP("relax",'Motivación repuestas'!$C$5:$H$47,2,FALSE)</f>
        <v>4.2385085431829683</v>
      </c>
      <c r="E21" s="252">
        <f>VLOOKUP("relax",'Motivación repuestas'!$C$5:$H$47,3,FALSE)</f>
        <v>4.0658012708065332</v>
      </c>
      <c r="F21" s="92">
        <f t="shared" si="0"/>
        <v>4.2478040827159003E-2</v>
      </c>
      <c r="G21" s="92"/>
    </row>
    <row r="22" spans="3:7" x14ac:dyDescent="0.2">
      <c r="C22" s="246" t="s">
        <v>429</v>
      </c>
      <c r="D22" s="252">
        <f>VLOOKUP("cultura/eventos/costumbres",'Motivación repuestas'!$C$5:$H$47,2,FALSE)+VLOOKUP("senderismo",'Motivación repuestas'!$C$5:$H$47,2,FALSE)+VLOOKUP("deportes",'Motivación repuestas'!$C$5:$H$47,2,FALSE)+VLOOKUP("actividades /ocio",'Motivación repuestas'!$C$5:$H$47,2,FALSE)</f>
        <v>3.7597789281127159</v>
      </c>
      <c r="E22" s="252">
        <f>VLOOKUP("cultura/eventos/costumbres",'Motivación repuestas'!$C$5:$H$47,3,FALSE)+VLOOKUP("senderismo",'Motivación repuestas'!$C$5:$H$47,3,FALSE)+VLOOKUP("deportes",'Motivación repuestas'!$C$5:$H$47,3,FALSE)+VLOOKUP("actividades /ocio",'Motivación repuestas'!$C$5:$H$47,3,FALSE)</f>
        <v>3.8046232409464782</v>
      </c>
      <c r="F22" s="92">
        <f t="shared" si="0"/>
        <v>-1.1786794642669074E-2</v>
      </c>
      <c r="G22" s="92"/>
    </row>
    <row r="23" spans="3:7" x14ac:dyDescent="0.2">
      <c r="C23" s="246" t="s">
        <v>430</v>
      </c>
      <c r="D23" s="252">
        <f>VLOOKUP("medioambiente urbano",'Motivación repuestas'!$C$5:$H$47,2,FALSE)+VLOOKUP("infraestructuras urbanas",'Motivación repuestas'!$C$5:$H$47,2,FALSE)+VLOOKUP("destino preparado para el turismo",'Motivación repuestas'!$C$5:$H$47,2,FALSE)+VLOOKUP("carreteras/transporte",'Motivación repuestas'!$C$5:$H$47,2,FALSE)+VLOOKUP("servicios",'Motivación repuestas'!$C$5:$H$47,2,FALSE)</f>
        <v>3.4289495193243296</v>
      </c>
      <c r="E23" s="252">
        <f>VLOOKUP("medioambiente urbano",'Motivación repuestas'!$C$5:$H$47,3,FALSE)+VLOOKUP("infraestructuras urbanas",'Motivación repuestas'!$C$5:$H$47,3,FALSE)+VLOOKUP("destino preparado para el turismo",'Motivación repuestas'!$C$5:$H$47,3,FALSE)+VLOOKUP("carreteras/transporte",'Motivación repuestas'!$C$5:$H$47,3,FALSE)+VLOOKUP("servicios",'Motivación repuestas'!$C$5:$H$47,3,FALSE)</f>
        <v>3.4342961836822203</v>
      </c>
      <c r="F23" s="92">
        <f t="shared" si="0"/>
        <v>-1.5568442766512591E-3</v>
      </c>
      <c r="G23" s="92"/>
    </row>
    <row r="24" spans="3:7" x14ac:dyDescent="0.2">
      <c r="C24" s="246" t="s">
        <v>397</v>
      </c>
      <c r="D24" s="252">
        <f>VLOOKUP("amabilidad/ hospitalidad/ambiente",'Motivación repuestas'!$C$5:$H$47,2,FALSE)</f>
        <v>3.3666757482582805</v>
      </c>
      <c r="E24" s="252">
        <f>VLOOKUP("amabilidad/ hospitalidad/ambiente",'Motivación repuestas'!$C$5:$H$47,3,FALSE)</f>
        <v>3.3602307722293689</v>
      </c>
      <c r="F24" s="92">
        <f t="shared" si="0"/>
        <v>1.9180158940796943E-3</v>
      </c>
      <c r="G24" s="92"/>
    </row>
    <row r="25" spans="3:7" x14ac:dyDescent="0.2">
      <c r="C25" s="246" t="s">
        <v>398</v>
      </c>
      <c r="D25" s="252">
        <f>VLOOKUP("visita familiares /amigos",'Motivación repuestas'!$C$5:$H$47,2,FALSE)</f>
        <v>2.4987350640252211</v>
      </c>
      <c r="E25" s="252">
        <f>VLOOKUP("visita familiares /amigos",'Motivación repuestas'!$C$5:$H$47,3,FALSE)</f>
        <v>2.3545004482906484</v>
      </c>
      <c r="F25" s="92">
        <f t="shared" si="0"/>
        <v>6.1259115851638901E-2</v>
      </c>
      <c r="G25" s="92"/>
    </row>
    <row r="26" spans="3:7" x14ac:dyDescent="0.2">
      <c r="C26" s="246" t="s">
        <v>431</v>
      </c>
      <c r="D26" s="251">
        <f>VLOOKUP("gastronomía",'Motivación repuestas'!$C$5:$H$47,2,FALSE)+VLOOKUP("restaurantes/bares/cafés",'Motivación repuestas'!$C$5:$H$47,2,FALSE)</f>
        <v>1.8448604678317051</v>
      </c>
      <c r="E26" s="251">
        <f>VLOOKUP("gastronomía",'Motivación repuestas'!$C$5:$H$47,3,FALSE)+VLOOKUP("restaurantes/bares/cafés",'Motivación repuestas'!$C$5:$H$47,3,FALSE)</f>
        <v>1.8438389272209879</v>
      </c>
      <c r="F26" s="92">
        <f t="shared" si="0"/>
        <v>5.540292026793292E-4</v>
      </c>
      <c r="G26" s="92"/>
    </row>
    <row r="27" spans="3:7" x14ac:dyDescent="0.2">
      <c r="C27" s="246" t="s">
        <v>432</v>
      </c>
      <c r="D27" s="251">
        <f>VLOOKUP("El Teide",'Motivación repuestas'!$C$5:$H$47,2,FALSE)+VLOOKUP("lugares específicos",'Motivación repuestas'!$C$5:$H$47,2,FALSE)</f>
        <v>1.5607363873428559</v>
      </c>
      <c r="E27" s="251">
        <f>VLOOKUP("El Teide",'Motivación repuestas'!$C$5:$H$47,3,FALSE)+VLOOKUP("lugares específicos",'Motivación repuestas'!$C$5:$H$47,3,FALSE)</f>
        <v>1.707402642965735</v>
      </c>
      <c r="F27" s="92">
        <f t="shared" si="0"/>
        <v>-8.5900215878851993E-2</v>
      </c>
      <c r="G27" s="92"/>
    </row>
    <row r="28" spans="3:7" x14ac:dyDescent="0.2">
      <c r="C28" s="246" t="s">
        <v>401</v>
      </c>
      <c r="D28" s="251">
        <f>VLOOKUP("alojamiento (contratación)",'Motivación repuestas'!$C$5:$H$47,2,FALSE)</f>
        <v>1.5879811621842526</v>
      </c>
      <c r="E28" s="251">
        <f>VLOOKUP("alojamiento (contratación)",'Motivación repuestas'!$C$5:$H$47,3,FALSE)</f>
        <v>1.6177445133122832</v>
      </c>
      <c r="F28" s="92">
        <f t="shared" si="0"/>
        <v>-1.8398054132225727E-2</v>
      </c>
      <c r="G28" s="92"/>
    </row>
    <row r="29" spans="3:7" x14ac:dyDescent="0.2">
      <c r="C29" s="246" t="s">
        <v>433</v>
      </c>
      <c r="D29" s="251">
        <f>VLOOKUP("loro parque",'Motivación repuestas'!$C$5:$H$47,2,FALSE)+VLOOKUP("siam park",'Motivación repuestas'!$C$5:$H$47,2,FALSE)+VLOOKUP("otros parques temáticos",'Motivación repuestas'!$C$5:$H$47,2,FALSE)</f>
        <v>1.2649359747791227</v>
      </c>
      <c r="E29" s="251">
        <f>VLOOKUP("loro parque",'Motivación repuestas'!$C$5:$H$47,3,FALSE)+VLOOKUP("siam park",'Motivación repuestas'!$C$5:$H$47,3,FALSE)+VLOOKUP("otros parques temáticos",'Motivación repuestas'!$C$5:$H$47,3,FALSE)</f>
        <v>1.0369157603399213</v>
      </c>
      <c r="F29" s="92">
        <f t="shared" si="0"/>
        <v>0.2199023519176253</v>
      </c>
      <c r="G29" s="92"/>
    </row>
    <row r="30" spans="3:7" x14ac:dyDescent="0.2">
      <c r="C30" s="246" t="s">
        <v>410</v>
      </c>
      <c r="D30" s="252">
        <f>VLOOKUP("negocios/estudios/médicos",'Motivación repuestas'!$C$5:$H$47,2,FALSE)</f>
        <v>0.75896158486747367</v>
      </c>
      <c r="E30" s="252">
        <f>VLOOKUP("negocios/estudios/médicos",'Motivación repuestas'!$C$5:$H$47,3,FALSE)</f>
        <v>0.64709780532491323</v>
      </c>
      <c r="F30" s="92">
        <f t="shared" si="0"/>
        <v>0.17286997208465671</v>
      </c>
      <c r="G30" s="92"/>
    </row>
    <row r="31" spans="3:7" x14ac:dyDescent="0.2">
      <c r="C31" s="246" t="s">
        <v>411</v>
      </c>
      <c r="D31" s="251">
        <f>VLOOKUP("turismo familiar",'Motivación repuestas'!$C$5:$H$47,2,FALSE)</f>
        <v>0.64998248550188764</v>
      </c>
      <c r="E31" s="251">
        <f>VLOOKUP("turismo familiar",'Motivación repuestas'!$C$5:$H$47,3,FALSE)</f>
        <v>0.56523603477176154</v>
      </c>
      <c r="F31" s="92">
        <f t="shared" si="0"/>
        <v>0.14993108279861556</v>
      </c>
      <c r="G31" s="92"/>
    </row>
    <row r="32" spans="3:7" x14ac:dyDescent="0.2">
      <c r="C32" s="246" t="s">
        <v>414</v>
      </c>
      <c r="D32" s="252">
        <f>VLOOKUP("celebración/aniversarios/evento",'Motivación repuestas'!$C$5:$H$47,2,FALSE)</f>
        <v>0.46316117230374032</v>
      </c>
      <c r="E32" s="252">
        <f>VLOOKUP("celebración/aniversarios/evento",'Motivación repuestas'!$C$5:$H$47,3,FALSE)</f>
        <v>0.4132070323159085</v>
      </c>
      <c r="F32" s="92">
        <f t="shared" si="0"/>
        <v>0.12089373142526894</v>
      </c>
      <c r="G32" s="92"/>
    </row>
    <row r="33" spans="3:7" x14ac:dyDescent="0.2">
      <c r="C33" s="246" t="s">
        <v>434</v>
      </c>
      <c r="D33" s="251">
        <f>VLOOKUP("ocio nocturno",'Motivación repuestas'!$C$5:$H$47,2,FALSE)+VLOOKUP("pubs/clubs/bares",'Motivación repuestas'!$C$5:$H$47,2,FALSE)</f>
        <v>0.48262172576188067</v>
      </c>
      <c r="E33" s="251">
        <f>VLOOKUP("ocio nocturno",'Motivación repuestas'!$C$5:$H$47,3,FALSE)+VLOOKUP("pubs/clubs/bares",'Motivación repuestas'!$C$5:$H$47,3,FALSE)</f>
        <v>0.37812341636455776</v>
      </c>
      <c r="F33" s="92">
        <f t="shared" si="0"/>
        <v>0.27636032278036327</v>
      </c>
      <c r="G33" s="92"/>
    </row>
    <row r="34" spans="3:7" x14ac:dyDescent="0.2">
      <c r="C34" s="246" t="s">
        <v>415</v>
      </c>
      <c r="D34" s="252">
        <f>VLOOKUP("seguridad",'Motivación repuestas'!$C$5:$H$47,2,FALSE)</f>
        <v>0.72782469933444904</v>
      </c>
      <c r="E34" s="252">
        <f>VLOOKUP("seguridad",'Motivación repuestas'!$C$5:$H$47,3,FALSE)</f>
        <v>0.35473433906365726</v>
      </c>
      <c r="F34" s="92">
        <f t="shared" si="0"/>
        <v>1.0517458254974308</v>
      </c>
      <c r="G34" s="92"/>
    </row>
    <row r="35" spans="3:7" x14ac:dyDescent="0.2">
      <c r="C35" s="246" t="s">
        <v>418</v>
      </c>
      <c r="D35" s="252">
        <f>VLOOKUP("está en España",'Motivación repuestas'!$C$5:$H$47,2,FALSE)</f>
        <v>0.4904059471451368</v>
      </c>
      <c r="E35" s="252">
        <f>VLOOKUP("está en España",'Motivación repuestas'!$C$5:$H$47,3,FALSE)</f>
        <v>0.32354890266245662</v>
      </c>
      <c r="F35" s="92">
        <f t="shared" si="0"/>
        <v>0.51570888700171014</v>
      </c>
      <c r="G35" s="92"/>
    </row>
    <row r="36" spans="3:7" x14ac:dyDescent="0.2">
      <c r="C36" s="246" t="s">
        <v>419</v>
      </c>
      <c r="D36" s="252">
        <f>VLOOKUP("comercio/compras",'Motivación repuestas'!$C$5:$H$47,2,FALSE)</f>
        <v>0.34639785155489822</v>
      </c>
      <c r="E36" s="252">
        <f>VLOOKUP("comercio/compras",'Motivación repuestas'!$C$5:$H$47,3,FALSE)</f>
        <v>0.28846528671110594</v>
      </c>
      <c r="F36" s="92">
        <f t="shared" si="0"/>
        <v>0.20083028188348684</v>
      </c>
      <c r="G36" s="92"/>
    </row>
    <row r="37" spans="3:7" x14ac:dyDescent="0.2">
      <c r="C37" s="246" t="s">
        <v>405</v>
      </c>
      <c r="D37" s="251">
        <f>VLOOKUP("otros",'Motivación repuestas'!$C$5:$H$47,2,FALSE)</f>
        <v>1.0936831043474877</v>
      </c>
      <c r="E37" s="251">
        <f>VLOOKUP("otros",'Motivación repuestas'!$C$5:$H$47,3,FALSE)</f>
        <v>1.0174248625891709</v>
      </c>
      <c r="F37" s="92">
        <f>D37/E37-1</f>
        <v>7.4952209801766312E-2</v>
      </c>
      <c r="G37" s="92"/>
    </row>
    <row r="38" spans="3:7" x14ac:dyDescent="0.2">
      <c r="C38" s="246"/>
      <c r="D38" s="251"/>
      <c r="E38" s="251"/>
      <c r="F38" s="92"/>
    </row>
  </sheetData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6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2" width="11.42578125" style="244"/>
    <col min="3" max="3" width="27.28515625" style="244" customWidth="1"/>
    <col min="4" max="9" width="7.7109375" style="244" customWidth="1"/>
    <col min="10" max="13" width="7.7109375" style="244" hidden="1" customWidth="1"/>
    <col min="14" max="14" width="7.7109375" style="244" customWidth="1"/>
    <col min="15" max="15" width="11.42578125" style="244" customWidth="1"/>
    <col min="16" max="16384" width="11.42578125" style="244"/>
  </cols>
  <sheetData>
    <row r="1" spans="1:14" ht="30" customHeight="1" x14ac:dyDescent="0.2"/>
    <row r="2" spans="1:14" ht="30" customHeight="1" x14ac:dyDescent="0.2"/>
    <row r="3" spans="1:14" ht="36" customHeight="1" x14ac:dyDescent="0.2">
      <c r="C3" s="311" t="s">
        <v>438</v>
      </c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</row>
    <row r="4" spans="1:14" ht="41.25" customHeight="1" x14ac:dyDescent="0.2">
      <c r="C4" s="10"/>
      <c r="D4" s="10">
        <v>2007</v>
      </c>
      <c r="E4" s="10">
        <v>2008</v>
      </c>
      <c r="F4" s="10">
        <v>2009</v>
      </c>
      <c r="G4" s="10">
        <v>2010</v>
      </c>
      <c r="H4" s="10">
        <v>2011</v>
      </c>
      <c r="I4" s="10">
        <v>2012</v>
      </c>
      <c r="J4" s="143" t="s">
        <v>439</v>
      </c>
      <c r="K4" s="143" t="s">
        <v>440</v>
      </c>
      <c r="L4" s="143" t="s">
        <v>441</v>
      </c>
      <c r="M4" s="143" t="s">
        <v>442</v>
      </c>
      <c r="N4" s="143" t="s">
        <v>443</v>
      </c>
    </row>
    <row r="5" spans="1:14" ht="15" customHeight="1" x14ac:dyDescent="0.2">
      <c r="A5" s="253"/>
      <c r="C5" s="253" t="s">
        <v>444</v>
      </c>
      <c r="D5" s="254">
        <v>7.7810323397561856</v>
      </c>
      <c r="E5" s="254">
        <v>7.7366088631984553</v>
      </c>
      <c r="F5" s="254">
        <v>7.9475650397763724</v>
      </c>
      <c r="G5" s="254">
        <v>7.9550119533457435</v>
      </c>
      <c r="H5" s="254">
        <v>8.1164374675661737</v>
      </c>
      <c r="I5" s="254">
        <v>8.152397860775034</v>
      </c>
      <c r="J5" s="179">
        <f t="shared" ref="J5:N13" si="0">E5-D5</f>
        <v>-4.4423476557730268E-2</v>
      </c>
      <c r="K5" s="179">
        <f t="shared" si="0"/>
        <v>0.2109561765779171</v>
      </c>
      <c r="L5" s="179">
        <f t="shared" si="0"/>
        <v>7.4469135693711053E-3</v>
      </c>
      <c r="M5" s="179">
        <f t="shared" si="0"/>
        <v>0.16142551422043017</v>
      </c>
      <c r="N5" s="179">
        <f t="shared" si="0"/>
        <v>3.5960393208860353E-2</v>
      </c>
    </row>
    <row r="6" spans="1:14" ht="15" customHeight="1" x14ac:dyDescent="0.2">
      <c r="A6" s="253"/>
      <c r="C6" s="253" t="s">
        <v>445</v>
      </c>
      <c r="D6" s="254">
        <v>7.8235911945641003</v>
      </c>
      <c r="E6" s="254">
        <v>7.7623530898521098</v>
      </c>
      <c r="F6" s="254">
        <v>7.8492257120111075</v>
      </c>
      <c r="G6" s="254">
        <v>7.9237974802116993</v>
      </c>
      <c r="H6" s="254">
        <v>7.924519159872772</v>
      </c>
      <c r="I6" s="254">
        <v>8.0278685373822967</v>
      </c>
      <c r="J6" s="179">
        <f t="shared" si="0"/>
        <v>-6.1238104711990538E-2</v>
      </c>
      <c r="K6" s="179">
        <f t="shared" si="0"/>
        <v>8.6872622158997714E-2</v>
      </c>
      <c r="L6" s="179">
        <f t="shared" si="0"/>
        <v>7.4571768200591748E-2</v>
      </c>
      <c r="M6" s="179">
        <f t="shared" si="0"/>
        <v>7.2167966107272719E-4</v>
      </c>
      <c r="N6" s="179">
        <f t="shared" si="0"/>
        <v>0.10334937750952466</v>
      </c>
    </row>
    <row r="7" spans="1:14" ht="15" customHeight="1" x14ac:dyDescent="0.2">
      <c r="A7" s="253"/>
      <c r="C7" s="253" t="s">
        <v>446</v>
      </c>
      <c r="D7" s="254">
        <v>7.6219251336898299</v>
      </c>
      <c r="E7" s="254">
        <v>7.6936397105497001</v>
      </c>
      <c r="F7" s="254">
        <v>7.6913684871311929</v>
      </c>
      <c r="G7" s="254">
        <v>7.7586469130238624</v>
      </c>
      <c r="H7" s="254">
        <v>7.9175771910430219</v>
      </c>
      <c r="I7" s="254">
        <v>7.9702492128715452</v>
      </c>
      <c r="J7" s="179">
        <f t="shared" si="0"/>
        <v>7.1714576859870149E-2</v>
      </c>
      <c r="K7" s="179">
        <f t="shared" si="0"/>
        <v>-2.2712234185071623E-3</v>
      </c>
      <c r="L7" s="179">
        <f t="shared" si="0"/>
        <v>6.7278425892669524E-2</v>
      </c>
      <c r="M7" s="179">
        <f t="shared" si="0"/>
        <v>0.15893027801915949</v>
      </c>
      <c r="N7" s="179">
        <f t="shared" si="0"/>
        <v>5.2672021828523263E-2</v>
      </c>
    </row>
    <row r="8" spans="1:14" ht="15" customHeight="1" x14ac:dyDescent="0.2">
      <c r="A8" s="253"/>
      <c r="C8" s="65" t="s">
        <v>447</v>
      </c>
      <c r="D8" s="104">
        <v>7.5665030683715404</v>
      </c>
      <c r="E8" s="104">
        <v>7.5035201853666926</v>
      </c>
      <c r="F8" s="104">
        <v>7.5664973898220635</v>
      </c>
      <c r="G8" s="104">
        <v>7.6689464126072933</v>
      </c>
      <c r="H8" s="104">
        <v>7.7938775215826768</v>
      </c>
      <c r="I8" s="104">
        <v>7.8779262056022441</v>
      </c>
      <c r="J8" s="104">
        <f t="shared" si="0"/>
        <v>-6.2982883004847778E-2</v>
      </c>
      <c r="K8" s="104">
        <f t="shared" si="0"/>
        <v>6.2977204455370916E-2</v>
      </c>
      <c r="L8" s="104">
        <f t="shared" si="0"/>
        <v>0.10244902278522972</v>
      </c>
      <c r="M8" s="104">
        <f t="shared" si="0"/>
        <v>0.12493110897538351</v>
      </c>
      <c r="N8" s="104">
        <f t="shared" si="0"/>
        <v>8.4048684019567332E-2</v>
      </c>
    </row>
    <row r="9" spans="1:14" ht="15" customHeight="1" x14ac:dyDescent="0.2">
      <c r="A9" s="253"/>
      <c r="C9" s="253" t="s">
        <v>448</v>
      </c>
      <c r="D9" s="254">
        <v>7.4607215174180803</v>
      </c>
      <c r="E9" s="254">
        <v>7.3402401791166048</v>
      </c>
      <c r="F9" s="254">
        <v>7.3894571602187762</v>
      </c>
      <c r="G9" s="254">
        <v>7.619546729186788</v>
      </c>
      <c r="H9" s="254">
        <v>7.7395444284834829</v>
      </c>
      <c r="I9" s="254">
        <v>7.8828439597315265</v>
      </c>
      <c r="J9" s="179">
        <f t="shared" si="0"/>
        <v>-0.12048133830147556</v>
      </c>
      <c r="K9" s="179">
        <f t="shared" si="0"/>
        <v>4.9216981102171431E-2</v>
      </c>
      <c r="L9" s="179">
        <f t="shared" si="0"/>
        <v>0.2300895689680118</v>
      </c>
      <c r="M9" s="179">
        <f t="shared" si="0"/>
        <v>0.1199976992966949</v>
      </c>
      <c r="N9" s="179">
        <f t="shared" si="0"/>
        <v>0.14329953124804362</v>
      </c>
    </row>
    <row r="10" spans="1:14" ht="15" customHeight="1" x14ac:dyDescent="0.2">
      <c r="A10" s="253"/>
      <c r="C10" s="253" t="s">
        <v>449</v>
      </c>
      <c r="D10" s="254">
        <v>7.4879295732290903</v>
      </c>
      <c r="E10" s="254">
        <v>7.3597071583514335</v>
      </c>
      <c r="F10" s="254">
        <v>7.3878924544666145</v>
      </c>
      <c r="G10" s="254">
        <v>7.5395796134448334</v>
      </c>
      <c r="H10" s="254">
        <v>7.6540540540540478</v>
      </c>
      <c r="I10" s="254">
        <v>7.7717221162876324</v>
      </c>
      <c r="J10" s="179">
        <f t="shared" si="0"/>
        <v>-0.12822241487765673</v>
      </c>
      <c r="K10" s="179">
        <f t="shared" si="0"/>
        <v>2.8185296115180947E-2</v>
      </c>
      <c r="L10" s="179">
        <f t="shared" si="0"/>
        <v>0.15168715897821894</v>
      </c>
      <c r="M10" s="179">
        <f t="shared" si="0"/>
        <v>0.11447444060921441</v>
      </c>
      <c r="N10" s="179">
        <f t="shared" si="0"/>
        <v>0.11766806223358461</v>
      </c>
    </row>
    <row r="11" spans="1:14" ht="15" customHeight="1" x14ac:dyDescent="0.2">
      <c r="A11" s="253"/>
      <c r="C11" s="253" t="s">
        <v>450</v>
      </c>
      <c r="D11" s="254">
        <v>7.3619566965053345</v>
      </c>
      <c r="E11" s="254">
        <v>7.4176701922372343</v>
      </c>
      <c r="F11" s="254">
        <v>7.5932333129210159</v>
      </c>
      <c r="G11" s="254">
        <v>7.6441688727880877</v>
      </c>
      <c r="H11" s="254">
        <v>7.7145352028341971</v>
      </c>
      <c r="I11" s="254">
        <v>7.7524034831630466</v>
      </c>
      <c r="J11" s="179">
        <f t="shared" si="0"/>
        <v>5.5713495731899876E-2</v>
      </c>
      <c r="K11" s="179">
        <f t="shared" si="0"/>
        <v>0.17556312068378155</v>
      </c>
      <c r="L11" s="179">
        <f t="shared" si="0"/>
        <v>5.0935559867071767E-2</v>
      </c>
      <c r="M11" s="179">
        <f t="shared" si="0"/>
        <v>7.0366330046109482E-2</v>
      </c>
      <c r="N11" s="179">
        <f t="shared" si="0"/>
        <v>3.786828032884948E-2</v>
      </c>
    </row>
    <row r="12" spans="1:14" ht="15" customHeight="1" x14ac:dyDescent="0.2">
      <c r="C12" s="253" t="s">
        <v>451</v>
      </c>
      <c r="D12" s="254">
        <v>7.2035963216774999</v>
      </c>
      <c r="E12" s="254">
        <v>7.1208208829001522</v>
      </c>
      <c r="F12" s="254">
        <v>6.8755728105906204</v>
      </c>
      <c r="G12" s="254">
        <v>7.0421780466724275</v>
      </c>
      <c r="H12" s="254">
        <v>7.4476620760982062</v>
      </c>
      <c r="I12" s="254">
        <v>7.535161252765147</v>
      </c>
      <c r="J12" s="179">
        <f t="shared" si="0"/>
        <v>-8.277543877734761E-2</v>
      </c>
      <c r="K12" s="179">
        <f t="shared" si="0"/>
        <v>-0.24524807230953183</v>
      </c>
      <c r="L12" s="179">
        <f t="shared" si="0"/>
        <v>0.16660523608180711</v>
      </c>
      <c r="M12" s="179">
        <f t="shared" si="0"/>
        <v>0.40548402942577866</v>
      </c>
      <c r="N12" s="179">
        <f t="shared" si="0"/>
        <v>8.7499176666940848E-2</v>
      </c>
    </row>
    <row r="13" spans="1:14" ht="15" customHeight="1" x14ac:dyDescent="0.2">
      <c r="C13" s="253" t="s">
        <v>452</v>
      </c>
      <c r="D13" s="254">
        <v>7.2897735792472496</v>
      </c>
      <c r="E13" s="254">
        <v>7.09179680220638</v>
      </c>
      <c r="F13" s="254">
        <v>7.0478346456692762</v>
      </c>
      <c r="G13" s="254">
        <v>7.2786119598428476</v>
      </c>
      <c r="H13" s="254">
        <v>7.4071736453202215</v>
      </c>
      <c r="I13" s="254">
        <v>7.542665879110106</v>
      </c>
      <c r="J13" s="179">
        <f t="shared" si="0"/>
        <v>-0.19797677704086958</v>
      </c>
      <c r="K13" s="179">
        <f t="shared" si="0"/>
        <v>-4.396215653710378E-2</v>
      </c>
      <c r="L13" s="179">
        <f t="shared" si="0"/>
        <v>0.23077731417357139</v>
      </c>
      <c r="M13" s="179">
        <f t="shared" si="0"/>
        <v>0.1285616854773739</v>
      </c>
      <c r="N13" s="179">
        <f t="shared" si="0"/>
        <v>0.13549223378988451</v>
      </c>
    </row>
    <row r="14" spans="1:14" ht="15" customHeight="1" x14ac:dyDescent="0.2">
      <c r="C14" s="225" t="s">
        <v>453</v>
      </c>
      <c r="D14" s="255" t="s">
        <v>384</v>
      </c>
      <c r="E14" s="255" t="s">
        <v>384</v>
      </c>
      <c r="F14" s="255">
        <v>8.3783273946761927</v>
      </c>
      <c r="G14" s="255">
        <v>8.3686890114552561</v>
      </c>
      <c r="H14" s="255">
        <v>8.4206856478791519</v>
      </c>
      <c r="I14" s="255">
        <v>8.4757586972612753</v>
      </c>
      <c r="J14" s="255" t="s">
        <v>98</v>
      </c>
      <c r="K14" s="255" t="s">
        <v>98</v>
      </c>
      <c r="L14" s="119">
        <f>G14-F14</f>
        <v>-9.638383220936575E-3</v>
      </c>
      <c r="M14" s="119">
        <f>H14-G14</f>
        <v>5.1996636423895737E-2</v>
      </c>
      <c r="N14" s="119">
        <f>I14-H14</f>
        <v>5.5073049382123429E-2</v>
      </c>
    </row>
    <row r="15" spans="1:14" ht="29.25" customHeight="1" x14ac:dyDescent="0.2">
      <c r="C15" s="288" t="s">
        <v>454</v>
      </c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</row>
    <row r="20" spans="4:14" x14ac:dyDescent="0.2">
      <c r="D20" s="256"/>
      <c r="E20" s="256"/>
      <c r="F20" s="256"/>
      <c r="G20" s="256"/>
      <c r="H20" s="256"/>
      <c r="I20" s="256"/>
      <c r="M20" s="256"/>
      <c r="N20" s="256"/>
    </row>
    <row r="21" spans="4:14" x14ac:dyDescent="0.2">
      <c r="D21" s="256"/>
      <c r="E21" s="256"/>
      <c r="F21" s="256"/>
      <c r="G21" s="256"/>
      <c r="H21" s="296" t="s">
        <v>102</v>
      </c>
      <c r="I21" s="296"/>
      <c r="M21" s="256"/>
      <c r="N21" s="256"/>
    </row>
    <row r="22" spans="4:14" x14ac:dyDescent="0.2">
      <c r="D22" s="256"/>
      <c r="E22" s="256"/>
      <c r="F22" s="256"/>
      <c r="G22" s="256"/>
      <c r="H22" s="296"/>
      <c r="I22" s="296"/>
      <c r="M22" s="256"/>
      <c r="N22" s="256"/>
    </row>
  </sheetData>
  <mergeCells count="3">
    <mergeCell ref="C3:N3"/>
    <mergeCell ref="C15:N15"/>
    <mergeCell ref="H21:I22"/>
  </mergeCells>
  <hyperlinks>
    <hyperlink ref="H21:H22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7:Q39"/>
  <sheetViews>
    <sheetView showGridLines="0" zoomScaleNormal="100" workbookViewId="0">
      <selection activeCell="L59" sqref="L59"/>
    </sheetView>
  </sheetViews>
  <sheetFormatPr baseColWidth="10" defaultRowHeight="12.75" x14ac:dyDescent="0.2"/>
  <sheetData>
    <row r="7" spans="17:17" x14ac:dyDescent="0.2">
      <c r="Q7" s="163"/>
    </row>
    <row r="38" spans="14:14" x14ac:dyDescent="0.2">
      <c r="N38" s="294" t="s">
        <v>76</v>
      </c>
    </row>
    <row r="39" spans="14:14" x14ac:dyDescent="0.2">
      <c r="N39" s="294"/>
    </row>
  </sheetData>
  <mergeCells count="1">
    <mergeCell ref="N38:N39"/>
  </mergeCells>
  <hyperlinks>
    <hyperlink ref="N38:N39" location="'Índice satisfacción agrup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J32"/>
  <sheetViews>
    <sheetView showGridLines="0" topLeftCell="A22" zoomScaleNormal="100" workbookViewId="0">
      <selection activeCell="L59" sqref="L59"/>
    </sheetView>
  </sheetViews>
  <sheetFormatPr baseColWidth="10" defaultRowHeight="12.75" x14ac:dyDescent="0.2"/>
  <cols>
    <col min="1" max="2" width="11.42578125" style="257"/>
    <col min="3" max="3" width="16.28515625" style="257" customWidth="1"/>
    <col min="4" max="7" width="7.7109375" style="257" customWidth="1"/>
    <col min="8" max="9" width="7.7109375" style="257" hidden="1" customWidth="1"/>
    <col min="10" max="10" width="10.7109375" style="257" customWidth="1"/>
    <col min="11" max="11" width="20.28515625" style="257" customWidth="1"/>
    <col min="12" max="12" width="23.28515625" style="257" customWidth="1"/>
    <col min="13" max="13" width="19.85546875" style="257" customWidth="1"/>
    <col min="14" max="14" width="5.85546875" style="257" customWidth="1"/>
    <col min="15" max="15" width="16.85546875" style="257" customWidth="1"/>
    <col min="16" max="16" width="18.140625" style="257" customWidth="1"/>
    <col min="17" max="17" width="20" style="257" customWidth="1"/>
    <col min="18" max="18" width="17.7109375" style="257" customWidth="1"/>
    <col min="19" max="19" width="17.28515625" style="257" customWidth="1"/>
    <col min="20" max="20" width="14.5703125" style="257" customWidth="1"/>
    <col min="21" max="21" width="19.7109375" style="257" bestFit="1" customWidth="1"/>
    <col min="22" max="22" width="19.7109375" style="257" customWidth="1"/>
    <col min="23" max="23" width="15" style="257" customWidth="1"/>
    <col min="24" max="24" width="21.28515625" style="257" customWidth="1"/>
    <col min="25" max="25" width="11.85546875" style="257" customWidth="1"/>
    <col min="26" max="26" width="10" style="257" customWidth="1"/>
    <col min="27" max="27" width="16.28515625" style="257" customWidth="1"/>
    <col min="28" max="28" width="13.42578125" style="257" customWidth="1"/>
    <col min="29" max="29" width="15.85546875" style="257" bestFit="1" customWidth="1"/>
    <col min="30" max="30" width="19.28515625" style="257" bestFit="1" customWidth="1"/>
    <col min="31" max="31" width="10.7109375" style="257" customWidth="1"/>
    <col min="32" max="32" width="18.28515625" style="257" bestFit="1" customWidth="1"/>
    <col min="33" max="34" width="14.5703125" style="257" bestFit="1" customWidth="1"/>
    <col min="35" max="35" width="19" style="257" bestFit="1" customWidth="1"/>
    <col min="36" max="36" width="18.28515625" style="257" bestFit="1" customWidth="1"/>
    <col min="37" max="37" width="15.7109375" style="257" bestFit="1" customWidth="1"/>
    <col min="38" max="38" width="16.5703125" style="257" bestFit="1" customWidth="1"/>
    <col min="39" max="39" width="18.140625" style="257" bestFit="1" customWidth="1"/>
    <col min="40" max="40" width="5.7109375" style="257" customWidth="1"/>
    <col min="41" max="41" width="18.5703125" style="257" bestFit="1" customWidth="1"/>
    <col min="42" max="42" width="12.140625" style="257" bestFit="1" customWidth="1"/>
    <col min="43" max="43" width="17.5703125" style="257" bestFit="1" customWidth="1"/>
    <col min="44" max="44" width="16.7109375" style="257" bestFit="1" customWidth="1"/>
    <col min="45" max="45" width="18.140625" style="257" bestFit="1" customWidth="1"/>
    <col min="46" max="46" width="17.28515625" style="257" bestFit="1" customWidth="1"/>
    <col min="47" max="47" width="18.42578125" style="257" bestFit="1" customWidth="1"/>
    <col min="48" max="48" width="25.85546875" style="257" bestFit="1" customWidth="1"/>
    <col min="49" max="49" width="28.42578125" style="257" bestFit="1" customWidth="1"/>
    <col min="50" max="50" width="25.5703125" style="257" bestFit="1" customWidth="1"/>
    <col min="51" max="51" width="30" style="257" bestFit="1" customWidth="1"/>
    <col min="52" max="52" width="22.42578125" style="257" bestFit="1" customWidth="1"/>
    <col min="53" max="53" width="32.42578125" style="257" bestFit="1" customWidth="1"/>
    <col min="54" max="54" width="29.42578125" style="257" bestFit="1" customWidth="1"/>
    <col min="55" max="55" width="27.7109375" style="257" bestFit="1" customWidth="1"/>
    <col min="56" max="56" width="16.5703125" style="257" bestFit="1" customWidth="1"/>
    <col min="57" max="57" width="23.85546875" style="257" bestFit="1" customWidth="1"/>
    <col min="58" max="58" width="21.85546875" style="257" bestFit="1" customWidth="1"/>
    <col min="59" max="59" width="14.85546875" style="257" bestFit="1" customWidth="1"/>
    <col min="60" max="60" width="17.5703125" style="257" bestFit="1" customWidth="1"/>
    <col min="61" max="61" width="14.85546875" style="257" bestFit="1" customWidth="1"/>
    <col min="62" max="62" width="19.28515625" style="257" bestFit="1" customWidth="1"/>
    <col min="63" max="63" width="18" style="257" bestFit="1" customWidth="1"/>
    <col min="64" max="64" width="17.5703125" style="257" bestFit="1" customWidth="1"/>
    <col min="65" max="65" width="20.28515625" style="257" bestFit="1" customWidth="1"/>
    <col min="66" max="66" width="23.28515625" style="257" bestFit="1" customWidth="1"/>
    <col min="67" max="67" width="19.85546875" style="257" bestFit="1" customWidth="1"/>
    <col min="68" max="68" width="5.85546875" style="257" customWidth="1"/>
    <col min="69" max="69" width="16.85546875" style="257" bestFit="1" customWidth="1"/>
    <col min="70" max="70" width="18.140625" style="257" bestFit="1" customWidth="1"/>
    <col min="71" max="71" width="20" style="257" bestFit="1" customWidth="1"/>
    <col min="72" max="72" width="17.7109375" style="257" bestFit="1" customWidth="1"/>
    <col min="73" max="73" width="17.28515625" style="257" bestFit="1" customWidth="1"/>
    <col min="74" max="74" width="14.5703125" style="257" bestFit="1" customWidth="1"/>
    <col min="75" max="76" width="19.7109375" style="257" bestFit="1" customWidth="1"/>
    <col min="77" max="77" width="15" style="257" bestFit="1" customWidth="1"/>
    <col min="78" max="78" width="21.28515625" style="257" bestFit="1" customWidth="1"/>
    <col min="79" max="79" width="11.85546875" style="257" bestFit="1" customWidth="1"/>
    <col min="80" max="80" width="10" style="257" customWidth="1"/>
    <col min="81" max="81" width="16.28515625" style="257" bestFit="1" customWidth="1"/>
    <col min="82" max="82" width="13.42578125" style="257" bestFit="1" customWidth="1"/>
    <col min="83" max="83" width="15.85546875" style="257" bestFit="1" customWidth="1"/>
    <col min="84" max="84" width="19.28515625" style="257" bestFit="1" customWidth="1"/>
    <col min="85" max="85" width="10.7109375" style="257" customWidth="1"/>
    <col min="86" max="86" width="18.28515625" style="257" bestFit="1" customWidth="1"/>
    <col min="87" max="88" width="14.5703125" style="257" bestFit="1" customWidth="1"/>
    <col min="89" max="89" width="19" style="257" bestFit="1" customWidth="1"/>
    <col min="90" max="90" width="18.28515625" style="257" bestFit="1" customWidth="1"/>
    <col min="91" max="91" width="15.7109375" style="257" bestFit="1" customWidth="1"/>
    <col min="92" max="92" width="16.5703125" style="257" bestFit="1" customWidth="1"/>
    <col min="93" max="93" width="18.140625" style="257" bestFit="1" customWidth="1"/>
    <col min="94" max="94" width="5.7109375" style="257" customWidth="1"/>
    <col min="95" max="95" width="18.5703125" style="257" bestFit="1" customWidth="1"/>
    <col min="96" max="96" width="12.140625" style="257" bestFit="1" customWidth="1"/>
    <col min="97" max="97" width="17.5703125" style="257" bestFit="1" customWidth="1"/>
    <col min="98" max="98" width="16.7109375" style="257" bestFit="1" customWidth="1"/>
    <col min="99" max="99" width="18.140625" style="257" bestFit="1" customWidth="1"/>
    <col min="100" max="100" width="17.28515625" style="257" bestFit="1" customWidth="1"/>
    <col min="101" max="101" width="18.42578125" style="257" bestFit="1" customWidth="1"/>
    <col min="102" max="102" width="25.85546875" style="257" bestFit="1" customWidth="1"/>
    <col min="103" max="103" width="28.42578125" style="257" bestFit="1" customWidth="1"/>
    <col min="104" max="104" width="25.5703125" style="257" bestFit="1" customWidth="1"/>
    <col min="105" max="105" width="30" style="257" bestFit="1" customWidth="1"/>
    <col min="106" max="106" width="22.42578125" style="257" bestFit="1" customWidth="1"/>
    <col min="107" max="107" width="32.42578125" style="257" bestFit="1" customWidth="1"/>
    <col min="108" max="108" width="29.42578125" style="257" bestFit="1" customWidth="1"/>
    <col min="109" max="109" width="27.7109375" style="257" bestFit="1" customWidth="1"/>
    <col min="110" max="110" width="16.5703125" style="257" bestFit="1" customWidth="1"/>
    <col min="111" max="16384" width="11.42578125" style="257"/>
  </cols>
  <sheetData>
    <row r="2" spans="3:10" ht="32.25" customHeight="1" x14ac:dyDescent="0.2"/>
    <row r="3" spans="3:10" ht="36" customHeight="1" x14ac:dyDescent="0.2">
      <c r="C3" s="317" t="s">
        <v>35</v>
      </c>
      <c r="D3" s="317"/>
      <c r="E3" s="317"/>
      <c r="F3" s="317"/>
      <c r="G3" s="317"/>
      <c r="H3" s="317"/>
      <c r="I3" s="317"/>
      <c r="J3" s="317"/>
    </row>
    <row r="4" spans="3:10" ht="39.75" customHeight="1" x14ac:dyDescent="0.2">
      <c r="C4" s="110"/>
      <c r="D4" s="110">
        <v>2009</v>
      </c>
      <c r="E4" s="110">
        <v>2010</v>
      </c>
      <c r="F4" s="110">
        <v>2011</v>
      </c>
      <c r="G4" s="110">
        <v>2012</v>
      </c>
      <c r="H4" s="112" t="s">
        <v>455</v>
      </c>
      <c r="I4" s="112" t="s">
        <v>456</v>
      </c>
      <c r="J4" s="112" t="s">
        <v>103</v>
      </c>
    </row>
    <row r="5" spans="3:10" ht="15" customHeight="1" x14ac:dyDescent="0.2">
      <c r="C5" s="258" t="s">
        <v>100</v>
      </c>
      <c r="D5" s="259">
        <v>8.8709677419354858</v>
      </c>
      <c r="E5" s="259">
        <v>8.9253731343283587</v>
      </c>
      <c r="F5" s="259">
        <v>8.8559999999999999</v>
      </c>
      <c r="G5" s="259">
        <v>8.9597315436241658</v>
      </c>
      <c r="H5" s="178">
        <f t="shared" ref="H5:J21" si="0">E5-D5</f>
        <v>5.4405392392872898E-2</v>
      </c>
      <c r="I5" s="178">
        <f t="shared" si="0"/>
        <v>-6.9373134328358788E-2</v>
      </c>
      <c r="J5" s="178">
        <f t="shared" si="0"/>
        <v>0.10373154362416592</v>
      </c>
    </row>
    <row r="6" spans="3:10" ht="15" customHeight="1" x14ac:dyDescent="0.2">
      <c r="C6" s="258" t="s">
        <v>87</v>
      </c>
      <c r="D6" s="259">
        <v>8.5345433255269256</v>
      </c>
      <c r="E6" s="259">
        <v>8.5365429234338901</v>
      </c>
      <c r="F6" s="259">
        <v>8.6790914385556341</v>
      </c>
      <c r="G6" s="259">
        <v>8.7240044247787569</v>
      </c>
      <c r="H6" s="178">
        <f t="shared" si="0"/>
        <v>1.9995979069644676E-3</v>
      </c>
      <c r="I6" s="178">
        <f t="shared" si="0"/>
        <v>0.14254851512174405</v>
      </c>
      <c r="J6" s="178">
        <f t="shared" si="0"/>
        <v>4.4912986223122786E-2</v>
      </c>
    </row>
    <row r="7" spans="3:10" ht="15" customHeight="1" x14ac:dyDescent="0.2">
      <c r="C7" s="258" t="s">
        <v>457</v>
      </c>
      <c r="D7" s="259">
        <v>8.3571428571428523</v>
      </c>
      <c r="E7" s="259">
        <v>8.4745762711864412</v>
      </c>
      <c r="F7" s="259">
        <v>8.4363636363636392</v>
      </c>
      <c r="G7" s="259">
        <v>8.6428571428571406</v>
      </c>
      <c r="H7" s="178">
        <f t="shared" si="0"/>
        <v>0.11743341404358887</v>
      </c>
      <c r="I7" s="178">
        <f t="shared" si="0"/>
        <v>-3.8212634822802016E-2</v>
      </c>
      <c r="J7" s="178">
        <f t="shared" si="0"/>
        <v>0.2064935064935014</v>
      </c>
    </row>
    <row r="8" spans="3:10" ht="15" customHeight="1" x14ac:dyDescent="0.2">
      <c r="C8" s="258" t="s">
        <v>86</v>
      </c>
      <c r="D8" s="259">
        <v>8.5573770491803316</v>
      </c>
      <c r="E8" s="259">
        <v>8.4758064516128986</v>
      </c>
      <c r="F8" s="259">
        <v>8.4711538461538378</v>
      </c>
      <c r="G8" s="259">
        <v>8.6266666666666687</v>
      </c>
      <c r="H8" s="178">
        <f t="shared" si="0"/>
        <v>-8.1570597567433012E-2</v>
      </c>
      <c r="I8" s="178">
        <f t="shared" si="0"/>
        <v>-4.6526054590607657E-3</v>
      </c>
      <c r="J8" s="178">
        <f t="shared" si="0"/>
        <v>0.15551282051283088</v>
      </c>
    </row>
    <row r="9" spans="3:10" ht="15" customHeight="1" x14ac:dyDescent="0.2">
      <c r="C9" s="258" t="s">
        <v>170</v>
      </c>
      <c r="D9" s="259">
        <v>8.6666666666666714</v>
      </c>
      <c r="E9" s="259">
        <v>8.5228758169934604</v>
      </c>
      <c r="F9" s="259">
        <v>8.3542857142857123</v>
      </c>
      <c r="G9" s="259">
        <v>8.5836909871244647</v>
      </c>
      <c r="H9" s="178">
        <f t="shared" si="0"/>
        <v>-0.14379084967321099</v>
      </c>
      <c r="I9" s="178">
        <f t="shared" si="0"/>
        <v>-0.1685901027077481</v>
      </c>
      <c r="J9" s="178">
        <f t="shared" si="0"/>
        <v>0.22940527283875234</v>
      </c>
    </row>
    <row r="10" spans="3:10" ht="15" customHeight="1" x14ac:dyDescent="0.2">
      <c r="C10" s="258" t="s">
        <v>85</v>
      </c>
      <c r="D10" s="259">
        <v>8.5288461538461462</v>
      </c>
      <c r="E10" s="259">
        <v>8.3066666666666649</v>
      </c>
      <c r="F10" s="259">
        <v>8.4770642201834914</v>
      </c>
      <c r="G10" s="259">
        <v>8.5765765765765742</v>
      </c>
      <c r="H10" s="178">
        <f t="shared" si="0"/>
        <v>-0.22217948717948133</v>
      </c>
      <c r="I10" s="178">
        <f t="shared" si="0"/>
        <v>0.17039755351682651</v>
      </c>
      <c r="J10" s="178">
        <f t="shared" si="0"/>
        <v>9.9512356393082868E-2</v>
      </c>
    </row>
    <row r="11" spans="3:10" ht="15" customHeight="1" x14ac:dyDescent="0.2">
      <c r="C11" s="260" t="s">
        <v>90</v>
      </c>
      <c r="D11" s="261">
        <v>8.3783273946761927</v>
      </c>
      <c r="E11" s="261">
        <v>8.3686890114552561</v>
      </c>
      <c r="F11" s="261">
        <v>8.4206856478791519</v>
      </c>
      <c r="G11" s="261">
        <v>8.4757586972612753</v>
      </c>
      <c r="H11" s="261">
        <f t="shared" si="0"/>
        <v>-9.638383220936575E-3</v>
      </c>
      <c r="I11" s="261">
        <f t="shared" si="0"/>
        <v>5.1996636423895737E-2</v>
      </c>
      <c r="J11" s="261">
        <f t="shared" si="0"/>
        <v>5.5073049382123429E-2</v>
      </c>
    </row>
    <row r="12" spans="3:10" ht="15" customHeight="1" x14ac:dyDescent="0.2">
      <c r="C12" s="258" t="s">
        <v>95</v>
      </c>
      <c r="D12" s="259">
        <v>8.3000000000000007</v>
      </c>
      <c r="E12" s="259">
        <v>8.0430107526881738</v>
      </c>
      <c r="F12" s="259">
        <v>8.5178571428571423</v>
      </c>
      <c r="G12" s="259">
        <v>8.4311926605504564</v>
      </c>
      <c r="H12" s="178">
        <f t="shared" si="0"/>
        <v>-0.25698924731182693</v>
      </c>
      <c r="I12" s="178">
        <f t="shared" si="0"/>
        <v>0.47484639016896857</v>
      </c>
      <c r="J12" s="178">
        <f t="shared" si="0"/>
        <v>-8.6664482306685997E-2</v>
      </c>
    </row>
    <row r="13" spans="3:10" ht="15" customHeight="1" x14ac:dyDescent="0.2">
      <c r="C13" s="258" t="s">
        <v>84</v>
      </c>
      <c r="D13" s="259">
        <v>8.4760765550239245</v>
      </c>
      <c r="E13" s="259">
        <v>8.3195121951219644</v>
      </c>
      <c r="F13" s="259">
        <v>8.3495575221238951</v>
      </c>
      <c r="G13" s="259">
        <v>8.3861386138613927</v>
      </c>
      <c r="H13" s="178">
        <f t="shared" si="0"/>
        <v>-0.15656435990196016</v>
      </c>
      <c r="I13" s="178">
        <f t="shared" si="0"/>
        <v>3.0045327001930744E-2</v>
      </c>
      <c r="J13" s="178">
        <f t="shared" si="0"/>
        <v>3.6581091737497573E-2</v>
      </c>
    </row>
    <row r="14" spans="3:10" ht="15" customHeight="1" x14ac:dyDescent="0.2">
      <c r="C14" s="262" t="s">
        <v>93</v>
      </c>
      <c r="D14" s="263">
        <v>8.5633802816901436</v>
      </c>
      <c r="E14" s="263">
        <v>8.5</v>
      </c>
      <c r="F14" s="263">
        <v>8.3589743589743577</v>
      </c>
      <c r="G14" s="263">
        <v>8.3333333333333375</v>
      </c>
      <c r="H14" s="178">
        <f t="shared" si="0"/>
        <v>-6.3380281690143647E-2</v>
      </c>
      <c r="I14" s="178">
        <f t="shared" si="0"/>
        <v>-0.1410256410256423</v>
      </c>
      <c r="J14" s="178">
        <f t="shared" si="0"/>
        <v>-2.5641025641020221E-2</v>
      </c>
    </row>
    <row r="15" spans="3:10" ht="15" customHeight="1" x14ac:dyDescent="0.2">
      <c r="C15" s="258" t="s">
        <v>82</v>
      </c>
      <c r="D15" s="259">
        <v>8.3500000000000032</v>
      </c>
      <c r="E15" s="259">
        <v>8.2026143790849702</v>
      </c>
      <c r="F15" s="259">
        <v>8.25</v>
      </c>
      <c r="G15" s="259">
        <v>8.318435754189947</v>
      </c>
      <c r="H15" s="178">
        <f t="shared" si="0"/>
        <v>-0.14738562091503304</v>
      </c>
      <c r="I15" s="178">
        <f t="shared" si="0"/>
        <v>4.7385620915029847E-2</v>
      </c>
      <c r="J15" s="178">
        <f t="shared" si="0"/>
        <v>6.8435754189946962E-2</v>
      </c>
    </row>
    <row r="16" spans="3:10" ht="15" customHeight="1" x14ac:dyDescent="0.2">
      <c r="C16" s="258" t="s">
        <v>99</v>
      </c>
      <c r="D16" s="259">
        <v>8.1916524701874067</v>
      </c>
      <c r="E16" s="259">
        <v>8.1929982046678482</v>
      </c>
      <c r="F16" s="259">
        <v>8.221283783783786</v>
      </c>
      <c r="G16" s="259">
        <v>8.3024999999999842</v>
      </c>
      <c r="H16" s="178">
        <f t="shared" si="0"/>
        <v>1.3457344804415072E-3</v>
      </c>
      <c r="I16" s="178">
        <f t="shared" si="0"/>
        <v>2.8285579115937765E-2</v>
      </c>
      <c r="J16" s="178">
        <f t="shared" si="0"/>
        <v>8.1216216216198234E-2</v>
      </c>
    </row>
    <row r="17" spans="3:10" ht="15" customHeight="1" x14ac:dyDescent="0.2">
      <c r="C17" s="258" t="s">
        <v>88</v>
      </c>
      <c r="D17" s="259">
        <v>8.3362068965517224</v>
      </c>
      <c r="E17" s="259">
        <v>8.2195121951219576</v>
      </c>
      <c r="F17" s="259">
        <v>8.3493150684931567</v>
      </c>
      <c r="G17" s="259">
        <v>8.3006134969325149</v>
      </c>
      <c r="H17" s="178">
        <f t="shared" si="0"/>
        <v>-0.11669470142976479</v>
      </c>
      <c r="I17" s="178">
        <f t="shared" si="0"/>
        <v>0.12980287337119911</v>
      </c>
      <c r="J17" s="178">
        <f t="shared" si="0"/>
        <v>-4.870157156064181E-2</v>
      </c>
    </row>
    <row r="18" spans="3:10" ht="15" customHeight="1" x14ac:dyDescent="0.2">
      <c r="C18" s="258" t="s">
        <v>89</v>
      </c>
      <c r="D18" s="259">
        <v>8.2415316642120668</v>
      </c>
      <c r="E18" s="259">
        <v>8.3478964401294498</v>
      </c>
      <c r="F18" s="259">
        <v>8.3177083333333233</v>
      </c>
      <c r="G18" s="259">
        <v>8.2898936170212778</v>
      </c>
      <c r="H18" s="178">
        <f t="shared" si="0"/>
        <v>0.10636477591738291</v>
      </c>
      <c r="I18" s="178">
        <f t="shared" si="0"/>
        <v>-3.018810679612649E-2</v>
      </c>
      <c r="J18" s="178">
        <f t="shared" si="0"/>
        <v>-2.7814716312045462E-2</v>
      </c>
    </row>
    <row r="19" spans="3:10" ht="15" customHeight="1" x14ac:dyDescent="0.2">
      <c r="C19" s="258" t="s">
        <v>91</v>
      </c>
      <c r="D19" s="259">
        <v>8.0378787878787854</v>
      </c>
      <c r="E19" s="259">
        <v>8.0117647058823511</v>
      </c>
      <c r="F19" s="259">
        <v>8.0368098159509209</v>
      </c>
      <c r="G19" s="259">
        <v>8.222222222222225</v>
      </c>
      <c r="H19" s="178">
        <f t="shared" si="0"/>
        <v>-2.611408199643428E-2</v>
      </c>
      <c r="I19" s="178">
        <f t="shared" si="0"/>
        <v>2.5045110068569798E-2</v>
      </c>
      <c r="J19" s="178">
        <f t="shared" si="0"/>
        <v>0.18541240627130406</v>
      </c>
    </row>
    <row r="20" spans="3:10" ht="15" customHeight="1" x14ac:dyDescent="0.2">
      <c r="C20" s="262" t="s">
        <v>83</v>
      </c>
      <c r="D20" s="263">
        <v>8.4722222222222214</v>
      </c>
      <c r="E20" s="263">
        <v>8.3103448275862029</v>
      </c>
      <c r="F20" s="263">
        <v>8.223300970873785</v>
      </c>
      <c r="G20" s="263">
        <v>8.1928571428571377</v>
      </c>
      <c r="H20" s="178">
        <f t="shared" si="0"/>
        <v>-0.16187739463601858</v>
      </c>
      <c r="I20" s="178">
        <f t="shared" si="0"/>
        <v>-8.7043856712417877E-2</v>
      </c>
      <c r="J20" s="178">
        <f t="shared" si="0"/>
        <v>-3.0443828016647245E-2</v>
      </c>
    </row>
    <row r="21" spans="3:10" ht="15" customHeight="1" x14ac:dyDescent="0.2">
      <c r="C21" s="262" t="s">
        <v>92</v>
      </c>
      <c r="D21" s="263">
        <v>8.1946902654867273</v>
      </c>
      <c r="E21" s="263">
        <v>8.1487603305785115</v>
      </c>
      <c r="F21" s="263">
        <v>8.031914893617019</v>
      </c>
      <c r="G21" s="263">
        <v>8.0546448087431752</v>
      </c>
      <c r="H21" s="178">
        <f t="shared" si="0"/>
        <v>-4.5929934908215841E-2</v>
      </c>
      <c r="I21" s="178">
        <f t="shared" si="0"/>
        <v>-0.11684543696149241</v>
      </c>
      <c r="J21" s="178">
        <f t="shared" si="0"/>
        <v>2.2729915126156186E-2</v>
      </c>
    </row>
    <row r="22" spans="3:10" ht="36" customHeight="1" x14ac:dyDescent="0.2">
      <c r="C22" s="297" t="s">
        <v>458</v>
      </c>
      <c r="D22" s="297"/>
      <c r="E22" s="297"/>
      <c r="F22" s="297"/>
      <c r="G22" s="297"/>
      <c r="H22" s="297"/>
      <c r="I22" s="297"/>
      <c r="J22" s="297"/>
    </row>
    <row r="23" spans="3:10" x14ac:dyDescent="0.2">
      <c r="C23" s="264"/>
      <c r="D23" s="264"/>
      <c r="E23" s="264"/>
      <c r="F23" s="264"/>
      <c r="G23" s="264"/>
      <c r="H23" s="264"/>
      <c r="I23" s="264"/>
      <c r="J23" s="264"/>
    </row>
    <row r="24" spans="3:10" x14ac:dyDescent="0.2">
      <c r="C24" s="264"/>
      <c r="D24" s="264"/>
      <c r="E24" s="264"/>
      <c r="F24" s="264"/>
      <c r="G24" s="264"/>
      <c r="H24" s="264"/>
      <c r="I24" s="264"/>
      <c r="J24" s="264"/>
    </row>
    <row r="25" spans="3:10" x14ac:dyDescent="0.2">
      <c r="C25" s="264"/>
      <c r="D25" s="264"/>
      <c r="E25" s="264"/>
      <c r="F25" s="264"/>
      <c r="G25" s="264"/>
      <c r="H25" s="264"/>
      <c r="I25" s="264"/>
      <c r="J25" s="264"/>
    </row>
    <row r="26" spans="3:10" x14ac:dyDescent="0.2">
      <c r="C26" s="264"/>
      <c r="D26" s="264"/>
      <c r="E26" s="264"/>
      <c r="F26" s="264"/>
      <c r="G26" s="264"/>
      <c r="H26" s="264"/>
      <c r="I26" s="264"/>
      <c r="J26" s="264"/>
    </row>
    <row r="27" spans="3:10" x14ac:dyDescent="0.2">
      <c r="C27" s="264"/>
      <c r="D27" s="264"/>
      <c r="E27" s="264"/>
      <c r="F27" s="264"/>
      <c r="G27" s="264"/>
      <c r="H27" s="264"/>
      <c r="I27" s="264"/>
      <c r="J27" s="264"/>
    </row>
    <row r="28" spans="3:10" x14ac:dyDescent="0.2">
      <c r="C28" s="264"/>
      <c r="D28" s="264"/>
      <c r="E28" s="264"/>
      <c r="F28" s="264"/>
      <c r="G28" s="264"/>
      <c r="H28" s="264"/>
      <c r="I28" s="264"/>
      <c r="J28" s="264"/>
    </row>
    <row r="29" spans="3:10" x14ac:dyDescent="0.2">
      <c r="C29" s="264"/>
      <c r="D29" s="264"/>
      <c r="E29" s="264"/>
      <c r="F29" s="264"/>
      <c r="G29" s="264"/>
      <c r="H29" s="264"/>
      <c r="I29" s="264"/>
      <c r="J29" s="264"/>
    </row>
    <row r="30" spans="3:10" x14ac:dyDescent="0.2">
      <c r="C30" s="264"/>
      <c r="D30" s="264"/>
      <c r="E30" s="264"/>
      <c r="F30" s="264"/>
      <c r="G30" s="264"/>
      <c r="H30" s="264"/>
      <c r="I30" s="264"/>
      <c r="J30" s="264"/>
    </row>
    <row r="32" spans="3:10" x14ac:dyDescent="0.2">
      <c r="C32" s="264"/>
      <c r="D32" s="264"/>
      <c r="E32" s="264"/>
      <c r="F32" s="264"/>
      <c r="G32" s="264"/>
      <c r="H32" s="264"/>
      <c r="I32" s="264"/>
      <c r="J32" s="264"/>
    </row>
  </sheetData>
  <mergeCells count="2">
    <mergeCell ref="C3:J3"/>
    <mergeCell ref="C22:J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N51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3" max="3" width="61.42578125" bestFit="1" customWidth="1"/>
    <col min="4" max="9" width="7.7109375" customWidth="1"/>
    <col min="10" max="13" width="7.7109375" hidden="1" customWidth="1"/>
    <col min="14" max="14" width="7.7109375" customWidth="1"/>
  </cols>
  <sheetData>
    <row r="2" spans="3:14" ht="37.5" customHeight="1" x14ac:dyDescent="0.2"/>
    <row r="3" spans="3:14" ht="36" customHeight="1" x14ac:dyDescent="0.2">
      <c r="C3" s="318" t="s">
        <v>459</v>
      </c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3:14" ht="15" customHeight="1" x14ac:dyDescent="0.2">
      <c r="C4" s="306" t="s">
        <v>460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</row>
    <row r="5" spans="3:14" ht="25.5" x14ac:dyDescent="0.2">
      <c r="C5" s="10"/>
      <c r="D5" s="10">
        <v>2007</v>
      </c>
      <c r="E5" s="10">
        <v>2008</v>
      </c>
      <c r="F5" s="10">
        <v>2009</v>
      </c>
      <c r="G5" s="10">
        <v>2010</v>
      </c>
      <c r="H5" s="10">
        <v>2011</v>
      </c>
      <c r="I5" s="10">
        <v>2012</v>
      </c>
      <c r="J5" s="143" t="s">
        <v>439</v>
      </c>
      <c r="K5" s="143" t="s">
        <v>440</v>
      </c>
      <c r="L5" s="143" t="s">
        <v>441</v>
      </c>
      <c r="M5" s="143" t="s">
        <v>442</v>
      </c>
      <c r="N5" s="143" t="s">
        <v>443</v>
      </c>
    </row>
    <row r="6" spans="3:14" ht="15" customHeight="1" x14ac:dyDescent="0.2">
      <c r="C6" s="265" t="s">
        <v>461</v>
      </c>
      <c r="D6" s="266" t="s">
        <v>97</v>
      </c>
      <c r="E6" s="266" t="s">
        <v>97</v>
      </c>
      <c r="F6" s="266">
        <v>8.3783273946761927</v>
      </c>
      <c r="G6" s="266">
        <v>8.3686890114552561</v>
      </c>
      <c r="H6" s="266">
        <v>8.4206856478791519</v>
      </c>
      <c r="I6" s="266">
        <v>8.4757586972612753</v>
      </c>
      <c r="J6" s="266" t="s">
        <v>97</v>
      </c>
      <c r="K6" s="266" t="s">
        <v>97</v>
      </c>
      <c r="L6" s="266">
        <f t="shared" ref="L6:N50" si="0">G6-F6</f>
        <v>-9.638383220936575E-3</v>
      </c>
      <c r="M6" s="266">
        <f t="shared" si="0"/>
        <v>5.1996636423895737E-2</v>
      </c>
      <c r="N6" s="266">
        <f t="shared" si="0"/>
        <v>5.5073049382123429E-2</v>
      </c>
    </row>
    <row r="7" spans="3:14" ht="15" customHeight="1" x14ac:dyDescent="0.2">
      <c r="C7" s="267" t="s">
        <v>462</v>
      </c>
      <c r="D7" s="268">
        <v>7.5665030683715404</v>
      </c>
      <c r="E7" s="268">
        <v>7.5035201853666926</v>
      </c>
      <c r="F7" s="268">
        <v>7.5664973898220635</v>
      </c>
      <c r="G7" s="268">
        <v>7.6689464126072933</v>
      </c>
      <c r="H7" s="268">
        <v>7.7938775215826768</v>
      </c>
      <c r="I7" s="268">
        <v>7.8779262056022441</v>
      </c>
      <c r="J7" s="268">
        <f t="shared" ref="J7:K50" si="1">E7-D7</f>
        <v>-6.2982883004847778E-2</v>
      </c>
      <c r="K7" s="268">
        <f t="shared" si="1"/>
        <v>6.2977204455370916E-2</v>
      </c>
      <c r="L7" s="268">
        <f t="shared" si="0"/>
        <v>0.10244902278522972</v>
      </c>
      <c r="M7" s="268">
        <f t="shared" si="0"/>
        <v>0.12493110897538351</v>
      </c>
      <c r="N7" s="268">
        <f t="shared" si="0"/>
        <v>8.4048684019567332E-2</v>
      </c>
    </row>
    <row r="8" spans="3:14" ht="15" customHeight="1" x14ac:dyDescent="0.2">
      <c r="C8" s="269" t="s">
        <v>444</v>
      </c>
      <c r="D8" s="270">
        <f>AVERAGE(D12:D13)</f>
        <v>7.3923573187341756</v>
      </c>
      <c r="E8" s="270">
        <v>7.7366088631984553</v>
      </c>
      <c r="F8" s="270">
        <v>7.9475650397763724</v>
      </c>
      <c r="G8" s="270">
        <v>7.9550119533457435</v>
      </c>
      <c r="H8" s="270">
        <v>8.1164374675661737</v>
      </c>
      <c r="I8" s="270">
        <v>8.152397860775034</v>
      </c>
      <c r="J8" s="270">
        <f t="shared" si="1"/>
        <v>0.34425154446427975</v>
      </c>
      <c r="K8" s="270">
        <f t="shared" si="1"/>
        <v>0.2109561765779171</v>
      </c>
      <c r="L8" s="270">
        <f t="shared" si="0"/>
        <v>7.4469135693711053E-3</v>
      </c>
      <c r="M8" s="270">
        <f t="shared" si="0"/>
        <v>0.16142551422043017</v>
      </c>
      <c r="N8" s="270">
        <f t="shared" si="0"/>
        <v>3.5960393208860353E-2</v>
      </c>
    </row>
    <row r="9" spans="3:14" ht="15" customHeight="1" x14ac:dyDescent="0.2">
      <c r="C9" s="271" t="s">
        <v>463</v>
      </c>
      <c r="D9" s="272">
        <v>8.5549884437596493</v>
      </c>
      <c r="E9" s="272">
        <v>8.3708250071367409</v>
      </c>
      <c r="F9" s="272">
        <v>8.5504609412906714</v>
      </c>
      <c r="G9" s="272">
        <v>8.6057092857924253</v>
      </c>
      <c r="H9" s="272">
        <v>8.6501409546028842</v>
      </c>
      <c r="I9" s="272">
        <v>8.6456940621313532</v>
      </c>
      <c r="J9" s="272">
        <f t="shared" si="1"/>
        <v>-0.18416343662290835</v>
      </c>
      <c r="K9" s="272">
        <f t="shared" si="1"/>
        <v>0.17963593415393042</v>
      </c>
      <c r="L9" s="272">
        <f t="shared" si="0"/>
        <v>5.5248344501753976E-2</v>
      </c>
      <c r="M9" s="272">
        <f t="shared" si="0"/>
        <v>4.4431668810458902E-2</v>
      </c>
      <c r="N9" s="272">
        <f t="shared" si="0"/>
        <v>-4.446892471531072E-3</v>
      </c>
    </row>
    <row r="10" spans="3:14" ht="15" customHeight="1" x14ac:dyDescent="0.2">
      <c r="C10" s="271" t="s">
        <v>464</v>
      </c>
      <c r="D10" s="272">
        <v>7.3137311703360401</v>
      </c>
      <c r="E10" s="272">
        <v>7.2238596491227991</v>
      </c>
      <c r="F10" s="272">
        <v>7.2656091798852502</v>
      </c>
      <c r="G10" s="272">
        <v>7.3356895773800632</v>
      </c>
      <c r="H10" s="272">
        <v>7.5930378862015999</v>
      </c>
      <c r="I10" s="272">
        <v>7.6837860780984766</v>
      </c>
      <c r="J10" s="272">
        <f t="shared" si="1"/>
        <v>-8.9871521213241046E-2</v>
      </c>
      <c r="K10" s="272">
        <f t="shared" si="1"/>
        <v>4.1749530762451137E-2</v>
      </c>
      <c r="L10" s="272">
        <f t="shared" si="0"/>
        <v>7.0080397494812985E-2</v>
      </c>
      <c r="M10" s="272">
        <f t="shared" si="0"/>
        <v>0.2573483088215367</v>
      </c>
      <c r="N10" s="272">
        <f t="shared" si="0"/>
        <v>9.0748191896876662E-2</v>
      </c>
    </row>
    <row r="11" spans="3:14" ht="15" customHeight="1" x14ac:dyDescent="0.2">
      <c r="C11" s="271" t="s">
        <v>465</v>
      </c>
      <c r="D11" s="272">
        <v>8.25172744721689</v>
      </c>
      <c r="E11" s="272">
        <v>8.0056985468704944</v>
      </c>
      <c r="F11" s="272">
        <v>8.3631636231708573</v>
      </c>
      <c r="G11" s="272">
        <v>8.2529148959354757</v>
      </c>
      <c r="H11" s="272">
        <v>8.4441105186621233</v>
      </c>
      <c r="I11" s="272">
        <v>8.4445752403374481</v>
      </c>
      <c r="J11" s="272">
        <f t="shared" si="1"/>
        <v>-0.24602890034639557</v>
      </c>
      <c r="K11" s="272">
        <f t="shared" si="1"/>
        <v>0.35746507630036284</v>
      </c>
      <c r="L11" s="272">
        <f t="shared" si="0"/>
        <v>-0.11024872723538159</v>
      </c>
      <c r="M11" s="272">
        <f t="shared" si="0"/>
        <v>0.19119562272664758</v>
      </c>
      <c r="N11" s="272">
        <f t="shared" si="0"/>
        <v>4.6472167532485287E-4</v>
      </c>
    </row>
    <row r="12" spans="3:14" ht="15" customHeight="1" x14ac:dyDescent="0.2">
      <c r="C12" s="271" t="s">
        <v>466</v>
      </c>
      <c r="D12" s="272">
        <v>7.7351667170343701</v>
      </c>
      <c r="E12" s="272">
        <v>7.749427803761586</v>
      </c>
      <c r="F12" s="272">
        <v>8.1230033957992749</v>
      </c>
      <c r="G12" s="272">
        <v>8.1939435182034792</v>
      </c>
      <c r="H12" s="272">
        <v>8.2925462731365194</v>
      </c>
      <c r="I12" s="272">
        <v>8.2840296838467182</v>
      </c>
      <c r="J12" s="272">
        <f t="shared" si="1"/>
        <v>1.4261086727215933E-2</v>
      </c>
      <c r="K12" s="272">
        <f t="shared" si="1"/>
        <v>0.37357559203768886</v>
      </c>
      <c r="L12" s="272">
        <f t="shared" si="0"/>
        <v>7.0940122404204331E-2</v>
      </c>
      <c r="M12" s="272">
        <f t="shared" si="0"/>
        <v>9.860275493304016E-2</v>
      </c>
      <c r="N12" s="272">
        <f t="shared" si="0"/>
        <v>-8.5165892898011464E-3</v>
      </c>
    </row>
    <row r="13" spans="3:14" ht="15" customHeight="1" x14ac:dyDescent="0.2">
      <c r="C13" s="271" t="s">
        <v>467</v>
      </c>
      <c r="D13" s="272">
        <v>7.0495479204339802</v>
      </c>
      <c r="E13" s="272">
        <v>7.0336549776417892</v>
      </c>
      <c r="F13" s="272">
        <v>7.1026694045174574</v>
      </c>
      <c r="G13" s="272">
        <v>7.0799999999999885</v>
      </c>
      <c r="H13" s="272">
        <v>7.3060720169451479</v>
      </c>
      <c r="I13" s="272">
        <v>7.4366096013408258</v>
      </c>
      <c r="J13" s="272">
        <f t="shared" si="1"/>
        <v>-1.5892942792191E-2</v>
      </c>
      <c r="K13" s="272">
        <f t="shared" si="1"/>
        <v>6.9014426875668278E-2</v>
      </c>
      <c r="L13" s="272">
        <f t="shared" si="0"/>
        <v>-2.2669404517468905E-2</v>
      </c>
      <c r="M13" s="272">
        <f t="shared" si="0"/>
        <v>0.22607201694515933</v>
      </c>
      <c r="N13" s="272">
        <f t="shared" si="0"/>
        <v>0.13053758439567797</v>
      </c>
    </row>
    <row r="14" spans="3:14" ht="15" customHeight="1" x14ac:dyDescent="0.2">
      <c r="C14" s="273" t="s">
        <v>445</v>
      </c>
      <c r="D14" s="274">
        <v>7.8235911945641003</v>
      </c>
      <c r="E14" s="274">
        <v>7.7623530898521098</v>
      </c>
      <c r="F14" s="274">
        <v>7.8492257120111075</v>
      </c>
      <c r="G14" s="274">
        <v>7.9237974802116993</v>
      </c>
      <c r="H14" s="274">
        <v>7.924519159872772</v>
      </c>
      <c r="I14" s="274">
        <v>8.0278685373822967</v>
      </c>
      <c r="J14" s="274">
        <f t="shared" si="1"/>
        <v>-6.1238104711990538E-2</v>
      </c>
      <c r="K14" s="274">
        <f t="shared" si="1"/>
        <v>8.6872622158997714E-2</v>
      </c>
      <c r="L14" s="274">
        <f t="shared" si="0"/>
        <v>7.4571768200591748E-2</v>
      </c>
      <c r="M14" s="274">
        <f t="shared" si="0"/>
        <v>7.2167966107272719E-4</v>
      </c>
      <c r="N14" s="274">
        <f t="shared" si="0"/>
        <v>0.10334937750952466</v>
      </c>
    </row>
    <row r="15" spans="3:14" ht="15" customHeight="1" x14ac:dyDescent="0.2">
      <c r="C15" s="271" t="s">
        <v>468</v>
      </c>
      <c r="D15" s="272">
        <v>8.1313800600476398</v>
      </c>
      <c r="E15" s="272">
        <v>8.1394923857867916</v>
      </c>
      <c r="F15" s="272">
        <v>8.2156644394951623</v>
      </c>
      <c r="G15" s="272">
        <v>8.2641896512422814</v>
      </c>
      <c r="H15" s="272">
        <v>8.2688972763439814</v>
      </c>
      <c r="I15" s="272">
        <v>8.3861713106295195</v>
      </c>
      <c r="J15" s="272">
        <f t="shared" si="1"/>
        <v>8.1123257391517711E-3</v>
      </c>
      <c r="K15" s="272">
        <f t="shared" si="1"/>
        <v>7.6172053708370768E-2</v>
      </c>
      <c r="L15" s="272">
        <f t="shared" si="0"/>
        <v>4.8525211747119101E-2</v>
      </c>
      <c r="M15" s="272">
        <f t="shared" si="0"/>
        <v>4.7076251016999748E-3</v>
      </c>
      <c r="N15" s="272">
        <f t="shared" si="0"/>
        <v>0.11727403428553806</v>
      </c>
    </row>
    <row r="16" spans="3:14" ht="15" customHeight="1" x14ac:dyDescent="0.2">
      <c r="C16" s="271" t="s">
        <v>469</v>
      </c>
      <c r="D16" s="272">
        <v>7.9594461901021196</v>
      </c>
      <c r="E16" s="272">
        <v>7.8729867875397757</v>
      </c>
      <c r="F16" s="272">
        <v>7.9511992400854892</v>
      </c>
      <c r="G16" s="272">
        <v>8.0225563909774333</v>
      </c>
      <c r="H16" s="272">
        <v>7.9917266887288037</v>
      </c>
      <c r="I16" s="272">
        <v>8.084828871236633</v>
      </c>
      <c r="J16" s="272">
        <f t="shared" si="1"/>
        <v>-8.6459402562343968E-2</v>
      </c>
      <c r="K16" s="272">
        <f t="shared" si="1"/>
        <v>7.8212452545713518E-2</v>
      </c>
      <c r="L16" s="272">
        <f t="shared" si="0"/>
        <v>7.1357150891944165E-2</v>
      </c>
      <c r="M16" s="272">
        <f t="shared" si="0"/>
        <v>-3.0829702248629687E-2</v>
      </c>
      <c r="N16" s="272">
        <f t="shared" si="0"/>
        <v>9.3102182507829312E-2</v>
      </c>
    </row>
    <row r="17" spans="3:14" ht="15" customHeight="1" x14ac:dyDescent="0.2">
      <c r="C17" s="271" t="s">
        <v>470</v>
      </c>
      <c r="D17" s="272">
        <v>7.8923027166882198</v>
      </c>
      <c r="E17" s="272">
        <v>7.8009189997862789</v>
      </c>
      <c r="F17" s="272">
        <v>7.9081364829396694</v>
      </c>
      <c r="G17" s="272">
        <v>7.952477854919799</v>
      </c>
      <c r="H17" s="272">
        <v>7.9348997628799411</v>
      </c>
      <c r="I17" s="272">
        <v>8.0526027397260229</v>
      </c>
      <c r="J17" s="272">
        <f t="shared" si="1"/>
        <v>-9.1383716901940915E-2</v>
      </c>
      <c r="K17" s="272">
        <f t="shared" si="1"/>
        <v>0.10721748315339052</v>
      </c>
      <c r="L17" s="272">
        <f t="shared" si="0"/>
        <v>4.4341371980129551E-2</v>
      </c>
      <c r="M17" s="272">
        <f t="shared" si="0"/>
        <v>-1.7578092039857829E-2</v>
      </c>
      <c r="N17" s="272">
        <f t="shared" si="0"/>
        <v>0.11770297684608177</v>
      </c>
    </row>
    <row r="18" spans="3:14" ht="15" customHeight="1" x14ac:dyDescent="0.2">
      <c r="C18" s="271" t="s">
        <v>471</v>
      </c>
      <c r="D18" s="272">
        <v>7.8923027166882198</v>
      </c>
      <c r="E18" s="272">
        <v>7.8009189997862789</v>
      </c>
      <c r="F18" s="272">
        <v>7.9081364829396694</v>
      </c>
      <c r="G18" s="272">
        <v>7.952477854919799</v>
      </c>
      <c r="H18" s="272">
        <v>7.9348997628799411</v>
      </c>
      <c r="I18" s="272">
        <v>8.0526027397260229</v>
      </c>
      <c r="J18" s="272">
        <f t="shared" si="1"/>
        <v>-9.1383716901940915E-2</v>
      </c>
      <c r="K18" s="272">
        <f t="shared" si="1"/>
        <v>0.10721748315339052</v>
      </c>
      <c r="L18" s="272">
        <f t="shared" si="0"/>
        <v>4.4341371980129551E-2</v>
      </c>
      <c r="M18" s="272">
        <f t="shared" si="0"/>
        <v>-1.7578092039857829E-2</v>
      </c>
      <c r="N18" s="272">
        <f t="shared" si="0"/>
        <v>0.11770297684608177</v>
      </c>
    </row>
    <row r="19" spans="3:14" ht="15" customHeight="1" x14ac:dyDescent="0.2">
      <c r="C19" s="271" t="s">
        <v>472</v>
      </c>
      <c r="D19" s="272">
        <v>7.4655917747400604</v>
      </c>
      <c r="E19" s="272">
        <v>7.4358738199401655</v>
      </c>
      <c r="F19" s="272">
        <v>7.4766277128547509</v>
      </c>
      <c r="G19" s="272">
        <v>7.5926157697121237</v>
      </c>
      <c r="H19" s="272">
        <v>7.6052811290689819</v>
      </c>
      <c r="I19" s="272">
        <v>7.6421647819062901</v>
      </c>
      <c r="J19" s="272">
        <f t="shared" si="1"/>
        <v>-2.9717954799894919E-2</v>
      </c>
      <c r="K19" s="272">
        <f t="shared" si="1"/>
        <v>4.0753892914585421E-2</v>
      </c>
      <c r="L19" s="272">
        <f t="shared" si="0"/>
        <v>0.11598805685737279</v>
      </c>
      <c r="M19" s="272">
        <f t="shared" si="0"/>
        <v>1.2665359356858197E-2</v>
      </c>
      <c r="N19" s="272">
        <f t="shared" si="0"/>
        <v>3.6883652837308212E-2</v>
      </c>
    </row>
    <row r="20" spans="3:14" ht="15" customHeight="1" x14ac:dyDescent="0.2">
      <c r="C20" s="269" t="s">
        <v>446</v>
      </c>
      <c r="D20" s="270">
        <v>7.6219251336898299</v>
      </c>
      <c r="E20" s="270">
        <v>7.6936397105497001</v>
      </c>
      <c r="F20" s="270">
        <v>7.6913684871311929</v>
      </c>
      <c r="G20" s="270">
        <v>7.7586469130238624</v>
      </c>
      <c r="H20" s="270">
        <v>7.9175771910430219</v>
      </c>
      <c r="I20" s="270">
        <v>7.9702492128715452</v>
      </c>
      <c r="J20" s="270">
        <f t="shared" si="1"/>
        <v>7.1714576859870149E-2</v>
      </c>
      <c r="K20" s="270">
        <f t="shared" si="1"/>
        <v>-2.2712234185071623E-3</v>
      </c>
      <c r="L20" s="270">
        <f t="shared" si="0"/>
        <v>6.7278425892669524E-2</v>
      </c>
      <c r="M20" s="270">
        <f t="shared" si="0"/>
        <v>0.15893027801915949</v>
      </c>
      <c r="N20" s="270">
        <f t="shared" si="0"/>
        <v>5.2672021828523263E-2</v>
      </c>
    </row>
    <row r="21" spans="3:14" ht="15" customHeight="1" x14ac:dyDescent="0.2">
      <c r="C21" s="271" t="s">
        <v>473</v>
      </c>
      <c r="D21" s="272">
        <v>8.1364356194420306</v>
      </c>
      <c r="E21" s="272">
        <v>8.1248628216071452</v>
      </c>
      <c r="F21" s="272">
        <v>8.2227867590454284</v>
      </c>
      <c r="G21" s="272">
        <v>8.2679938744257502</v>
      </c>
      <c r="H21" s="272">
        <v>8.3149500852203744</v>
      </c>
      <c r="I21" s="272">
        <v>8.3398783886495558</v>
      </c>
      <c r="J21" s="272">
        <f t="shared" si="1"/>
        <v>-1.1572797834885407E-2</v>
      </c>
      <c r="K21" s="272">
        <f t="shared" si="1"/>
        <v>9.7923937438283204E-2</v>
      </c>
      <c r="L21" s="272">
        <f t="shared" si="0"/>
        <v>4.5207115380321738E-2</v>
      </c>
      <c r="M21" s="272">
        <f t="shared" si="0"/>
        <v>4.6956210794624198E-2</v>
      </c>
      <c r="N21" s="272">
        <f t="shared" si="0"/>
        <v>2.4928303429181398E-2</v>
      </c>
    </row>
    <row r="22" spans="3:14" ht="15" customHeight="1" x14ac:dyDescent="0.2">
      <c r="C22" s="271" t="s">
        <v>474</v>
      </c>
      <c r="D22" s="272">
        <v>7.9412206855080898</v>
      </c>
      <c r="E22" s="272">
        <v>8.0045843520782594</v>
      </c>
      <c r="F22" s="272">
        <v>7.9390007745933238</v>
      </c>
      <c r="G22" s="272">
        <v>8.0346207376478915</v>
      </c>
      <c r="H22" s="272">
        <v>8.1687938736438941</v>
      </c>
      <c r="I22" s="272">
        <v>8.2306394466002963</v>
      </c>
      <c r="J22" s="272">
        <f t="shared" si="1"/>
        <v>6.3363666570169563E-2</v>
      </c>
      <c r="K22" s="272">
        <f t="shared" si="1"/>
        <v>-6.5583577484935596E-2</v>
      </c>
      <c r="L22" s="272">
        <f t="shared" si="0"/>
        <v>9.5619963054567769E-2</v>
      </c>
      <c r="M22" s="272">
        <f t="shared" si="0"/>
        <v>0.13417313599600256</v>
      </c>
      <c r="N22" s="272">
        <f t="shared" si="0"/>
        <v>6.184557295640225E-2</v>
      </c>
    </row>
    <row r="23" spans="3:14" ht="15" customHeight="1" x14ac:dyDescent="0.2">
      <c r="C23" s="271" t="s">
        <v>475</v>
      </c>
      <c r="D23" s="272">
        <v>7.86090310869072</v>
      </c>
      <c r="E23" s="272">
        <v>7.8657882983474607</v>
      </c>
      <c r="F23" s="272">
        <v>7.691397584421992</v>
      </c>
      <c r="G23" s="272">
        <v>7.7226852894796156</v>
      </c>
      <c r="H23" s="272">
        <v>7.9321920853712626</v>
      </c>
      <c r="I23" s="272">
        <v>8.0875648837734175</v>
      </c>
      <c r="J23" s="272">
        <f t="shared" si="1"/>
        <v>4.8851896567407849E-3</v>
      </c>
      <c r="K23" s="272">
        <f t="shared" si="1"/>
        <v>-0.17439071392546879</v>
      </c>
      <c r="L23" s="272">
        <f t="shared" si="0"/>
        <v>3.1287705057623683E-2</v>
      </c>
      <c r="M23" s="272">
        <f t="shared" si="0"/>
        <v>0.209506795891647</v>
      </c>
      <c r="N23" s="272">
        <f t="shared" si="0"/>
        <v>0.1553727984021549</v>
      </c>
    </row>
    <row r="24" spans="3:14" ht="15" customHeight="1" x14ac:dyDescent="0.2">
      <c r="C24" s="271" t="s">
        <v>476</v>
      </c>
      <c r="D24" s="272">
        <v>7.5932944606413999</v>
      </c>
      <c r="E24" s="272">
        <v>7.5286016949152614</v>
      </c>
      <c r="F24" s="272">
        <v>7.6656118143459908</v>
      </c>
      <c r="G24" s="272">
        <v>7.7544311956171459</v>
      </c>
      <c r="H24" s="272">
        <v>7.8649186856953204</v>
      </c>
      <c r="I24" s="272">
        <v>7.8763420955201831</v>
      </c>
      <c r="J24" s="272">
        <f t="shared" si="1"/>
        <v>-6.4692765726138468E-2</v>
      </c>
      <c r="K24" s="272">
        <f t="shared" si="1"/>
        <v>0.13701011943072938</v>
      </c>
      <c r="L24" s="272">
        <f t="shared" si="0"/>
        <v>8.8819381271155073E-2</v>
      </c>
      <c r="M24" s="272">
        <f t="shared" si="0"/>
        <v>0.11048749007817449</v>
      </c>
      <c r="N24" s="272">
        <f t="shared" si="0"/>
        <v>1.1423409824862674E-2</v>
      </c>
    </row>
    <row r="25" spans="3:14" ht="15" customHeight="1" x14ac:dyDescent="0.2">
      <c r="C25" s="271" t="s">
        <v>477</v>
      </c>
      <c r="D25" s="272">
        <v>7.1858536038560796</v>
      </c>
      <c r="E25" s="272">
        <v>7.3833032083144952</v>
      </c>
      <c r="F25" s="272">
        <v>7.3710268053317787</v>
      </c>
      <c r="G25" s="272">
        <v>7.4210731453813112</v>
      </c>
      <c r="H25" s="272">
        <v>7.6353974121996417</v>
      </c>
      <c r="I25" s="272">
        <v>7.7125385894087071</v>
      </c>
      <c r="J25" s="272">
        <f t="shared" si="1"/>
        <v>0.19744960445841553</v>
      </c>
      <c r="K25" s="272">
        <f t="shared" si="1"/>
        <v>-1.2276402982716483E-2</v>
      </c>
      <c r="L25" s="272">
        <f t="shared" si="0"/>
        <v>5.0046340049532567E-2</v>
      </c>
      <c r="M25" s="272">
        <f t="shared" si="0"/>
        <v>0.2143242668183305</v>
      </c>
      <c r="N25" s="272">
        <f t="shared" si="0"/>
        <v>7.7141177209065326E-2</v>
      </c>
    </row>
    <row r="26" spans="3:14" ht="15" customHeight="1" x14ac:dyDescent="0.2">
      <c r="C26" s="271" t="s">
        <v>478</v>
      </c>
      <c r="D26" s="272">
        <v>7.2102674823077804</v>
      </c>
      <c r="E26" s="272">
        <v>7.3247228119839596</v>
      </c>
      <c r="F26" s="272">
        <v>7.3097481847674999</v>
      </c>
      <c r="G26" s="272">
        <v>7.4213253340605307</v>
      </c>
      <c r="H26" s="272">
        <v>7.6383365664403531</v>
      </c>
      <c r="I26" s="272">
        <v>7.6546957916821006</v>
      </c>
      <c r="J26" s="272">
        <f t="shared" si="1"/>
        <v>0.11445532967617922</v>
      </c>
      <c r="K26" s="272">
        <f t="shared" si="1"/>
        <v>-1.4974627216459702E-2</v>
      </c>
      <c r="L26" s="272">
        <f t="shared" si="0"/>
        <v>0.11157714929303086</v>
      </c>
      <c r="M26" s="272">
        <f t="shared" si="0"/>
        <v>0.21701123237982234</v>
      </c>
      <c r="N26" s="272">
        <f t="shared" si="0"/>
        <v>1.6359225241747488E-2</v>
      </c>
    </row>
    <row r="27" spans="3:14" ht="15" customHeight="1" x14ac:dyDescent="0.2">
      <c r="C27" s="269" t="s">
        <v>448</v>
      </c>
      <c r="D27" s="270">
        <v>7.4607215174180803</v>
      </c>
      <c r="E27" s="270">
        <v>7.3402401791166048</v>
      </c>
      <c r="F27" s="270">
        <v>7.3894571602187762</v>
      </c>
      <c r="G27" s="270">
        <v>7.619546729186788</v>
      </c>
      <c r="H27" s="270">
        <v>7.7395444284834829</v>
      </c>
      <c r="I27" s="270">
        <v>7.8828439597315265</v>
      </c>
      <c r="J27" s="270">
        <f t="shared" si="1"/>
        <v>-0.12048133830147556</v>
      </c>
      <c r="K27" s="270">
        <f t="shared" si="1"/>
        <v>4.9216981102171431E-2</v>
      </c>
      <c r="L27" s="270">
        <f t="shared" si="0"/>
        <v>0.2300895689680118</v>
      </c>
      <c r="M27" s="270">
        <f t="shared" si="0"/>
        <v>0.1199976992966949</v>
      </c>
      <c r="N27" s="270">
        <f t="shared" si="0"/>
        <v>0.14329953124804362</v>
      </c>
    </row>
    <row r="28" spans="3:14" ht="15" customHeight="1" x14ac:dyDescent="0.2">
      <c r="C28" s="271" t="s">
        <v>479</v>
      </c>
      <c r="D28" s="272">
        <v>8.0135181188231392</v>
      </c>
      <c r="E28" s="272">
        <v>8.0459246080284679</v>
      </c>
      <c r="F28" s="272">
        <v>8.136143548846519</v>
      </c>
      <c r="G28" s="272">
        <v>8.2214696485623122</v>
      </c>
      <c r="H28" s="272">
        <v>8.2929133858267878</v>
      </c>
      <c r="I28" s="272">
        <v>8.4002496595551595</v>
      </c>
      <c r="J28" s="272">
        <f t="shared" si="1"/>
        <v>3.2406489205328626E-2</v>
      </c>
      <c r="K28" s="272">
        <f t="shared" si="1"/>
        <v>9.0218940818051152E-2</v>
      </c>
      <c r="L28" s="272">
        <f t="shared" si="0"/>
        <v>8.5326099715793191E-2</v>
      </c>
      <c r="M28" s="272">
        <f t="shared" si="0"/>
        <v>7.1443737264475615E-2</v>
      </c>
      <c r="N28" s="272">
        <f t="shared" si="0"/>
        <v>0.10733627372837162</v>
      </c>
    </row>
    <row r="29" spans="3:14" ht="15" customHeight="1" x14ac:dyDescent="0.2">
      <c r="C29" s="271" t="s">
        <v>480</v>
      </c>
      <c r="D29" s="272">
        <v>7.1427332639611398</v>
      </c>
      <c r="E29" s="272">
        <v>7.1469331966512755</v>
      </c>
      <c r="F29" s="272">
        <v>7.1886828522271244</v>
      </c>
      <c r="G29" s="272">
        <v>7.3487462208785344</v>
      </c>
      <c r="H29" s="272">
        <v>7.4805905773059003</v>
      </c>
      <c r="I29" s="272">
        <v>7.5693179866002396</v>
      </c>
      <c r="J29" s="272">
        <f t="shared" si="1"/>
        <v>4.1999326901356326E-3</v>
      </c>
      <c r="K29" s="272">
        <f t="shared" si="1"/>
        <v>4.1749655575848976E-2</v>
      </c>
      <c r="L29" s="272">
        <f t="shared" si="0"/>
        <v>0.16006336865140991</v>
      </c>
      <c r="M29" s="272">
        <f t="shared" si="0"/>
        <v>0.13184435642736592</v>
      </c>
      <c r="N29" s="272">
        <f t="shared" si="0"/>
        <v>8.872740929433931E-2</v>
      </c>
    </row>
    <row r="30" spans="3:14" ht="15" customHeight="1" x14ac:dyDescent="0.2">
      <c r="C30" s="271" t="s">
        <v>481</v>
      </c>
      <c r="D30" s="272">
        <v>7.1457943925233698</v>
      </c>
      <c r="E30" s="272">
        <v>6.8036835065336136</v>
      </c>
      <c r="F30" s="272">
        <v>6.8300200133422306</v>
      </c>
      <c r="G30" s="272">
        <v>7.2357615894039622</v>
      </c>
      <c r="H30" s="272">
        <v>7.3840372605059663</v>
      </c>
      <c r="I30" s="272">
        <v>7.5858585858585581</v>
      </c>
      <c r="J30" s="272">
        <f t="shared" si="1"/>
        <v>-0.34211088598975614</v>
      </c>
      <c r="K30" s="272">
        <f t="shared" si="1"/>
        <v>2.6336506808616988E-2</v>
      </c>
      <c r="L30" s="272">
        <f t="shared" si="0"/>
        <v>0.40574157606173156</v>
      </c>
      <c r="M30" s="272">
        <f t="shared" si="0"/>
        <v>0.14827567110200413</v>
      </c>
      <c r="N30" s="272">
        <f t="shared" si="0"/>
        <v>0.20182132535259178</v>
      </c>
    </row>
    <row r="31" spans="3:14" ht="15" customHeight="1" x14ac:dyDescent="0.2">
      <c r="C31" s="269" t="s">
        <v>450</v>
      </c>
      <c r="D31" s="270">
        <f>AVERAGE(D35:D35)</f>
        <v>7.2148148148148499</v>
      </c>
      <c r="E31" s="270">
        <v>7.4176701922372343</v>
      </c>
      <c r="F31" s="270">
        <v>7.5932333129210159</v>
      </c>
      <c r="G31" s="270">
        <v>7.6441688727880877</v>
      </c>
      <c r="H31" s="270">
        <v>7.7145352028341971</v>
      </c>
      <c r="I31" s="270">
        <v>7.7524034831630466</v>
      </c>
      <c r="J31" s="270">
        <f t="shared" si="1"/>
        <v>0.20285537742238446</v>
      </c>
      <c r="K31" s="270">
        <f t="shared" si="1"/>
        <v>0.17556312068378155</v>
      </c>
      <c r="L31" s="270">
        <f t="shared" si="0"/>
        <v>5.0935559867071767E-2</v>
      </c>
      <c r="M31" s="270">
        <f t="shared" si="0"/>
        <v>7.0366330046109482E-2</v>
      </c>
      <c r="N31" s="270">
        <f t="shared" si="0"/>
        <v>3.786828032884948E-2</v>
      </c>
    </row>
    <row r="32" spans="3:14" ht="15" customHeight="1" x14ac:dyDescent="0.2">
      <c r="C32" s="271" t="s">
        <v>482</v>
      </c>
      <c r="D32" s="272">
        <v>7.5288367546431996</v>
      </c>
      <c r="E32" s="272">
        <v>7.5508947469693863</v>
      </c>
      <c r="F32" s="272">
        <v>7.7619682462731863</v>
      </c>
      <c r="G32" s="272">
        <v>7.8075355293599147</v>
      </c>
      <c r="H32" s="272">
        <v>7.9127365427982994</v>
      </c>
      <c r="I32" s="272">
        <v>7.8930375359017564</v>
      </c>
      <c r="J32" s="272">
        <f t="shared" si="1"/>
        <v>2.2057992326186771E-2</v>
      </c>
      <c r="K32" s="272">
        <f t="shared" si="1"/>
        <v>0.21107349930379993</v>
      </c>
      <c r="L32" s="272">
        <f t="shared" si="0"/>
        <v>4.5567283086728416E-2</v>
      </c>
      <c r="M32" s="272">
        <f t="shared" si="0"/>
        <v>0.10520101343838473</v>
      </c>
      <c r="N32" s="272">
        <f t="shared" si="0"/>
        <v>-1.9699006896543025E-2</v>
      </c>
    </row>
    <row r="33" spans="3:14" ht="15" customHeight="1" x14ac:dyDescent="0.2">
      <c r="C33" s="271" t="s">
        <v>483</v>
      </c>
      <c r="D33" s="272">
        <v>7.3401999394123001</v>
      </c>
      <c r="E33" s="272">
        <v>7.4033830845771211</v>
      </c>
      <c r="F33" s="272">
        <v>7.5660494594258791</v>
      </c>
      <c r="G33" s="272">
        <v>7.5725096001807399</v>
      </c>
      <c r="H33" s="272">
        <v>7.6965008090614964</v>
      </c>
      <c r="I33" s="272">
        <v>7.6963579182306754</v>
      </c>
      <c r="J33" s="272">
        <f t="shared" si="1"/>
        <v>6.3183145164821042E-2</v>
      </c>
      <c r="K33" s="272">
        <f t="shared" si="1"/>
        <v>0.16266637484875801</v>
      </c>
      <c r="L33" s="272">
        <f t="shared" si="0"/>
        <v>6.4601407548607881E-3</v>
      </c>
      <c r="M33" s="272">
        <f t="shared" si="0"/>
        <v>0.12399120888075643</v>
      </c>
      <c r="N33" s="272">
        <f t="shared" si="0"/>
        <v>-1.428908308209742E-4</v>
      </c>
    </row>
    <row r="34" spans="3:14" ht="15" customHeight="1" x14ac:dyDescent="0.2">
      <c r="C34" s="271" t="s">
        <v>484</v>
      </c>
      <c r="D34" s="272">
        <v>7.3639752771509901</v>
      </c>
      <c r="E34" s="272">
        <v>7.446118192352249</v>
      </c>
      <c r="F34" s="272">
        <v>7.6230487804878271</v>
      </c>
      <c r="G34" s="272">
        <v>7.6668882978723634</v>
      </c>
      <c r="H34" s="272">
        <v>7.6637421135646786</v>
      </c>
      <c r="I34" s="272">
        <v>7.7767954703486373</v>
      </c>
      <c r="J34" s="272">
        <f t="shared" si="1"/>
        <v>8.2142915201258937E-2</v>
      </c>
      <c r="K34" s="272">
        <f t="shared" si="1"/>
        <v>0.17693058813557805</v>
      </c>
      <c r="L34" s="272">
        <f t="shared" si="0"/>
        <v>4.3839517384536286E-2</v>
      </c>
      <c r="M34" s="272">
        <f t="shared" si="0"/>
        <v>-3.1461843076847629E-3</v>
      </c>
      <c r="N34" s="272">
        <f t="shared" si="0"/>
        <v>0.11305335678395867</v>
      </c>
    </row>
    <row r="35" spans="3:14" ht="15" customHeight="1" x14ac:dyDescent="0.2">
      <c r="C35" s="271" t="s">
        <v>485</v>
      </c>
      <c r="D35" s="272">
        <v>7.2148148148148499</v>
      </c>
      <c r="E35" s="272">
        <v>7.2661998224677173</v>
      </c>
      <c r="F35" s="272">
        <v>7.4195050232786093</v>
      </c>
      <c r="G35" s="272">
        <v>7.5262038073908313</v>
      </c>
      <c r="H35" s="272">
        <v>7.5797380976550581</v>
      </c>
      <c r="I35" s="272">
        <v>7.6378050036034262</v>
      </c>
      <c r="J35" s="272">
        <f t="shared" si="1"/>
        <v>5.1385007652867465E-2</v>
      </c>
      <c r="K35" s="272">
        <f t="shared" si="1"/>
        <v>0.15330520081089194</v>
      </c>
      <c r="L35" s="272">
        <f t="shared" si="0"/>
        <v>0.106698784112222</v>
      </c>
      <c r="M35" s="272">
        <f t="shared" si="0"/>
        <v>5.3534290264226847E-2</v>
      </c>
      <c r="N35" s="272">
        <f t="shared" si="0"/>
        <v>5.8066905948368053E-2</v>
      </c>
    </row>
    <row r="36" spans="3:14" ht="15" customHeight="1" x14ac:dyDescent="0.2">
      <c r="C36" s="269" t="s">
        <v>449</v>
      </c>
      <c r="D36" s="270">
        <v>7.4879295732290903</v>
      </c>
      <c r="E36" s="270">
        <v>7.3597071583514335</v>
      </c>
      <c r="F36" s="270">
        <v>7.3878924544666145</v>
      </c>
      <c r="G36" s="270">
        <v>7.5395796134448334</v>
      </c>
      <c r="H36" s="270">
        <v>7.6540540540540478</v>
      </c>
      <c r="I36" s="270">
        <v>7.7717221162876324</v>
      </c>
      <c r="J36" s="270">
        <f t="shared" si="1"/>
        <v>-0.12822241487765673</v>
      </c>
      <c r="K36" s="270">
        <f t="shared" si="1"/>
        <v>2.8185296115180947E-2</v>
      </c>
      <c r="L36" s="270">
        <f t="shared" si="0"/>
        <v>0.15168715897821894</v>
      </c>
      <c r="M36" s="270">
        <f t="shared" si="0"/>
        <v>0.11447444060921441</v>
      </c>
      <c r="N36" s="270">
        <f t="shared" si="0"/>
        <v>0.11766806223358461</v>
      </c>
    </row>
    <row r="37" spans="3:14" ht="15" customHeight="1" x14ac:dyDescent="0.2">
      <c r="C37" s="271" t="s">
        <v>486</v>
      </c>
      <c r="D37" s="272">
        <v>7.8253096392030201</v>
      </c>
      <c r="E37" s="272">
        <v>7.812154108131109</v>
      </c>
      <c r="F37" s="272">
        <v>7.8688703728998668</v>
      </c>
      <c r="G37" s="272">
        <v>7.9512345679012437</v>
      </c>
      <c r="H37" s="272">
        <v>7.9934152765583688</v>
      </c>
      <c r="I37" s="272">
        <v>8.1167711598745829</v>
      </c>
      <c r="J37" s="272">
        <f t="shared" si="1"/>
        <v>-1.3155531071911142E-2</v>
      </c>
      <c r="K37" s="272">
        <f t="shared" si="1"/>
        <v>5.6716264768757796E-2</v>
      </c>
      <c r="L37" s="272">
        <f t="shared" si="0"/>
        <v>8.2364195001376928E-2</v>
      </c>
      <c r="M37" s="272">
        <f t="shared" si="0"/>
        <v>4.2180708657125088E-2</v>
      </c>
      <c r="N37" s="272">
        <f t="shared" si="0"/>
        <v>0.12335588331621405</v>
      </c>
    </row>
    <row r="38" spans="3:14" ht="15" customHeight="1" x14ac:dyDescent="0.2">
      <c r="C38" s="271" t="s">
        <v>487</v>
      </c>
      <c r="D38" s="272">
        <v>7.5259608178995601</v>
      </c>
      <c r="E38" s="272">
        <v>7.4301189464740638</v>
      </c>
      <c r="F38" s="272">
        <v>7.4592704333516346</v>
      </c>
      <c r="G38" s="272">
        <v>7.5100853854720881</v>
      </c>
      <c r="H38" s="272">
        <v>7.6158229235152159</v>
      </c>
      <c r="I38" s="272">
        <v>7.6847229994404103</v>
      </c>
      <c r="J38" s="272">
        <f t="shared" si="1"/>
        <v>-9.5841871425496272E-2</v>
      </c>
      <c r="K38" s="272">
        <f t="shared" si="1"/>
        <v>2.9151486877570854E-2</v>
      </c>
      <c r="L38" s="272">
        <f t="shared" si="0"/>
        <v>5.0814952120453505E-2</v>
      </c>
      <c r="M38" s="272">
        <f t="shared" si="0"/>
        <v>0.1057375380431278</v>
      </c>
      <c r="N38" s="272">
        <f t="shared" si="0"/>
        <v>6.8900075925194315E-2</v>
      </c>
    </row>
    <row r="39" spans="3:14" ht="15" customHeight="1" x14ac:dyDescent="0.2">
      <c r="C39" s="271" t="s">
        <v>488</v>
      </c>
      <c r="D39" s="272">
        <v>7.3292332452005997</v>
      </c>
      <c r="E39" s="272">
        <v>7.2451553720903581</v>
      </c>
      <c r="F39" s="272">
        <v>7.2520935604966752</v>
      </c>
      <c r="G39" s="272">
        <v>7.3520574787720419</v>
      </c>
      <c r="H39" s="272">
        <v>7.4951693632871708</v>
      </c>
      <c r="I39" s="272">
        <v>7.5874717160890484</v>
      </c>
      <c r="J39" s="272">
        <f t="shared" si="1"/>
        <v>-8.4077873110241619E-2</v>
      </c>
      <c r="K39" s="272">
        <f t="shared" si="1"/>
        <v>6.9381884063171029E-3</v>
      </c>
      <c r="L39" s="272">
        <f t="shared" si="0"/>
        <v>9.9963918275366659E-2</v>
      </c>
      <c r="M39" s="272">
        <f t="shared" si="0"/>
        <v>0.14311188451512891</v>
      </c>
      <c r="N39" s="272">
        <f t="shared" si="0"/>
        <v>9.2302352801877596E-2</v>
      </c>
    </row>
    <row r="40" spans="3:14" ht="15" customHeight="1" x14ac:dyDescent="0.2">
      <c r="C40" s="271" t="s">
        <v>489</v>
      </c>
      <c r="D40" s="272">
        <v>7.2601599654128801</v>
      </c>
      <c r="E40" s="272">
        <v>6.9408366320744408</v>
      </c>
      <c r="F40" s="272">
        <v>6.9622563821026615</v>
      </c>
      <c r="G40" s="272">
        <v>7.3342401384938745</v>
      </c>
      <c r="H40" s="272">
        <v>7.50193135415517</v>
      </c>
      <c r="I40" s="272">
        <v>7.6863518539389162</v>
      </c>
      <c r="J40" s="272">
        <f t="shared" si="1"/>
        <v>-0.31932333333843932</v>
      </c>
      <c r="K40" s="272">
        <f t="shared" si="1"/>
        <v>2.1419750028220719E-2</v>
      </c>
      <c r="L40" s="272">
        <f t="shared" si="0"/>
        <v>0.37198375639121295</v>
      </c>
      <c r="M40" s="272">
        <f t="shared" si="0"/>
        <v>0.16769121566129552</v>
      </c>
      <c r="N40" s="272">
        <f t="shared" si="0"/>
        <v>0.18442049978374619</v>
      </c>
    </row>
    <row r="41" spans="3:14" ht="15" customHeight="1" x14ac:dyDescent="0.2">
      <c r="C41" s="269" t="s">
        <v>451</v>
      </c>
      <c r="D41" s="270">
        <v>7.2035963216774999</v>
      </c>
      <c r="E41" s="270">
        <v>7.1208208829001522</v>
      </c>
      <c r="F41" s="270">
        <v>6.8755728105906204</v>
      </c>
      <c r="G41" s="270">
        <v>7.0421780466724275</v>
      </c>
      <c r="H41" s="270">
        <v>7.4476620760982062</v>
      </c>
      <c r="I41" s="270">
        <v>7.535161252765147</v>
      </c>
      <c r="J41" s="270">
        <f t="shared" si="1"/>
        <v>-8.277543877734761E-2</v>
      </c>
      <c r="K41" s="270">
        <f t="shared" si="1"/>
        <v>-0.24524807230953183</v>
      </c>
      <c r="L41" s="270">
        <f t="shared" si="0"/>
        <v>0.16660523608180711</v>
      </c>
      <c r="M41" s="270">
        <f t="shared" si="0"/>
        <v>0.40548402942577866</v>
      </c>
      <c r="N41" s="270">
        <f t="shared" si="0"/>
        <v>8.7499176666940848E-2</v>
      </c>
    </row>
    <row r="42" spans="3:14" ht="15" customHeight="1" x14ac:dyDescent="0.2">
      <c r="C42" s="271" t="s">
        <v>490</v>
      </c>
      <c r="D42" s="272">
        <v>7.6573616600790402</v>
      </c>
      <c r="E42" s="272">
        <v>7.5512367491166144</v>
      </c>
      <c r="F42" s="272">
        <v>7.3785505707459667</v>
      </c>
      <c r="G42" s="272">
        <v>7.5666986564299137</v>
      </c>
      <c r="H42" s="272">
        <v>7.908678903240431</v>
      </c>
      <c r="I42" s="272">
        <v>8.0109074031097744</v>
      </c>
      <c r="J42" s="272">
        <f t="shared" si="1"/>
        <v>-0.10612491096242582</v>
      </c>
      <c r="K42" s="272">
        <f t="shared" si="1"/>
        <v>-0.1726861783706477</v>
      </c>
      <c r="L42" s="272">
        <f t="shared" si="0"/>
        <v>0.18814808568394703</v>
      </c>
      <c r="M42" s="272">
        <f t="shared" si="0"/>
        <v>0.34198024681051731</v>
      </c>
      <c r="N42" s="272">
        <f t="shared" si="0"/>
        <v>0.10222849986934346</v>
      </c>
    </row>
    <row r="43" spans="3:14" ht="15" customHeight="1" x14ac:dyDescent="0.2">
      <c r="C43" s="271" t="s">
        <v>491</v>
      </c>
      <c r="D43" s="272">
        <v>7.1636129861780802</v>
      </c>
      <c r="E43" s="272">
        <v>7.0656143608789899</v>
      </c>
      <c r="F43" s="272">
        <v>6.7865243495663838</v>
      </c>
      <c r="G43" s="272">
        <v>7.0080073914382597</v>
      </c>
      <c r="H43" s="272">
        <v>7.4424260181658424</v>
      </c>
      <c r="I43" s="272">
        <v>7.532407407407403</v>
      </c>
      <c r="J43" s="272">
        <f t="shared" si="1"/>
        <v>-9.7998625299090314E-2</v>
      </c>
      <c r="K43" s="272">
        <f t="shared" si="1"/>
        <v>-0.27909001131260602</v>
      </c>
      <c r="L43" s="272">
        <f t="shared" si="0"/>
        <v>0.22148304187187584</v>
      </c>
      <c r="M43" s="272">
        <f t="shared" si="0"/>
        <v>0.43441862672758269</v>
      </c>
      <c r="N43" s="272">
        <f t="shared" si="0"/>
        <v>8.9981389241560628E-2</v>
      </c>
    </row>
    <row r="44" spans="3:14" ht="15" customHeight="1" x14ac:dyDescent="0.2">
      <c r="C44" s="271" t="s">
        <v>492</v>
      </c>
      <c r="D44" s="272">
        <v>7.1291996047430803</v>
      </c>
      <c r="E44" s="272">
        <v>7.0384709033357886</v>
      </c>
      <c r="F44" s="272">
        <v>6.7545018007202842</v>
      </c>
      <c r="G44" s="272">
        <v>6.8271103896103869</v>
      </c>
      <c r="H44" s="272">
        <v>7.314159292035403</v>
      </c>
      <c r="I44" s="272">
        <v>7.328196809948631</v>
      </c>
      <c r="J44" s="272">
        <f t="shared" si="1"/>
        <v>-9.0728701407291723E-2</v>
      </c>
      <c r="K44" s="272">
        <f t="shared" si="1"/>
        <v>-0.28396910261550445</v>
      </c>
      <c r="L44" s="272">
        <f t="shared" si="0"/>
        <v>7.2608588890102688E-2</v>
      </c>
      <c r="M44" s="272">
        <f t="shared" si="0"/>
        <v>0.48704890242501619</v>
      </c>
      <c r="N44" s="272">
        <f t="shared" si="0"/>
        <v>1.4037517913227937E-2</v>
      </c>
    </row>
    <row r="45" spans="3:14" ht="15" customHeight="1" x14ac:dyDescent="0.2">
      <c r="C45" s="271" t="s">
        <v>493</v>
      </c>
      <c r="D45" s="272">
        <v>7.0184201204392496</v>
      </c>
      <c r="E45" s="272">
        <v>6.9447270261105318</v>
      </c>
      <c r="F45" s="272">
        <v>6.6411719939117226</v>
      </c>
      <c r="G45" s="272">
        <v>6.8585099111414936</v>
      </c>
      <c r="H45" s="272">
        <v>7.2589343729694598</v>
      </c>
      <c r="I45" s="272">
        <v>7.3828912962271263</v>
      </c>
      <c r="J45" s="272">
        <f t="shared" si="1"/>
        <v>-7.3693094328717734E-2</v>
      </c>
      <c r="K45" s="272">
        <f t="shared" si="1"/>
        <v>-0.30355503219880919</v>
      </c>
      <c r="L45" s="272">
        <f t="shared" si="0"/>
        <v>0.21733791722977092</v>
      </c>
      <c r="M45" s="272">
        <f t="shared" si="0"/>
        <v>0.4004244618279662</v>
      </c>
      <c r="N45" s="272">
        <f t="shared" si="0"/>
        <v>0.1239569232576665</v>
      </c>
    </row>
    <row r="46" spans="3:14" ht="15" customHeight="1" x14ac:dyDescent="0.2">
      <c r="C46" s="271" t="s">
        <v>494</v>
      </c>
      <c r="D46" s="272">
        <v>6.9116003943476798</v>
      </c>
      <c r="E46" s="272">
        <v>6.8739469578783083</v>
      </c>
      <c r="F46" s="272">
        <v>6.6719116170070389</v>
      </c>
      <c r="G46" s="272">
        <v>6.8182640144665463</v>
      </c>
      <c r="H46" s="272">
        <v>7.1850544277728803</v>
      </c>
      <c r="I46" s="272">
        <v>7.2683676606209655</v>
      </c>
      <c r="J46" s="272">
        <f t="shared" si="1"/>
        <v>-3.7653436469371471E-2</v>
      </c>
      <c r="K46" s="272">
        <f t="shared" si="1"/>
        <v>-0.2020353408712694</v>
      </c>
      <c r="L46" s="272">
        <f t="shared" si="0"/>
        <v>0.14635239745950734</v>
      </c>
      <c r="M46" s="272">
        <f t="shared" si="0"/>
        <v>0.366790413306334</v>
      </c>
      <c r="N46" s="272">
        <f t="shared" si="0"/>
        <v>8.3313232848085228E-2</v>
      </c>
    </row>
    <row r="47" spans="3:14" ht="15" customHeight="1" x14ac:dyDescent="0.2">
      <c r="C47" s="269" t="s">
        <v>452</v>
      </c>
      <c r="D47" s="270">
        <v>7.2897735792472496</v>
      </c>
      <c r="E47" s="270">
        <v>7.09179680220638</v>
      </c>
      <c r="F47" s="270">
        <v>7.0478346456692762</v>
      </c>
      <c r="G47" s="270">
        <v>7.2786119598428476</v>
      </c>
      <c r="H47" s="270">
        <v>7.4071736453202215</v>
      </c>
      <c r="I47" s="270">
        <v>7.542665879110106</v>
      </c>
      <c r="J47" s="270">
        <f t="shared" si="1"/>
        <v>-0.19797677704086958</v>
      </c>
      <c r="K47" s="270">
        <f t="shared" si="1"/>
        <v>-4.396215653710378E-2</v>
      </c>
      <c r="L47" s="270">
        <f t="shared" si="0"/>
        <v>0.23077731417357139</v>
      </c>
      <c r="M47" s="270">
        <f t="shared" si="0"/>
        <v>0.1285616854773739</v>
      </c>
      <c r="N47" s="270">
        <f t="shared" si="0"/>
        <v>0.13549223378988451</v>
      </c>
    </row>
    <row r="48" spans="3:14" ht="15" customHeight="1" x14ac:dyDescent="0.2">
      <c r="C48" s="271" t="s">
        <v>495</v>
      </c>
      <c r="D48" s="272">
        <v>7.5027920482466</v>
      </c>
      <c r="E48" s="272">
        <v>7.3724415613466068</v>
      </c>
      <c r="F48" s="272">
        <v>7.359734513274315</v>
      </c>
      <c r="G48" s="272">
        <v>7.5178804489689668</v>
      </c>
      <c r="H48" s="272">
        <v>7.6371772805507829</v>
      </c>
      <c r="I48" s="272">
        <v>7.7234142337906055</v>
      </c>
      <c r="J48" s="272">
        <f t="shared" si="1"/>
        <v>-0.13035048689999318</v>
      </c>
      <c r="K48" s="272">
        <f t="shared" si="1"/>
        <v>-1.2707048072291727E-2</v>
      </c>
      <c r="L48" s="272">
        <f t="shared" si="0"/>
        <v>0.15814593569465174</v>
      </c>
      <c r="M48" s="272">
        <f t="shared" si="0"/>
        <v>0.11929683158181614</v>
      </c>
      <c r="N48" s="272">
        <f t="shared" si="0"/>
        <v>8.6236953239822611E-2</v>
      </c>
    </row>
    <row r="49" spans="3:14" ht="15" customHeight="1" x14ac:dyDescent="0.2">
      <c r="C49" s="271" t="s">
        <v>496</v>
      </c>
      <c r="D49" s="272">
        <v>7.3344220226291998</v>
      </c>
      <c r="E49" s="272">
        <v>7.2055079842629004</v>
      </c>
      <c r="F49" s="272">
        <v>7.1467216872994035</v>
      </c>
      <c r="G49" s="272">
        <v>7.2867019113460945</v>
      </c>
      <c r="H49" s="272">
        <v>7.4278869190224954</v>
      </c>
      <c r="I49" s="272">
        <v>7.5440236104279412</v>
      </c>
      <c r="J49" s="272">
        <f t="shared" si="1"/>
        <v>-0.12891403836629944</v>
      </c>
      <c r="K49" s="272">
        <f t="shared" si="1"/>
        <v>-5.8786296963496909E-2</v>
      </c>
      <c r="L49" s="272">
        <f t="shared" si="0"/>
        <v>0.13998022404669097</v>
      </c>
      <c r="M49" s="272">
        <f t="shared" si="0"/>
        <v>0.14118500767640096</v>
      </c>
      <c r="N49" s="272">
        <f t="shared" si="0"/>
        <v>0.1161366914054458</v>
      </c>
    </row>
    <row r="50" spans="3:14" ht="15" customHeight="1" x14ac:dyDescent="0.2">
      <c r="C50" s="271" t="s">
        <v>497</v>
      </c>
      <c r="D50" s="272">
        <v>7.0394578642474599</v>
      </c>
      <c r="E50" s="272">
        <v>6.7142084775086532</v>
      </c>
      <c r="F50" s="272">
        <v>6.6531370587394596</v>
      </c>
      <c r="G50" s="272">
        <v>7.0381145978909965</v>
      </c>
      <c r="H50" s="272">
        <v>7.1630983073646597</v>
      </c>
      <c r="I50" s="272">
        <v>7.3648958094801991</v>
      </c>
      <c r="J50" s="272">
        <f t="shared" si="1"/>
        <v>-0.32524938673880666</v>
      </c>
      <c r="K50" s="272">
        <f t="shared" si="1"/>
        <v>-6.1071418769193642E-2</v>
      </c>
      <c r="L50" s="272">
        <f t="shared" si="0"/>
        <v>0.38497753915153687</v>
      </c>
      <c r="M50" s="272">
        <f t="shared" si="0"/>
        <v>0.12498370947366322</v>
      </c>
      <c r="N50" s="272">
        <f t="shared" si="0"/>
        <v>0.20179750211553937</v>
      </c>
    </row>
    <row r="51" spans="3:14" ht="30" customHeight="1" x14ac:dyDescent="0.2">
      <c r="C51" s="319" t="s">
        <v>498</v>
      </c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</row>
  </sheetData>
  <mergeCells count="3">
    <mergeCell ref="C3:N3"/>
    <mergeCell ref="C4:N4"/>
    <mergeCell ref="C51:N5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51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2" width="11.42578125" style="244"/>
    <col min="3" max="3" width="27.7109375" style="244" customWidth="1"/>
    <col min="4" max="4" width="9.5703125" style="244" customWidth="1"/>
    <col min="5" max="5" width="9" style="244" bestFit="1" customWidth="1"/>
    <col min="6" max="6" width="10.7109375" style="244" customWidth="1"/>
    <col min="7" max="7" width="14.85546875" style="244" customWidth="1"/>
    <col min="8" max="8" width="11.42578125" style="244" customWidth="1"/>
    <col min="9" max="16384" width="11.42578125" style="244"/>
  </cols>
  <sheetData>
    <row r="1" spans="3:7" ht="30" customHeight="1" x14ac:dyDescent="0.2"/>
    <row r="2" spans="3:7" ht="30" customHeight="1" x14ac:dyDescent="0.2"/>
    <row r="3" spans="3:7" ht="36" customHeight="1" x14ac:dyDescent="0.2">
      <c r="C3" s="311" t="s">
        <v>499</v>
      </c>
      <c r="D3" s="311"/>
      <c r="E3" s="311"/>
      <c r="F3" s="311"/>
      <c r="G3"/>
    </row>
    <row r="4" spans="3:7" ht="25.5" x14ac:dyDescent="0.2">
      <c r="C4" s="275"/>
      <c r="D4" s="10">
        <v>2011</v>
      </c>
      <c r="E4" s="10">
        <v>2012</v>
      </c>
      <c r="F4" s="142" t="s">
        <v>500</v>
      </c>
    </row>
    <row r="5" spans="3:7" ht="15" customHeight="1" x14ac:dyDescent="0.2">
      <c r="C5" s="253" t="s">
        <v>445</v>
      </c>
      <c r="D5" s="254">
        <v>2.1323235685752495</v>
      </c>
      <c r="E5" s="254">
        <v>2.0952298050139269</v>
      </c>
      <c r="F5" s="276">
        <f t="shared" ref="F5:F12" si="0">E5-D5</f>
        <v>-3.7093763561322657E-2</v>
      </c>
    </row>
    <row r="6" spans="3:7" ht="15" customHeight="1" x14ac:dyDescent="0.2">
      <c r="C6" s="253" t="s">
        <v>450</v>
      </c>
      <c r="D6" s="254">
        <v>3.7551597869507245</v>
      </c>
      <c r="E6" s="254">
        <v>3.6681754874651871</v>
      </c>
      <c r="F6" s="276">
        <f t="shared" si="0"/>
        <v>-8.6984299485537431E-2</v>
      </c>
    </row>
    <row r="7" spans="3:7" ht="15" customHeight="1" x14ac:dyDescent="0.2">
      <c r="C7" s="253" t="s">
        <v>444</v>
      </c>
      <c r="D7" s="254">
        <v>3.9014647137150447</v>
      </c>
      <c r="E7" s="254">
        <v>3.8024025069637961</v>
      </c>
      <c r="F7" s="276">
        <f t="shared" si="0"/>
        <v>-9.9062206751248549E-2</v>
      </c>
    </row>
    <row r="8" spans="3:7" ht="15" customHeight="1" x14ac:dyDescent="0.2">
      <c r="C8" s="253" t="s">
        <v>449</v>
      </c>
      <c r="D8" s="254">
        <v>4.1160119840213065</v>
      </c>
      <c r="E8" s="254">
        <v>4.1173398328690798</v>
      </c>
      <c r="F8" s="276">
        <f t="shared" si="0"/>
        <v>1.3278488477732608E-3</v>
      </c>
    </row>
    <row r="9" spans="3:7" ht="15" customHeight="1" x14ac:dyDescent="0.2">
      <c r="C9" s="253" t="s">
        <v>451</v>
      </c>
      <c r="D9" s="254">
        <v>4.8328894806923897</v>
      </c>
      <c r="E9" s="254">
        <v>4.8838788300835825</v>
      </c>
      <c r="F9" s="276">
        <f t="shared" si="0"/>
        <v>5.0989349391192818E-2</v>
      </c>
    </row>
    <row r="10" spans="3:7" ht="15" customHeight="1" x14ac:dyDescent="0.2">
      <c r="C10" s="253" t="s">
        <v>446</v>
      </c>
      <c r="D10" s="254">
        <v>4.9171105193075828</v>
      </c>
      <c r="E10" s="254">
        <v>4.9072075208913546</v>
      </c>
      <c r="F10" s="276">
        <f t="shared" si="0"/>
        <v>-9.9029984162282148E-3</v>
      </c>
    </row>
    <row r="11" spans="3:7" ht="15" customHeight="1" x14ac:dyDescent="0.2">
      <c r="C11" s="253" t="s">
        <v>452</v>
      </c>
      <c r="D11" s="254">
        <v>5.9808588548601911</v>
      </c>
      <c r="E11" s="254">
        <v>6.1817548746518209</v>
      </c>
      <c r="F11" s="276">
        <f t="shared" si="0"/>
        <v>0.20089601979162985</v>
      </c>
    </row>
    <row r="12" spans="3:7" ht="15" customHeight="1" x14ac:dyDescent="0.2">
      <c r="C12" s="253" t="s">
        <v>448</v>
      </c>
      <c r="D12" s="254">
        <v>6.3641810918775077</v>
      </c>
      <c r="E12" s="254">
        <v>6.3440111420612926</v>
      </c>
      <c r="F12" s="276">
        <f t="shared" si="0"/>
        <v>-2.0169949816215116E-2</v>
      </c>
    </row>
    <row r="13" spans="3:7" ht="52.5" customHeight="1" x14ac:dyDescent="0.2">
      <c r="C13" s="288" t="s">
        <v>502</v>
      </c>
      <c r="D13" s="288"/>
      <c r="E13" s="288"/>
      <c r="F13" s="288"/>
      <c r="G13"/>
    </row>
    <row r="14" spans="3:7" x14ac:dyDescent="0.2">
      <c r="G14"/>
    </row>
    <row r="17" spans="3:7" x14ac:dyDescent="0.2">
      <c r="G17"/>
    </row>
    <row r="18" spans="3:7" x14ac:dyDescent="0.2">
      <c r="G18"/>
    </row>
    <row r="20" spans="3:7" hidden="1" x14ac:dyDescent="0.2"/>
    <row r="21" spans="3:7" hidden="1" x14ac:dyDescent="0.2"/>
    <row r="22" spans="3:7" hidden="1" x14ac:dyDescent="0.2"/>
    <row r="23" spans="3:7" hidden="1" x14ac:dyDescent="0.2"/>
    <row r="24" spans="3:7" hidden="1" x14ac:dyDescent="0.2">
      <c r="C24" s="277" t="s">
        <v>501</v>
      </c>
    </row>
    <row r="25" spans="3:7" hidden="1" x14ac:dyDescent="0.2"/>
    <row r="26" spans="3:7" ht="52.5" hidden="1" customHeight="1" x14ac:dyDescent="0.2">
      <c r="C26" s="311" t="s">
        <v>499</v>
      </c>
      <c r="D26" s="311"/>
      <c r="E26" s="311"/>
      <c r="F26" s="311"/>
    </row>
    <row r="27" spans="3:7" hidden="1" x14ac:dyDescent="0.2">
      <c r="C27" s="275"/>
      <c r="D27" s="10"/>
      <c r="E27" s="10" t="e">
        <f>#REF!</f>
        <v>#REF!</v>
      </c>
      <c r="F27" s="10"/>
    </row>
    <row r="28" spans="3:7" hidden="1" x14ac:dyDescent="0.2">
      <c r="C28" s="253" t="s">
        <v>445</v>
      </c>
      <c r="D28" s="278"/>
      <c r="E28" s="278">
        <v>2.126280808640272</v>
      </c>
      <c r="F28" s="278"/>
    </row>
    <row r="29" spans="3:7" hidden="1" x14ac:dyDescent="0.2">
      <c r="C29" s="253" t="s">
        <v>450</v>
      </c>
      <c r="D29" s="278"/>
      <c r="E29" s="278">
        <v>3.706452506230959</v>
      </c>
      <c r="F29" s="278"/>
    </row>
    <row r="30" spans="3:7" hidden="1" x14ac:dyDescent="0.2">
      <c r="C30" s="253" t="s">
        <v>449</v>
      </c>
      <c r="D30" s="278"/>
      <c r="E30" s="278">
        <v>4.2129603987815072</v>
      </c>
      <c r="F30" s="278"/>
    </row>
    <row r="31" spans="3:7" hidden="1" x14ac:dyDescent="0.2">
      <c r="C31" s="253" t="s">
        <v>448</v>
      </c>
      <c r="D31" s="278"/>
      <c r="E31" s="278">
        <v>6.3788424259207837</v>
      </c>
      <c r="F31" s="278"/>
    </row>
    <row r="32" spans="3:7" hidden="1" x14ac:dyDescent="0.2">
      <c r="C32" s="253" t="s">
        <v>446</v>
      </c>
      <c r="D32" s="278"/>
      <c r="E32" s="278">
        <v>4.8919966768208294</v>
      </c>
      <c r="F32" s="278"/>
    </row>
    <row r="33" spans="3:7" hidden="1" x14ac:dyDescent="0.2">
      <c r="C33" s="253" t="s">
        <v>452</v>
      </c>
      <c r="D33" s="278"/>
      <c r="E33" s="278">
        <v>6.0077540847410864</v>
      </c>
      <c r="F33" s="278"/>
    </row>
    <row r="34" spans="3:7" hidden="1" x14ac:dyDescent="0.2">
      <c r="C34" s="253" t="s">
        <v>451</v>
      </c>
      <c r="D34" s="278"/>
      <c r="E34" s="278">
        <v>4.7155912489614975</v>
      </c>
      <c r="F34" s="278"/>
    </row>
    <row r="35" spans="3:7" ht="40.5" hidden="1" customHeight="1" x14ac:dyDescent="0.2">
      <c r="C35" s="288" t="s">
        <v>502</v>
      </c>
      <c r="D35" s="288"/>
      <c r="E35" s="288"/>
      <c r="F35" s="288"/>
    </row>
    <row r="36" spans="3:7" x14ac:dyDescent="0.2">
      <c r="G36"/>
    </row>
    <row r="37" spans="3:7" x14ac:dyDescent="0.2">
      <c r="G37"/>
    </row>
    <row r="38" spans="3:7" x14ac:dyDescent="0.2">
      <c r="G38"/>
    </row>
    <row r="39" spans="3:7" x14ac:dyDescent="0.2">
      <c r="G39"/>
    </row>
    <row r="40" spans="3:7" x14ac:dyDescent="0.2">
      <c r="G40"/>
    </row>
    <row r="41" spans="3:7" x14ac:dyDescent="0.2">
      <c r="G41"/>
    </row>
    <row r="42" spans="3:7" x14ac:dyDescent="0.2">
      <c r="G42"/>
    </row>
    <row r="43" spans="3:7" x14ac:dyDescent="0.2">
      <c r="G43"/>
    </row>
    <row r="44" spans="3:7" x14ac:dyDescent="0.2">
      <c r="G44"/>
    </row>
    <row r="45" spans="3:7" x14ac:dyDescent="0.2">
      <c r="G45"/>
    </row>
    <row r="46" spans="3:7" x14ac:dyDescent="0.2">
      <c r="G46"/>
    </row>
    <row r="47" spans="3:7" x14ac:dyDescent="0.2">
      <c r="G47"/>
    </row>
    <row r="48" spans="3:7" x14ac:dyDescent="0.2">
      <c r="G48"/>
    </row>
    <row r="49" spans="7:7" x14ac:dyDescent="0.2">
      <c r="G49"/>
    </row>
    <row r="50" spans="7:7" x14ac:dyDescent="0.2">
      <c r="G50"/>
    </row>
    <row r="51" spans="7:7" x14ac:dyDescent="0.2">
      <c r="G51"/>
    </row>
  </sheetData>
  <mergeCells count="4">
    <mergeCell ref="C3:F3"/>
    <mergeCell ref="C13:F13"/>
    <mergeCell ref="C26:F26"/>
    <mergeCell ref="C35:F3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8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1" max="1" width="19.85546875" customWidth="1"/>
    <col min="2" max="2" width="16.7109375" customWidth="1"/>
    <col min="3" max="8" width="7.7109375" customWidth="1"/>
    <col min="9" max="12" width="8.7109375" hidden="1" customWidth="1"/>
    <col min="13" max="13" width="8.7109375" customWidth="1"/>
  </cols>
  <sheetData>
    <row r="4" spans="1:13" ht="61.5" customHeight="1" x14ac:dyDescent="0.2"/>
    <row r="5" spans="1:13" ht="18" customHeight="1" x14ac:dyDescent="0.2">
      <c r="B5" s="286" t="s">
        <v>4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</row>
    <row r="6" spans="1:13" ht="53.25" customHeight="1" x14ac:dyDescent="0.2">
      <c r="A6" s="15"/>
      <c r="B6" s="9"/>
      <c r="C6" s="10">
        <v>2007</v>
      </c>
      <c r="D6" s="10">
        <v>2008</v>
      </c>
      <c r="E6" s="10">
        <v>2009</v>
      </c>
      <c r="F6" s="10">
        <v>2010</v>
      </c>
      <c r="G6" s="10">
        <v>2011</v>
      </c>
      <c r="H6" s="10">
        <v>2012</v>
      </c>
      <c r="I6" s="11" t="s">
        <v>77</v>
      </c>
      <c r="J6" s="11" t="s">
        <v>78</v>
      </c>
      <c r="K6" s="11" t="s">
        <v>79</v>
      </c>
      <c r="L6" s="11" t="s">
        <v>80</v>
      </c>
      <c r="M6" s="11" t="s">
        <v>81</v>
      </c>
    </row>
    <row r="7" spans="1:13" ht="15" customHeight="1" x14ac:dyDescent="0.2">
      <c r="A7" s="15"/>
      <c r="B7" s="30" t="s">
        <v>82</v>
      </c>
      <c r="C7" s="13">
        <v>47.1795774647887</v>
      </c>
      <c r="D7" s="13">
        <v>51.052287581699339</v>
      </c>
      <c r="E7" s="13">
        <v>51.107594936708885</v>
      </c>
      <c r="F7" s="13">
        <v>49.88198757763972</v>
      </c>
      <c r="G7" s="13">
        <v>50.148255813953483</v>
      </c>
      <c r="H7" s="13">
        <v>53.483709273182953</v>
      </c>
      <c r="I7" s="31">
        <f t="shared" ref="I7:M22" si="0">D7-C7</f>
        <v>3.872710116910639</v>
      </c>
      <c r="J7" s="31">
        <f t="shared" si="0"/>
        <v>5.53073550095462E-2</v>
      </c>
      <c r="K7" s="31">
        <f t="shared" si="0"/>
        <v>-1.2256073590691656</v>
      </c>
      <c r="L7" s="31">
        <f t="shared" si="0"/>
        <v>0.2662682363137634</v>
      </c>
      <c r="M7" s="31">
        <f t="shared" si="0"/>
        <v>3.3354534592294698</v>
      </c>
    </row>
    <row r="8" spans="1:13" ht="15" customHeight="1" x14ac:dyDescent="0.2">
      <c r="A8" s="15"/>
      <c r="B8" s="32" t="s">
        <v>83</v>
      </c>
      <c r="C8" s="33">
        <v>47.851612903225799</v>
      </c>
      <c r="D8" s="33">
        <v>52.398104265402814</v>
      </c>
      <c r="E8" s="33">
        <v>52.614583333333336</v>
      </c>
      <c r="F8" s="33">
        <v>49.36526946107783</v>
      </c>
      <c r="G8" s="33">
        <v>48.55217391304349</v>
      </c>
      <c r="H8" s="33">
        <v>52.927966101694942</v>
      </c>
      <c r="I8" s="34">
        <f t="shared" si="0"/>
        <v>4.5464913621770151</v>
      </c>
      <c r="J8" s="34">
        <f t="shared" si="0"/>
        <v>0.2164790679305213</v>
      </c>
      <c r="K8" s="34">
        <f t="shared" si="0"/>
        <v>-3.2493138722555059</v>
      </c>
      <c r="L8" s="34">
        <f t="shared" si="0"/>
        <v>-0.81309554803434025</v>
      </c>
      <c r="M8" s="34">
        <f t="shared" si="0"/>
        <v>4.3757921886514524</v>
      </c>
    </row>
    <row r="9" spans="1:13" ht="15" customHeight="1" x14ac:dyDescent="0.2">
      <c r="A9" s="15"/>
      <c r="B9" s="35" t="s">
        <v>84</v>
      </c>
      <c r="C9" s="13">
        <v>46.514672686230199</v>
      </c>
      <c r="D9" s="13">
        <v>50.12007684918354</v>
      </c>
      <c r="E9" s="13">
        <v>50.381301558203454</v>
      </c>
      <c r="F9" s="13">
        <v>49.247120418848127</v>
      </c>
      <c r="G9" s="13">
        <v>48.753764393268376</v>
      </c>
      <c r="H9" s="13">
        <v>52.080500894454381</v>
      </c>
      <c r="I9" s="31">
        <f t="shared" si="0"/>
        <v>3.6054041629533415</v>
      </c>
      <c r="J9" s="31">
        <f t="shared" si="0"/>
        <v>0.26122470901991335</v>
      </c>
      <c r="K9" s="31">
        <f t="shared" si="0"/>
        <v>-1.1341811393553272</v>
      </c>
      <c r="L9" s="31">
        <f t="shared" si="0"/>
        <v>-0.49335602557975022</v>
      </c>
      <c r="M9" s="31">
        <f t="shared" si="0"/>
        <v>3.3267365011860051</v>
      </c>
    </row>
    <row r="10" spans="1:13" ht="15" customHeight="1" x14ac:dyDescent="0.2">
      <c r="A10" s="15"/>
      <c r="B10" s="32" t="s">
        <v>85</v>
      </c>
      <c r="C10" s="33">
        <v>46.382239382239398</v>
      </c>
      <c r="D10" s="33">
        <v>46.707224334600753</v>
      </c>
      <c r="E10" s="33">
        <v>48.703703703703688</v>
      </c>
      <c r="F10" s="33">
        <v>50.845410628019351</v>
      </c>
      <c r="G10" s="33">
        <v>48.999999999999986</v>
      </c>
      <c r="H10" s="33">
        <v>50.574660633484186</v>
      </c>
      <c r="I10" s="34">
        <f t="shared" si="0"/>
        <v>0.32498495236135483</v>
      </c>
      <c r="J10" s="34">
        <f t="shared" si="0"/>
        <v>1.9964793691029357</v>
      </c>
      <c r="K10" s="34">
        <f t="shared" si="0"/>
        <v>2.1417069243156632</v>
      </c>
      <c r="L10" s="34">
        <f t="shared" si="0"/>
        <v>-1.8454106280193656</v>
      </c>
      <c r="M10" s="34">
        <f t="shared" si="0"/>
        <v>1.5746606334841999</v>
      </c>
    </row>
    <row r="11" spans="1:13" ht="15" customHeight="1" x14ac:dyDescent="0.2">
      <c r="A11" s="15"/>
      <c r="B11" s="32" t="s">
        <v>86</v>
      </c>
      <c r="C11" s="33">
        <v>44.590425531914903</v>
      </c>
      <c r="D11" s="33">
        <v>50.624521072796959</v>
      </c>
      <c r="E11" s="33">
        <v>49.725239616613429</v>
      </c>
      <c r="F11" s="33">
        <v>47.104247104247108</v>
      </c>
      <c r="G11" s="33">
        <v>47.256880733944989</v>
      </c>
      <c r="H11" s="33">
        <v>50.450381679389302</v>
      </c>
      <c r="I11" s="34">
        <f t="shared" si="0"/>
        <v>6.0340955408820562</v>
      </c>
      <c r="J11" s="34">
        <f t="shared" si="0"/>
        <v>-0.89928145618353028</v>
      </c>
      <c r="K11" s="34">
        <f t="shared" si="0"/>
        <v>-2.6209925123663211</v>
      </c>
      <c r="L11" s="34">
        <f t="shared" si="0"/>
        <v>0.15263362969788119</v>
      </c>
      <c r="M11" s="34">
        <f t="shared" si="0"/>
        <v>3.1935009454443133</v>
      </c>
    </row>
    <row r="12" spans="1:13" ht="15" customHeight="1" x14ac:dyDescent="0.2">
      <c r="A12" s="15"/>
      <c r="B12" s="35" t="s">
        <v>87</v>
      </c>
      <c r="C12" s="13">
        <v>47.139949748743803</v>
      </c>
      <c r="D12" s="13">
        <v>48.052152317880797</v>
      </c>
      <c r="E12" s="13">
        <v>50.334354973530132</v>
      </c>
      <c r="F12" s="13">
        <v>49.404359673024537</v>
      </c>
      <c r="G12" s="13">
        <v>47.686159346271772</v>
      </c>
      <c r="H12" s="13">
        <v>50.089090909090935</v>
      </c>
      <c r="I12" s="31">
        <f t="shared" si="0"/>
        <v>0.91220256913699416</v>
      </c>
      <c r="J12" s="31">
        <f t="shared" si="0"/>
        <v>2.2822026556493356</v>
      </c>
      <c r="K12" s="31">
        <f t="shared" si="0"/>
        <v>-0.92999530050559542</v>
      </c>
      <c r="L12" s="31">
        <f t="shared" si="0"/>
        <v>-1.7182003267527648</v>
      </c>
      <c r="M12" s="31">
        <f t="shared" si="0"/>
        <v>2.4029315628191625</v>
      </c>
    </row>
    <row r="13" spans="1:13" ht="15" customHeight="1" x14ac:dyDescent="0.2">
      <c r="A13" s="15"/>
      <c r="B13" s="35" t="s">
        <v>88</v>
      </c>
      <c r="C13" s="13">
        <v>44.881632653061203</v>
      </c>
      <c r="D13" s="13">
        <v>47.742358078602642</v>
      </c>
      <c r="E13" s="13">
        <v>49.493421052631582</v>
      </c>
      <c r="F13" s="13">
        <v>50.537704918032766</v>
      </c>
      <c r="G13" s="13">
        <v>45.445141065830697</v>
      </c>
      <c r="H13" s="13">
        <v>48.814371257485057</v>
      </c>
      <c r="I13" s="31">
        <f t="shared" si="0"/>
        <v>2.8607254255414389</v>
      </c>
      <c r="J13" s="31">
        <f t="shared" si="0"/>
        <v>1.7510629740289403</v>
      </c>
      <c r="K13" s="31">
        <f t="shared" si="0"/>
        <v>1.0442838654011837</v>
      </c>
      <c r="L13" s="31">
        <f t="shared" si="0"/>
        <v>-5.0925638522020691</v>
      </c>
      <c r="M13" s="31">
        <f t="shared" si="0"/>
        <v>3.3692301916543599</v>
      </c>
    </row>
    <row r="14" spans="1:13" ht="15" customHeight="1" x14ac:dyDescent="0.2">
      <c r="A14" s="15"/>
      <c r="B14" s="35" t="s">
        <v>89</v>
      </c>
      <c r="C14" s="13">
        <v>47.302657161373901</v>
      </c>
      <c r="D14" s="13">
        <v>47.259899208063324</v>
      </c>
      <c r="E14" s="13">
        <v>49.0308404009252</v>
      </c>
      <c r="F14" s="13">
        <v>47.617164179104485</v>
      </c>
      <c r="G14" s="13">
        <v>45.94740634005764</v>
      </c>
      <c r="H14" s="13">
        <v>47.240057845263905</v>
      </c>
      <c r="I14" s="31">
        <f t="shared" si="0"/>
        <v>-4.2757953310577079E-2</v>
      </c>
      <c r="J14" s="31">
        <f t="shared" si="0"/>
        <v>1.7709411928618763</v>
      </c>
      <c r="K14" s="31">
        <f t="shared" si="0"/>
        <v>-1.4136762218207153</v>
      </c>
      <c r="L14" s="31">
        <f t="shared" si="0"/>
        <v>-1.669757839046845</v>
      </c>
      <c r="M14" s="31">
        <f t="shared" si="0"/>
        <v>1.2926515052062655</v>
      </c>
    </row>
    <row r="15" spans="1:13" ht="15" customHeight="1" x14ac:dyDescent="0.2">
      <c r="A15" s="15"/>
      <c r="B15" s="36" t="s">
        <v>90</v>
      </c>
      <c r="C15" s="17">
        <v>44.021086935684799</v>
      </c>
      <c r="D15" s="17">
        <v>44.413101860732851</v>
      </c>
      <c r="E15" s="17">
        <v>46.219978848187573</v>
      </c>
      <c r="F15" s="17">
        <v>45.647058823529434</v>
      </c>
      <c r="G15" s="17">
        <v>44.810408578295373</v>
      </c>
      <c r="H15" s="17">
        <v>47.002402513398614</v>
      </c>
      <c r="I15" s="18">
        <f t="shared" si="0"/>
        <v>0.39201492504805202</v>
      </c>
      <c r="J15" s="18">
        <f t="shared" si="0"/>
        <v>1.8068769874547215</v>
      </c>
      <c r="K15" s="18">
        <f t="shared" si="0"/>
        <v>-0.57292002465813852</v>
      </c>
      <c r="L15" s="18">
        <f t="shared" si="0"/>
        <v>-0.83665024523406117</v>
      </c>
      <c r="M15" s="18">
        <f t="shared" si="0"/>
        <v>2.1919939351032411</v>
      </c>
    </row>
    <row r="16" spans="1:13" ht="15" customHeight="1" x14ac:dyDescent="0.2">
      <c r="A16" s="15"/>
      <c r="B16" s="35" t="s">
        <v>91</v>
      </c>
      <c r="C16" s="13">
        <v>44.52</v>
      </c>
      <c r="D16" s="13">
        <v>45.735905044510417</v>
      </c>
      <c r="E16" s="13">
        <v>46.184357541899423</v>
      </c>
      <c r="F16" s="13">
        <v>45.505649717514139</v>
      </c>
      <c r="G16" s="13">
        <v>44.638121546961351</v>
      </c>
      <c r="H16" s="13">
        <v>46.910326086956537</v>
      </c>
      <c r="I16" s="31">
        <f t="shared" si="0"/>
        <v>1.2159050445104143</v>
      </c>
      <c r="J16" s="31">
        <f t="shared" si="0"/>
        <v>0.44845249738900606</v>
      </c>
      <c r="K16" s="31">
        <f t="shared" si="0"/>
        <v>-0.67870782438528465</v>
      </c>
      <c r="L16" s="31">
        <f t="shared" si="0"/>
        <v>-0.86752817055278797</v>
      </c>
      <c r="M16" s="31">
        <f t="shared" si="0"/>
        <v>2.2722045399951867</v>
      </c>
    </row>
    <row r="17" spans="1:13" ht="15" customHeight="1" x14ac:dyDescent="0.2">
      <c r="A17" s="15"/>
      <c r="B17" s="35" t="s">
        <v>92</v>
      </c>
      <c r="C17" s="13">
        <v>47.234567901234598</v>
      </c>
      <c r="D17" s="13">
        <v>45.963114754098385</v>
      </c>
      <c r="E17" s="13">
        <v>48.44534412955467</v>
      </c>
      <c r="F17" s="13">
        <v>48.378378378378365</v>
      </c>
      <c r="G17" s="13">
        <v>46.511173184357531</v>
      </c>
      <c r="H17" s="13">
        <v>46.635854341736717</v>
      </c>
      <c r="I17" s="31">
        <f t="shared" si="0"/>
        <v>-1.2714531471362136</v>
      </c>
      <c r="J17" s="31">
        <f t="shared" si="0"/>
        <v>2.482229375456285</v>
      </c>
      <c r="K17" s="31">
        <f t="shared" si="0"/>
        <v>-6.6965751176304877E-2</v>
      </c>
      <c r="L17" s="31">
        <f t="shared" si="0"/>
        <v>-1.8672051940208334</v>
      </c>
      <c r="M17" s="31">
        <f t="shared" si="0"/>
        <v>0.12468115737918595</v>
      </c>
    </row>
    <row r="18" spans="1:13" ht="15" customHeight="1" x14ac:dyDescent="0.2">
      <c r="A18" s="15"/>
      <c r="B18" s="35" t="s">
        <v>93</v>
      </c>
      <c r="C18" s="13">
        <v>44.393333333333302</v>
      </c>
      <c r="D18" s="13">
        <v>41.818791946308693</v>
      </c>
      <c r="E18" s="13">
        <v>43.013513513513509</v>
      </c>
      <c r="F18" s="13">
        <v>45.664429530201339</v>
      </c>
      <c r="G18" s="13">
        <v>44.471910112359566</v>
      </c>
      <c r="H18" s="13">
        <v>45.743169398907128</v>
      </c>
      <c r="I18" s="31">
        <f t="shared" si="0"/>
        <v>-2.5745413870246097</v>
      </c>
      <c r="J18" s="31">
        <f t="shared" si="0"/>
        <v>1.1947215672048159</v>
      </c>
      <c r="K18" s="31">
        <f t="shared" si="0"/>
        <v>2.6509160166878303</v>
      </c>
      <c r="L18" s="31">
        <f t="shared" si="0"/>
        <v>-1.1925194178417726</v>
      </c>
      <c r="M18" s="31">
        <f t="shared" si="0"/>
        <v>1.2712592865475614</v>
      </c>
    </row>
    <row r="19" spans="1:13" ht="15" customHeight="1" x14ac:dyDescent="0.2">
      <c r="A19" s="15"/>
      <c r="B19" s="35" t="s">
        <v>94</v>
      </c>
      <c r="C19" s="13">
        <v>40.803030303030297</v>
      </c>
      <c r="D19" s="13">
        <v>41.736196319018383</v>
      </c>
      <c r="E19" s="13">
        <v>45.925925925925931</v>
      </c>
      <c r="F19" s="13">
        <v>42.664473684210527</v>
      </c>
      <c r="G19" s="13">
        <v>44.48</v>
      </c>
      <c r="H19" s="13">
        <v>44.617283950617264</v>
      </c>
      <c r="I19" s="31">
        <f t="shared" si="0"/>
        <v>0.93316601598808546</v>
      </c>
      <c r="J19" s="31">
        <f t="shared" si="0"/>
        <v>4.189729606907548</v>
      </c>
      <c r="K19" s="31">
        <f t="shared" si="0"/>
        <v>-3.2614522417154035</v>
      </c>
      <c r="L19" s="31">
        <f t="shared" si="0"/>
        <v>1.8155263157894694</v>
      </c>
      <c r="M19" s="31">
        <f t="shared" si="0"/>
        <v>0.13728395061726673</v>
      </c>
    </row>
    <row r="20" spans="1:13" ht="15" customHeight="1" x14ac:dyDescent="0.2">
      <c r="A20" s="15"/>
      <c r="B20" s="35" t="s">
        <v>95</v>
      </c>
      <c r="C20" s="13">
        <v>38.985765124555201</v>
      </c>
      <c r="D20" s="13">
        <v>39.887850467289724</v>
      </c>
      <c r="E20" s="13">
        <v>43.844748858447474</v>
      </c>
      <c r="F20" s="13">
        <v>43.030042918454917</v>
      </c>
      <c r="G20" s="13">
        <v>40.846975088967945</v>
      </c>
      <c r="H20" s="13">
        <v>42.895397489539754</v>
      </c>
      <c r="I20" s="31">
        <f t="shared" si="0"/>
        <v>0.90208534273452301</v>
      </c>
      <c r="J20" s="31">
        <f t="shared" si="0"/>
        <v>3.9568983911577504</v>
      </c>
      <c r="K20" s="31">
        <f t="shared" si="0"/>
        <v>-0.81470593999255669</v>
      </c>
      <c r="L20" s="31">
        <f t="shared" si="0"/>
        <v>-2.1830678294869728</v>
      </c>
      <c r="M20" s="31">
        <f t="shared" si="0"/>
        <v>2.048422400571809</v>
      </c>
    </row>
    <row r="21" spans="1:13" ht="15" customHeight="1" x14ac:dyDescent="0.2">
      <c r="A21" s="15"/>
      <c r="B21" s="32" t="s">
        <v>96</v>
      </c>
      <c r="C21" s="33" t="s">
        <v>97</v>
      </c>
      <c r="D21" s="33">
        <v>37.223292469352003</v>
      </c>
      <c r="E21" s="33">
        <v>38.304311073541733</v>
      </c>
      <c r="F21" s="33">
        <v>38.771140092553694</v>
      </c>
      <c r="G21" s="33">
        <v>39.364899639732371</v>
      </c>
      <c r="H21" s="33">
        <v>41.964792433000547</v>
      </c>
      <c r="I21" s="34" t="s">
        <v>98</v>
      </c>
      <c r="J21" s="34">
        <f t="shared" si="0"/>
        <v>1.0810186041897296</v>
      </c>
      <c r="K21" s="34">
        <f t="shared" si="0"/>
        <v>0.46682901901196061</v>
      </c>
      <c r="L21" s="34">
        <f t="shared" si="0"/>
        <v>0.59375954717867785</v>
      </c>
      <c r="M21" s="34">
        <f t="shared" si="0"/>
        <v>2.5998927932681752</v>
      </c>
    </row>
    <row r="22" spans="1:13" ht="15" customHeight="1" x14ac:dyDescent="0.2">
      <c r="A22" s="15"/>
      <c r="B22" s="35" t="s">
        <v>99</v>
      </c>
      <c r="C22" s="13">
        <v>36.472694717994699</v>
      </c>
      <c r="D22" s="13">
        <v>36.998367346938835</v>
      </c>
      <c r="E22" s="13">
        <v>38.163830629204647</v>
      </c>
      <c r="F22" s="13">
        <v>38.608346709470226</v>
      </c>
      <c r="G22" s="13">
        <v>39.165848871442506</v>
      </c>
      <c r="H22" s="13">
        <v>41.795535261288634</v>
      </c>
      <c r="I22" s="31">
        <f>D22-C22</f>
        <v>0.52567262894413602</v>
      </c>
      <c r="J22" s="31">
        <f t="shared" si="0"/>
        <v>1.1654632822658115</v>
      </c>
      <c r="K22" s="31">
        <f t="shared" si="0"/>
        <v>0.44451608026557921</v>
      </c>
      <c r="L22" s="31">
        <f t="shared" si="0"/>
        <v>0.55750216197228042</v>
      </c>
      <c r="M22" s="31">
        <f t="shared" si="0"/>
        <v>2.6296863898461282</v>
      </c>
    </row>
    <row r="23" spans="1:13" ht="15" customHeight="1" x14ac:dyDescent="0.2">
      <c r="A23" s="15"/>
      <c r="B23" s="35" t="s">
        <v>100</v>
      </c>
      <c r="C23" s="13">
        <v>38.530769230769202</v>
      </c>
      <c r="D23" s="13">
        <v>38.529411764705877</v>
      </c>
      <c r="E23" s="13">
        <v>39.111764705882344</v>
      </c>
      <c r="F23" s="13">
        <v>39.745341614906835</v>
      </c>
      <c r="G23" s="13">
        <v>36.939999999999991</v>
      </c>
      <c r="H23" s="13">
        <v>38.765578635014826</v>
      </c>
      <c r="I23" s="31">
        <f>D23-C23</f>
        <v>-1.3574660633253188E-3</v>
      </c>
      <c r="J23" s="31">
        <f t="shared" ref="J23:M24" si="1">E23-D23</f>
        <v>0.58235294117646674</v>
      </c>
      <c r="K23" s="31">
        <f t="shared" si="1"/>
        <v>0.63357690902449093</v>
      </c>
      <c r="L23" s="31">
        <f t="shared" si="1"/>
        <v>-2.805341614906844</v>
      </c>
      <c r="M23" s="31">
        <f t="shared" si="1"/>
        <v>1.8255786350148355</v>
      </c>
    </row>
    <row r="24" spans="1:13" ht="15" customHeight="1" x14ac:dyDescent="0.2">
      <c r="A24" s="15"/>
      <c r="B24" s="32" t="s">
        <v>101</v>
      </c>
      <c r="C24" s="33" t="s">
        <v>97</v>
      </c>
      <c r="D24" s="33">
        <v>33.903614457831331</v>
      </c>
      <c r="E24" s="33">
        <v>36.099378881987562</v>
      </c>
      <c r="F24" s="33">
        <v>35.243478260869573</v>
      </c>
      <c r="G24" s="33">
        <v>35.09473684210527</v>
      </c>
      <c r="H24" s="33">
        <v>37.058823529411768</v>
      </c>
      <c r="I24" s="34" t="s">
        <v>98</v>
      </c>
      <c r="J24" s="34">
        <f t="shared" si="1"/>
        <v>2.1957644241562306</v>
      </c>
      <c r="K24" s="34">
        <f t="shared" si="1"/>
        <v>-0.85590062111798915</v>
      </c>
      <c r="L24" s="34">
        <f t="shared" si="1"/>
        <v>-0.14874141876430258</v>
      </c>
      <c r="M24" s="34">
        <f t="shared" si="1"/>
        <v>1.9640866873064979</v>
      </c>
    </row>
    <row r="25" spans="1:13" ht="15" customHeight="1" x14ac:dyDescent="0.2">
      <c r="A25" s="15"/>
      <c r="B25" s="288" t="s">
        <v>73</v>
      </c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</row>
    <row r="26" spans="1:13" x14ac:dyDescent="0.2">
      <c r="A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2">
      <c r="A27" s="15"/>
      <c r="B27" s="287" t="s">
        <v>102</v>
      </c>
      <c r="C27" s="15"/>
      <c r="D27" s="15"/>
      <c r="J27" s="15"/>
      <c r="K27" s="15"/>
      <c r="L27" s="15"/>
      <c r="M27" s="15"/>
    </row>
    <row r="28" spans="1:13" x14ac:dyDescent="0.2">
      <c r="A28" s="15"/>
      <c r="B28" s="287"/>
      <c r="C28" s="15"/>
      <c r="D28" s="15"/>
      <c r="J28" s="15"/>
      <c r="K28" s="15"/>
      <c r="L28" s="15"/>
      <c r="M28" s="15"/>
    </row>
  </sheetData>
  <mergeCells count="3">
    <mergeCell ref="B5:M5"/>
    <mergeCell ref="B25:M25"/>
    <mergeCell ref="B27:B28"/>
  </mergeCells>
  <conditionalFormatting sqref="B10">
    <cfRule type="cellIs" dxfId="0" priority="1" operator="equal">
      <formula>#REF!</formula>
    </cfRule>
  </conditionalFormatting>
  <hyperlinks>
    <hyperlink ref="B27:B28" location="'GRAFICA EDAD POR MERCADOS'!A1" tooltip="GRÁFICA 1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44"/>
  <sheetViews>
    <sheetView showGridLines="0" topLeftCell="A3" zoomScaleNormal="100" workbookViewId="0">
      <selection activeCell="L59" sqref="L59"/>
    </sheetView>
  </sheetViews>
  <sheetFormatPr baseColWidth="10" defaultRowHeight="12.75" x14ac:dyDescent="0.2"/>
  <cols>
    <col min="9" max="9" width="14.7109375" customWidth="1"/>
    <col min="16" max="16" width="16" customWidth="1"/>
  </cols>
  <sheetData>
    <row r="3" spans="2:5" ht="15.75" x14ac:dyDescent="0.25">
      <c r="B3" s="37"/>
    </row>
    <row r="8" spans="2:5" x14ac:dyDescent="0.2">
      <c r="C8" s="38"/>
    </row>
    <row r="9" spans="2:5" x14ac:dyDescent="0.2">
      <c r="C9" s="38"/>
      <c r="D9">
        <v>2012</v>
      </c>
      <c r="E9" t="s">
        <v>103</v>
      </c>
    </row>
    <row r="10" spans="2:5" x14ac:dyDescent="0.2">
      <c r="C10" t="s">
        <v>82</v>
      </c>
      <c r="D10" s="39">
        <v>53.483709273182953</v>
      </c>
      <c r="E10" s="40">
        <v>3.3354534592294698</v>
      </c>
    </row>
    <row r="11" spans="2:5" x14ac:dyDescent="0.2">
      <c r="C11" t="s">
        <v>83</v>
      </c>
      <c r="D11" s="39">
        <v>52.927966101694942</v>
      </c>
      <c r="E11" s="40">
        <v>4.3757921886514524</v>
      </c>
    </row>
    <row r="12" spans="2:5" x14ac:dyDescent="0.2">
      <c r="C12" t="s">
        <v>84</v>
      </c>
      <c r="D12" s="39">
        <v>52.080500894454381</v>
      </c>
      <c r="E12" s="40">
        <v>3.3267365011860051</v>
      </c>
    </row>
    <row r="13" spans="2:5" x14ac:dyDescent="0.2">
      <c r="C13" t="s">
        <v>85</v>
      </c>
      <c r="D13" s="39">
        <v>50.574660633484186</v>
      </c>
      <c r="E13" s="40">
        <v>1.5746606334841999</v>
      </c>
    </row>
    <row r="14" spans="2:5" x14ac:dyDescent="0.2">
      <c r="C14" t="s">
        <v>86</v>
      </c>
      <c r="D14" s="39">
        <v>50.450381679389302</v>
      </c>
      <c r="E14" s="40">
        <v>3.1935009454443133</v>
      </c>
    </row>
    <row r="15" spans="2:5" x14ac:dyDescent="0.2">
      <c r="C15" t="s">
        <v>87</v>
      </c>
      <c r="D15" s="39">
        <v>50.089090909090935</v>
      </c>
      <c r="E15" s="40">
        <v>2.4029315628191625</v>
      </c>
    </row>
    <row r="16" spans="2:5" x14ac:dyDescent="0.2">
      <c r="C16" t="s">
        <v>88</v>
      </c>
      <c r="D16" s="39">
        <v>48.814371257485057</v>
      </c>
      <c r="E16" s="40">
        <v>3.3692301916543599</v>
      </c>
    </row>
    <row r="17" spans="3:5" x14ac:dyDescent="0.2">
      <c r="C17" t="s">
        <v>89</v>
      </c>
      <c r="D17" s="39">
        <v>47.240057845263905</v>
      </c>
      <c r="E17" s="40">
        <v>1.2926515052062655</v>
      </c>
    </row>
    <row r="18" spans="3:5" x14ac:dyDescent="0.2">
      <c r="C18" t="s">
        <v>90</v>
      </c>
      <c r="D18" s="39">
        <v>47.002402513398614</v>
      </c>
      <c r="E18" s="40">
        <v>2.1919939351032411</v>
      </c>
    </row>
    <row r="19" spans="3:5" x14ac:dyDescent="0.2">
      <c r="C19" t="s">
        <v>91</v>
      </c>
      <c r="D19" s="39">
        <v>46.910326086956537</v>
      </c>
      <c r="E19" s="40">
        <v>2.2722045399951867</v>
      </c>
    </row>
    <row r="20" spans="3:5" x14ac:dyDescent="0.2">
      <c r="C20" t="s">
        <v>92</v>
      </c>
      <c r="D20" s="39">
        <v>46.635854341736717</v>
      </c>
      <c r="E20" s="40">
        <v>0.12468115737918595</v>
      </c>
    </row>
    <row r="21" spans="3:5" x14ac:dyDescent="0.2">
      <c r="C21" t="s">
        <v>93</v>
      </c>
      <c r="D21" s="39">
        <v>45.743169398907128</v>
      </c>
      <c r="E21" s="40">
        <v>1.2712592865475614</v>
      </c>
    </row>
    <row r="22" spans="3:5" x14ac:dyDescent="0.2">
      <c r="C22" t="s">
        <v>94</v>
      </c>
      <c r="D22" s="39">
        <v>44.617283950617264</v>
      </c>
      <c r="E22" s="40">
        <v>0.13728395061726673</v>
      </c>
    </row>
    <row r="23" spans="3:5" x14ac:dyDescent="0.2">
      <c r="C23" t="s">
        <v>95</v>
      </c>
      <c r="D23" s="39">
        <v>42.895397489539754</v>
      </c>
      <c r="E23" s="40">
        <v>2.048422400571809</v>
      </c>
    </row>
    <row r="24" spans="3:5" x14ac:dyDescent="0.2">
      <c r="C24" t="s">
        <v>96</v>
      </c>
      <c r="D24" s="39">
        <v>41.964792433000547</v>
      </c>
      <c r="E24" s="40">
        <v>2.5998927932681752</v>
      </c>
    </row>
    <row r="25" spans="3:5" x14ac:dyDescent="0.2">
      <c r="C25" t="s">
        <v>99</v>
      </c>
      <c r="D25" s="39">
        <v>41.795535261288634</v>
      </c>
      <c r="E25" s="40">
        <v>2.6296863898461282</v>
      </c>
    </row>
    <row r="26" spans="3:5" x14ac:dyDescent="0.2">
      <c r="C26" t="s">
        <v>100</v>
      </c>
      <c r="D26" s="39">
        <v>38.765578635014826</v>
      </c>
      <c r="E26" s="40">
        <v>1.8255786350148355</v>
      </c>
    </row>
    <row r="27" spans="3:5" x14ac:dyDescent="0.2">
      <c r="C27" t="s">
        <v>101</v>
      </c>
      <c r="D27" s="39">
        <v>37.058823529411768</v>
      </c>
      <c r="E27" s="40">
        <v>1.9640866873064979</v>
      </c>
    </row>
    <row r="37" spans="6:8" x14ac:dyDescent="0.2">
      <c r="F37" s="15"/>
      <c r="G37" s="15"/>
      <c r="H37" s="15"/>
    </row>
    <row r="38" spans="6:8" x14ac:dyDescent="0.2">
      <c r="F38" s="15"/>
      <c r="G38" s="15"/>
      <c r="H38" s="15"/>
    </row>
    <row r="39" spans="6:8" x14ac:dyDescent="0.2">
      <c r="F39" s="15"/>
      <c r="G39" s="15"/>
      <c r="H39" s="15"/>
    </row>
    <row r="40" spans="6:8" x14ac:dyDescent="0.2">
      <c r="F40" s="15"/>
      <c r="G40" s="287" t="s">
        <v>76</v>
      </c>
      <c r="H40" s="15"/>
    </row>
    <row r="41" spans="6:8" x14ac:dyDescent="0.2">
      <c r="F41" s="15"/>
      <c r="G41" s="287"/>
      <c r="H41" s="15"/>
    </row>
    <row r="42" spans="6:8" x14ac:dyDescent="0.2">
      <c r="F42" s="15"/>
      <c r="G42" s="15"/>
      <c r="H42" s="15"/>
    </row>
    <row r="43" spans="6:8" x14ac:dyDescent="0.2">
      <c r="F43" s="15"/>
      <c r="G43" s="15"/>
      <c r="H43" s="15"/>
    </row>
    <row r="44" spans="6:8" x14ac:dyDescent="0.2">
      <c r="F44" s="15"/>
      <c r="G44" s="15"/>
      <c r="H44" s="15"/>
    </row>
  </sheetData>
  <mergeCells count="1">
    <mergeCell ref="G40:G41"/>
  </mergeCells>
  <hyperlinks>
    <hyperlink ref="G40:G41" location="'edad por mercado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49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2" max="2" width="12.5703125" customWidth="1"/>
    <col min="3" max="3" width="15.5703125" bestFit="1" customWidth="1"/>
    <col min="4" max="5" width="9.7109375" customWidth="1"/>
    <col min="6" max="6" width="9.140625" bestFit="1" customWidth="1"/>
    <col min="7" max="8" width="10.7109375" customWidth="1"/>
    <col min="9" max="9" width="9" bestFit="1" customWidth="1"/>
    <col min="10" max="10" width="11.42578125" customWidth="1"/>
    <col min="11" max="11" width="14.85546875" customWidth="1"/>
  </cols>
  <sheetData>
    <row r="1" spans="3:13" ht="20.25" x14ac:dyDescent="0.3">
      <c r="M1" s="41"/>
    </row>
    <row r="2" spans="3:13" ht="45" customHeight="1" x14ac:dyDescent="0.2"/>
    <row r="3" spans="3:13" ht="36" customHeight="1" x14ac:dyDescent="0.2">
      <c r="C3" s="286" t="s">
        <v>104</v>
      </c>
      <c r="D3" s="286"/>
      <c r="E3" s="286"/>
      <c r="F3" s="286"/>
    </row>
    <row r="4" spans="3:13" x14ac:dyDescent="0.2">
      <c r="C4" s="42"/>
      <c r="D4" s="10">
        <v>2011</v>
      </c>
      <c r="E4" s="10">
        <v>2012</v>
      </c>
      <c r="F4" s="11" t="s">
        <v>105</v>
      </c>
    </row>
    <row r="5" spans="3:13" ht="15" customHeight="1" x14ac:dyDescent="0.2">
      <c r="C5" s="43" t="s">
        <v>106</v>
      </c>
      <c r="D5" s="13">
        <v>4.5636363636363635</v>
      </c>
      <c r="E5" s="13">
        <v>4.4636363636363638</v>
      </c>
      <c r="F5" s="14">
        <f>IFERROR(E5/D5-1,"-")</f>
        <v>-2.1912350597609431E-2</v>
      </c>
    </row>
    <row r="6" spans="3:13" ht="15" customHeight="1" x14ac:dyDescent="0.2">
      <c r="C6" s="43" t="s">
        <v>107</v>
      </c>
      <c r="D6" s="13">
        <v>5.6181818181818182</v>
      </c>
      <c r="E6" s="13">
        <v>5.4727272727272727</v>
      </c>
      <c r="F6" s="14">
        <f t="shared" ref="F6:F14" si="0">IFERROR(E6/D6-1,"-")</f>
        <v>-2.5889967637540479E-2</v>
      </c>
    </row>
    <row r="7" spans="3:13" ht="15" customHeight="1" x14ac:dyDescent="0.2">
      <c r="C7" s="43" t="s">
        <v>108</v>
      </c>
      <c r="D7" s="13">
        <v>7.2545454545454549</v>
      </c>
      <c r="E7" s="13">
        <v>7.3272727272727272</v>
      </c>
      <c r="F7" s="14">
        <f t="shared" si="0"/>
        <v>1.0025062656641603E-2</v>
      </c>
    </row>
    <row r="8" spans="3:13" ht="15" customHeight="1" x14ac:dyDescent="0.2">
      <c r="C8" s="43" t="s">
        <v>109</v>
      </c>
      <c r="D8" s="13">
        <v>13.681818181818182</v>
      </c>
      <c r="E8" s="13">
        <v>13.072727272727272</v>
      </c>
      <c r="F8" s="14">
        <f t="shared" si="0"/>
        <v>-4.4518272425249195E-2</v>
      </c>
    </row>
    <row r="9" spans="3:13" ht="15" customHeight="1" x14ac:dyDescent="0.2">
      <c r="C9" s="43" t="s">
        <v>110</v>
      </c>
      <c r="D9" s="13">
        <v>11.836363636363636</v>
      </c>
      <c r="E9" s="13">
        <v>12.145454545454545</v>
      </c>
      <c r="F9" s="14">
        <f t="shared" si="0"/>
        <v>2.611367127496167E-2</v>
      </c>
    </row>
    <row r="10" spans="3:13" ht="15" customHeight="1" x14ac:dyDescent="0.2">
      <c r="C10" s="43" t="s">
        <v>111</v>
      </c>
      <c r="D10" s="13">
        <v>16.754545454545454</v>
      </c>
      <c r="E10" s="13">
        <v>17.254545454545454</v>
      </c>
      <c r="F10" s="14">
        <f t="shared" si="0"/>
        <v>2.9842647856755278E-2</v>
      </c>
    </row>
    <row r="11" spans="3:13" ht="15" customHeight="1" x14ac:dyDescent="0.2">
      <c r="C11" s="43" t="s">
        <v>112</v>
      </c>
      <c r="D11" s="13">
        <v>9.4</v>
      </c>
      <c r="E11" s="13">
        <v>9.709090909090909</v>
      </c>
      <c r="F11" s="14">
        <f t="shared" si="0"/>
        <v>3.2882011605415817E-2</v>
      </c>
    </row>
    <row r="12" spans="3:13" ht="15" customHeight="1" x14ac:dyDescent="0.2">
      <c r="C12" s="43" t="s">
        <v>113</v>
      </c>
      <c r="D12" s="13">
        <v>13.818181818181818</v>
      </c>
      <c r="E12" s="13">
        <v>13.636363636363637</v>
      </c>
      <c r="F12" s="14">
        <f t="shared" si="0"/>
        <v>-1.3157894736842146E-2</v>
      </c>
    </row>
    <row r="13" spans="3:13" ht="15" customHeight="1" x14ac:dyDescent="0.2">
      <c r="C13" s="43" t="s">
        <v>71</v>
      </c>
      <c r="D13" s="13">
        <v>17.072727272727274</v>
      </c>
      <c r="E13" s="13">
        <v>16.918181818181818</v>
      </c>
      <c r="F13" s="14">
        <f t="shared" si="0"/>
        <v>-9.0521831735890235E-3</v>
      </c>
    </row>
    <row r="14" spans="3:13" ht="15" customHeight="1" x14ac:dyDescent="0.2">
      <c r="C14" s="44" t="s">
        <v>114</v>
      </c>
      <c r="D14" s="45">
        <v>50054.8566103923</v>
      </c>
      <c r="E14" s="45">
        <v>51676.159754896507</v>
      </c>
      <c r="F14" s="46">
        <f t="shared" si="0"/>
        <v>3.2390526200560377E-2</v>
      </c>
    </row>
    <row r="15" spans="3:13" ht="57" customHeight="1" x14ac:dyDescent="0.2">
      <c r="C15" s="292" t="s">
        <v>115</v>
      </c>
      <c r="D15" s="292"/>
      <c r="E15" s="292"/>
      <c r="F15" s="292"/>
    </row>
    <row r="19" spans="3:8" ht="36" customHeight="1" x14ac:dyDescent="0.2">
      <c r="C19" s="286" t="s">
        <v>104</v>
      </c>
      <c r="D19" s="286"/>
      <c r="E19" s="286"/>
      <c r="F19" s="286"/>
      <c r="G19" s="286"/>
      <c r="H19" s="286"/>
    </row>
    <row r="20" spans="3:8" ht="40.5" customHeight="1" x14ac:dyDescent="0.2">
      <c r="C20" s="42"/>
      <c r="D20" s="10">
        <v>2007</v>
      </c>
      <c r="E20" s="10">
        <v>2008</v>
      </c>
      <c r="F20" s="10">
        <v>2009</v>
      </c>
      <c r="G20" s="11" t="s">
        <v>58</v>
      </c>
      <c r="H20" s="11" t="s">
        <v>59</v>
      </c>
    </row>
    <row r="21" spans="3:8" ht="15" customHeight="1" x14ac:dyDescent="0.2">
      <c r="C21" s="43" t="s">
        <v>116</v>
      </c>
      <c r="D21" s="47">
        <v>10.88181818181819</v>
      </c>
      <c r="E21" s="47">
        <v>10.227272727272727</v>
      </c>
      <c r="F21" s="47">
        <v>7.7545454545454549</v>
      </c>
      <c r="G21" s="48">
        <f t="shared" ref="G21:H28" si="1">E21/D21-1</f>
        <v>-6.0150375939850398E-2</v>
      </c>
      <c r="H21" s="48">
        <f t="shared" si="1"/>
        <v>-0.24177777777777765</v>
      </c>
    </row>
    <row r="22" spans="3:8" ht="15" customHeight="1" x14ac:dyDescent="0.2">
      <c r="C22" s="43" t="s">
        <v>117</v>
      </c>
      <c r="D22" s="47">
        <v>7.7909090909090901</v>
      </c>
      <c r="E22" s="47">
        <v>7.6818181818181817</v>
      </c>
      <c r="F22" s="47">
        <v>8.209090909090909</v>
      </c>
      <c r="G22" s="48">
        <f t="shared" si="1"/>
        <v>-1.4002333722286986E-2</v>
      </c>
      <c r="H22" s="48">
        <f t="shared" si="1"/>
        <v>6.8639053254437865E-2</v>
      </c>
    </row>
    <row r="23" spans="3:8" ht="15" customHeight="1" x14ac:dyDescent="0.2">
      <c r="C23" s="43" t="s">
        <v>118</v>
      </c>
      <c r="D23" s="47">
        <v>13.154545454545501</v>
      </c>
      <c r="E23" s="47">
        <v>14.827272727272728</v>
      </c>
      <c r="F23" s="47">
        <v>14.109090909090909</v>
      </c>
      <c r="G23" s="48">
        <f>E23/D23-1</f>
        <v>0.12715964063579421</v>
      </c>
      <c r="H23" s="48">
        <f>F23/E23-1</f>
        <v>-4.8436541998773786E-2</v>
      </c>
    </row>
    <row r="24" spans="3:8" ht="15" customHeight="1" x14ac:dyDescent="0.2">
      <c r="C24" s="43" t="s">
        <v>119</v>
      </c>
      <c r="D24" s="47">
        <v>13.318181818181801</v>
      </c>
      <c r="E24" s="47">
        <v>13.363636363636363</v>
      </c>
      <c r="F24" s="47">
        <v>14.036363636363637</v>
      </c>
      <c r="G24" s="48">
        <f t="shared" si="1"/>
        <v>3.4129692832778336E-3</v>
      </c>
      <c r="H24" s="48">
        <f t="shared" si="1"/>
        <v>5.034013605442178E-2</v>
      </c>
    </row>
    <row r="25" spans="3:8" ht="15" customHeight="1" x14ac:dyDescent="0.2">
      <c r="C25" s="43" t="s">
        <v>120</v>
      </c>
      <c r="D25" s="47">
        <v>11.736363636363601</v>
      </c>
      <c r="E25" s="47">
        <v>11.963636363636363</v>
      </c>
      <c r="F25" s="47">
        <v>11.572727272727272</v>
      </c>
      <c r="G25" s="48">
        <f t="shared" si="1"/>
        <v>1.9364833462435227E-2</v>
      </c>
      <c r="H25" s="48">
        <f t="shared" si="1"/>
        <v>-3.2674772036474176E-2</v>
      </c>
    </row>
    <row r="26" spans="3:8" ht="15" customHeight="1" x14ac:dyDescent="0.2">
      <c r="C26" s="43" t="s">
        <v>121</v>
      </c>
      <c r="D26" s="47">
        <v>24.727272727272702</v>
      </c>
      <c r="E26" s="47">
        <v>24.718181818181819</v>
      </c>
      <c r="F26" s="47">
        <v>26.290909090909089</v>
      </c>
      <c r="G26" s="48">
        <f t="shared" si="1"/>
        <v>-3.676470588225289E-4</v>
      </c>
      <c r="H26" s="48">
        <f t="shared" si="1"/>
        <v>6.3626333210739183E-2</v>
      </c>
    </row>
    <row r="27" spans="3:8" ht="15" customHeight="1" x14ac:dyDescent="0.2">
      <c r="C27" s="43" t="s">
        <v>71</v>
      </c>
      <c r="D27" s="47">
        <v>18.390909090909101</v>
      </c>
      <c r="E27" s="47">
        <v>17.218181818181819</v>
      </c>
      <c r="F27" s="47">
        <v>18.027272727272727</v>
      </c>
      <c r="G27" s="48">
        <f t="shared" si="1"/>
        <v>-6.3766683143846259E-2</v>
      </c>
      <c r="H27" s="48">
        <f t="shared" si="1"/>
        <v>4.6990496304118334E-2</v>
      </c>
    </row>
    <row r="28" spans="3:8" ht="15" customHeight="1" x14ac:dyDescent="0.2">
      <c r="C28" s="44" t="s">
        <v>122</v>
      </c>
      <c r="D28" s="49">
        <v>44169.022501949403</v>
      </c>
      <c r="E28" s="49">
        <v>41812.235339336708</v>
      </c>
      <c r="F28" s="49">
        <v>41375.904846401325</v>
      </c>
      <c r="G28" s="50">
        <f t="shared" si="1"/>
        <v>-5.3358372658318998E-2</v>
      </c>
      <c r="H28" s="50">
        <f t="shared" si="1"/>
        <v>-1.0435473956229457E-2</v>
      </c>
    </row>
    <row r="29" spans="3:8" x14ac:dyDescent="0.2">
      <c r="C29" s="51" t="s">
        <v>73</v>
      </c>
      <c r="D29" s="52"/>
      <c r="E29" s="52"/>
      <c r="F29" s="52"/>
      <c r="G29" s="52"/>
      <c r="H29" s="52"/>
    </row>
    <row r="30" spans="3:8" ht="24.75" customHeight="1" x14ac:dyDescent="0.2"/>
    <row r="35" spans="3:8" hidden="1" x14ac:dyDescent="0.2">
      <c r="C35" s="53" t="s">
        <v>123</v>
      </c>
    </row>
    <row r="36" spans="3:8" ht="15.75" hidden="1" customHeight="1" x14ac:dyDescent="0.2"/>
    <row r="37" spans="3:8" ht="36" hidden="1" customHeight="1" x14ac:dyDescent="0.2">
      <c r="C37" s="286" t="s">
        <v>104</v>
      </c>
      <c r="D37" s="286"/>
      <c r="E37" s="286"/>
      <c r="F37" s="286"/>
      <c r="G37" s="286"/>
      <c r="H37" s="286"/>
    </row>
    <row r="38" spans="3:8" ht="25.5" hidden="1" x14ac:dyDescent="0.2">
      <c r="C38" s="42"/>
      <c r="D38" s="10" t="e">
        <f>#REF!</f>
        <v>#REF!</v>
      </c>
      <c r="E38" s="10"/>
      <c r="F38" s="10" t="s">
        <v>124</v>
      </c>
      <c r="G38" s="10"/>
      <c r="H38" s="11" t="e">
        <f>#REF!</f>
        <v>#REF!</v>
      </c>
    </row>
    <row r="39" spans="3:8" hidden="1" x14ac:dyDescent="0.2">
      <c r="C39" s="43" t="s">
        <v>106</v>
      </c>
      <c r="D39" s="47">
        <v>0</v>
      </c>
      <c r="E39" s="47"/>
      <c r="F39" s="54">
        <v>5.0853485064011377</v>
      </c>
      <c r="G39" s="54"/>
      <c r="H39" s="55" t="str">
        <f>IFERROR(F39/D39-1,"-")</f>
        <v>-</v>
      </c>
    </row>
    <row r="40" spans="3:8" hidden="1" x14ac:dyDescent="0.2">
      <c r="C40" s="43" t="s">
        <v>107</v>
      </c>
      <c r="D40" s="47">
        <v>0</v>
      </c>
      <c r="E40" s="47"/>
      <c r="F40" s="54">
        <v>6.152204836415363</v>
      </c>
      <c r="G40" s="54"/>
      <c r="H40" s="55" t="str">
        <f t="shared" ref="H40:H48" si="2">IFERROR(F40/D40-1,"-")</f>
        <v>-</v>
      </c>
    </row>
    <row r="41" spans="3:8" hidden="1" x14ac:dyDescent="0.2">
      <c r="C41" s="43" t="s">
        <v>108</v>
      </c>
      <c r="D41" s="47">
        <v>0</v>
      </c>
      <c r="E41" s="47"/>
      <c r="F41" s="54">
        <v>7.539118065433855</v>
      </c>
      <c r="G41" s="54"/>
      <c r="H41" s="55" t="str">
        <f t="shared" si="2"/>
        <v>-</v>
      </c>
    </row>
    <row r="42" spans="3:8" hidden="1" x14ac:dyDescent="0.2">
      <c r="C42" s="43" t="s">
        <v>109</v>
      </c>
      <c r="D42" s="47">
        <v>0</v>
      </c>
      <c r="E42" s="47"/>
      <c r="F42" s="54">
        <v>16.678520625889046</v>
      </c>
      <c r="G42" s="54"/>
      <c r="H42" s="55" t="str">
        <f t="shared" si="2"/>
        <v>-</v>
      </c>
    </row>
    <row r="43" spans="3:8" hidden="1" x14ac:dyDescent="0.2">
      <c r="C43" s="43" t="s">
        <v>110</v>
      </c>
      <c r="D43" s="47">
        <v>0</v>
      </c>
      <c r="E43" s="47"/>
      <c r="F43" s="54">
        <v>10.597439544807965</v>
      </c>
      <c r="G43" s="54"/>
      <c r="H43" s="55" t="str">
        <f t="shared" si="2"/>
        <v>-</v>
      </c>
    </row>
    <row r="44" spans="3:8" hidden="1" x14ac:dyDescent="0.2">
      <c r="C44" s="43" t="s">
        <v>111</v>
      </c>
      <c r="D44" s="47">
        <v>0</v>
      </c>
      <c r="E44" s="47"/>
      <c r="F44" s="54">
        <v>15.896159317211948</v>
      </c>
      <c r="G44" s="54"/>
      <c r="H44" s="55" t="str">
        <f t="shared" si="2"/>
        <v>-</v>
      </c>
    </row>
    <row r="45" spans="3:8" hidden="1" x14ac:dyDescent="0.2">
      <c r="C45" s="43" t="s">
        <v>112</v>
      </c>
      <c r="D45" s="47">
        <v>0</v>
      </c>
      <c r="E45" s="47"/>
      <c r="F45" s="54">
        <v>8.4992887624466569</v>
      </c>
      <c r="G45" s="54"/>
      <c r="H45" s="55" t="str">
        <f t="shared" si="2"/>
        <v>-</v>
      </c>
    </row>
    <row r="46" spans="3:8" hidden="1" x14ac:dyDescent="0.2">
      <c r="C46" s="43" t="s">
        <v>113</v>
      </c>
      <c r="D46" s="47">
        <v>0</v>
      </c>
      <c r="E46" s="47"/>
      <c r="F46" s="54">
        <v>9.7795163584637272</v>
      </c>
      <c r="G46" s="54"/>
      <c r="H46" s="55" t="str">
        <f t="shared" si="2"/>
        <v>-</v>
      </c>
    </row>
    <row r="47" spans="3:8" ht="12.75" hidden="1" customHeight="1" x14ac:dyDescent="0.2">
      <c r="C47" s="43" t="s">
        <v>71</v>
      </c>
      <c r="D47" s="47">
        <v>18.784328084950566</v>
      </c>
      <c r="E47" s="47"/>
      <c r="F47" s="54">
        <v>19.7724039829303</v>
      </c>
      <c r="G47" s="54"/>
      <c r="H47" s="55">
        <f t="shared" si="2"/>
        <v>5.2601077531825524E-2</v>
      </c>
    </row>
    <row r="48" spans="3:8" hidden="1" x14ac:dyDescent="0.2">
      <c r="C48" s="44" t="s">
        <v>122</v>
      </c>
      <c r="D48" s="49">
        <v>40648.183498647544</v>
      </c>
      <c r="E48" s="49"/>
      <c r="F48" s="56">
        <v>46737.285460992927</v>
      </c>
      <c r="G48" s="56"/>
      <c r="H48" s="57">
        <f t="shared" si="2"/>
        <v>0.14980010023198154</v>
      </c>
    </row>
    <row r="49" spans="3:8" ht="56.25" hidden="1" customHeight="1" x14ac:dyDescent="0.2">
      <c r="C49" s="288" t="s">
        <v>125</v>
      </c>
      <c r="D49" s="288"/>
      <c r="E49" s="288"/>
      <c r="F49" s="288"/>
      <c r="G49" s="288"/>
      <c r="H49" s="288"/>
    </row>
  </sheetData>
  <mergeCells count="5">
    <mergeCell ref="C3:F3"/>
    <mergeCell ref="C15:F15"/>
    <mergeCell ref="C19:H19"/>
    <mergeCell ref="C37:H37"/>
    <mergeCell ref="C49:H49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72"/>
  <sheetViews>
    <sheetView showGridLines="0" topLeftCell="A25" zoomScaleNormal="100" workbookViewId="0">
      <selection activeCell="L59" sqref="L59"/>
    </sheetView>
  </sheetViews>
  <sheetFormatPr baseColWidth="10" defaultRowHeight="12.75" x14ac:dyDescent="0.2"/>
  <cols>
    <col min="3" max="3" width="19.85546875" customWidth="1"/>
    <col min="4" max="4" width="15.140625" customWidth="1"/>
    <col min="5" max="5" width="12.5703125" bestFit="1" customWidth="1"/>
    <col min="6" max="6" width="10.85546875" bestFit="1" customWidth="1"/>
    <col min="7" max="9" width="10.7109375" customWidth="1"/>
  </cols>
  <sheetData>
    <row r="2" spans="3:9" ht="45" customHeight="1" x14ac:dyDescent="0.2"/>
    <row r="3" spans="3:9" ht="27.75" customHeight="1" x14ac:dyDescent="0.2">
      <c r="C3" s="286" t="s">
        <v>126</v>
      </c>
      <c r="D3" s="286"/>
      <c r="E3" s="286"/>
      <c r="F3" s="286"/>
      <c r="G3" s="286"/>
      <c r="H3" s="286"/>
      <c r="I3" s="15"/>
    </row>
    <row r="4" spans="3:9" ht="39.75" customHeight="1" x14ac:dyDescent="0.2">
      <c r="C4" s="42"/>
      <c r="D4" s="10">
        <v>2011</v>
      </c>
      <c r="E4" s="10">
        <v>2012</v>
      </c>
      <c r="F4" s="11" t="s">
        <v>105</v>
      </c>
      <c r="G4" s="11" t="s">
        <v>127</v>
      </c>
      <c r="H4" s="11" t="s">
        <v>128</v>
      </c>
      <c r="I4" s="15"/>
    </row>
    <row r="5" spans="3:9" ht="15" customHeight="1" x14ac:dyDescent="0.2">
      <c r="C5" s="58" t="s">
        <v>83</v>
      </c>
      <c r="D5" s="59">
        <v>76966.321243523314</v>
      </c>
      <c r="E5" s="59">
        <v>78653.061224489808</v>
      </c>
      <c r="F5" s="60">
        <f t="shared" ref="F5:F22" si="0">E5/D5-1</f>
        <v>2.1915299493522777E-2</v>
      </c>
      <c r="G5" s="61">
        <v>0.53763943112652335</v>
      </c>
      <c r="H5" s="61">
        <v>0.52203765909747468</v>
      </c>
      <c r="I5" s="15"/>
    </row>
    <row r="6" spans="3:9" ht="15" customHeight="1" x14ac:dyDescent="0.2">
      <c r="C6" s="58" t="s">
        <v>85</v>
      </c>
      <c r="D6" s="59">
        <v>70918.918918918935</v>
      </c>
      <c r="E6" s="59">
        <v>72010.92896174865</v>
      </c>
      <c r="F6" s="60">
        <f t="shared" si="0"/>
        <v>1.5398007463681251E-2</v>
      </c>
      <c r="G6" s="61">
        <v>0.41682393520621686</v>
      </c>
      <c r="H6" s="61">
        <v>0.39350387689993438</v>
      </c>
      <c r="I6" s="15"/>
    </row>
    <row r="7" spans="3:9" ht="15" customHeight="1" x14ac:dyDescent="0.2">
      <c r="C7" s="62" t="s">
        <v>84</v>
      </c>
      <c r="D7" s="63">
        <v>65626.304801670209</v>
      </c>
      <c r="E7" s="63">
        <v>66341.145833333314</v>
      </c>
      <c r="F7" s="60">
        <f t="shared" si="0"/>
        <v>1.0892599146385518E-2</v>
      </c>
      <c r="G7" s="61">
        <v>0.31108765953481909</v>
      </c>
      <c r="H7" s="61">
        <v>0.28378629813039158</v>
      </c>
      <c r="I7" s="15"/>
    </row>
    <row r="8" spans="3:9" ht="15" customHeight="1" x14ac:dyDescent="0.2">
      <c r="C8" s="43" t="s">
        <v>93</v>
      </c>
      <c r="D8" s="64">
        <v>60436.17021276593</v>
      </c>
      <c r="E8" s="64">
        <v>63437.086092715217</v>
      </c>
      <c r="F8" s="60">
        <f t="shared" si="0"/>
        <v>4.9654302537446515E-2</v>
      </c>
      <c r="G8" s="61">
        <v>0.20739872822287309</v>
      </c>
      <c r="H8" s="61">
        <v>0.22758901577829249</v>
      </c>
      <c r="I8" s="15"/>
    </row>
    <row r="9" spans="3:9" ht="15" customHeight="1" x14ac:dyDescent="0.2">
      <c r="C9" s="43" t="s">
        <v>94</v>
      </c>
      <c r="D9" s="64">
        <v>54679.054054054061</v>
      </c>
      <c r="E9" s="64">
        <v>61424.460431654661</v>
      </c>
      <c r="F9" s="60">
        <f t="shared" si="0"/>
        <v>0.12336362605930051</v>
      </c>
      <c r="G9" s="61">
        <v>9.2382592955059906E-2</v>
      </c>
      <c r="H9" s="61">
        <v>0.18864212671752312</v>
      </c>
      <c r="I9" s="15"/>
    </row>
    <row r="10" spans="3:9" ht="15" customHeight="1" x14ac:dyDescent="0.2">
      <c r="C10" s="58" t="s">
        <v>86</v>
      </c>
      <c r="D10" s="59">
        <v>60510.204081632663</v>
      </c>
      <c r="E10" s="59">
        <v>61391.666666666693</v>
      </c>
      <c r="F10" s="60">
        <f t="shared" si="0"/>
        <v>1.4567172568859199E-2</v>
      </c>
      <c r="G10" s="61">
        <v>0.20887778288170433</v>
      </c>
      <c r="H10" s="61">
        <v>0.18800752528538278</v>
      </c>
      <c r="I10" s="15"/>
    </row>
    <row r="11" spans="3:9" ht="15" customHeight="1" x14ac:dyDescent="0.2">
      <c r="C11" s="58" t="s">
        <v>82</v>
      </c>
      <c r="D11" s="59">
        <v>59809.440559440562</v>
      </c>
      <c r="E11" s="59">
        <v>59705.27859237534</v>
      </c>
      <c r="F11" s="60">
        <f t="shared" si="0"/>
        <v>-1.7415639753677326E-3</v>
      </c>
      <c r="G11" s="61">
        <v>0.19487787219078823</v>
      </c>
      <c r="H11" s="61">
        <v>0.1553737521433769</v>
      </c>
      <c r="I11" s="15"/>
    </row>
    <row r="12" spans="3:9" ht="15" customHeight="1" x14ac:dyDescent="0.2">
      <c r="C12" s="43" t="s">
        <v>91</v>
      </c>
      <c r="D12" s="64">
        <v>61041.095890410972</v>
      </c>
      <c r="E12" s="64">
        <v>59260.377358490579</v>
      </c>
      <c r="F12" s="60">
        <f t="shared" si="0"/>
        <v>-2.9172453507672502E-2</v>
      </c>
      <c r="G12" s="61">
        <v>0.21948398265389746</v>
      </c>
      <c r="H12" s="61">
        <v>0.14676434238857006</v>
      </c>
      <c r="I12" s="15"/>
    </row>
    <row r="13" spans="3:9" ht="15" customHeight="1" x14ac:dyDescent="0.2">
      <c r="C13" s="62" t="s">
        <v>87</v>
      </c>
      <c r="D13" s="63">
        <v>51716.863449087577</v>
      </c>
      <c r="E13" s="63">
        <v>56035.883194278838</v>
      </c>
      <c r="F13" s="60">
        <f t="shared" si="0"/>
        <v>8.3512793645018624E-2</v>
      </c>
      <c r="G13" s="61">
        <v>3.3203707916530378E-2</v>
      </c>
      <c r="H13" s="61">
        <v>8.4366242771537037E-2</v>
      </c>
      <c r="I13" s="15"/>
    </row>
    <row r="14" spans="3:9" ht="15" customHeight="1" x14ac:dyDescent="0.2">
      <c r="C14" s="62" t="s">
        <v>89</v>
      </c>
      <c r="D14" s="64">
        <v>54237.523105360444</v>
      </c>
      <c r="E14" s="64">
        <v>54469.863013698625</v>
      </c>
      <c r="F14" s="60">
        <f t="shared" si="0"/>
        <v>4.2837485016939958E-3</v>
      </c>
      <c r="G14" s="61">
        <v>8.3561651719920027E-2</v>
      </c>
      <c r="H14" s="61">
        <v>5.4061742824018655E-2</v>
      </c>
      <c r="I14" s="15"/>
    </row>
    <row r="15" spans="3:9" ht="15" customHeight="1" x14ac:dyDescent="0.2">
      <c r="C15" s="43" t="s">
        <v>88</v>
      </c>
      <c r="D15" s="64">
        <v>50676.595744680839</v>
      </c>
      <c r="E15" s="64">
        <v>53934.262948207128</v>
      </c>
      <c r="F15" s="60">
        <f t="shared" si="0"/>
        <v>6.4283465683825591E-2</v>
      </c>
      <c r="G15" s="61">
        <v>1.2421155036521636E-2</v>
      </c>
      <c r="H15" s="61">
        <v>4.3697194296576036E-2</v>
      </c>
      <c r="I15" s="15"/>
    </row>
    <row r="16" spans="3:9" ht="15" customHeight="1" x14ac:dyDescent="0.2">
      <c r="C16" s="65" t="s">
        <v>90</v>
      </c>
      <c r="D16" s="66">
        <v>50054.8566103923</v>
      </c>
      <c r="E16" s="66">
        <v>51676.159754896507</v>
      </c>
      <c r="F16" s="67">
        <f t="shared" si="0"/>
        <v>3.2390526200560377E-2</v>
      </c>
      <c r="G16" s="68">
        <v>0</v>
      </c>
      <c r="H16" s="68">
        <v>0</v>
      </c>
      <c r="I16" s="15"/>
    </row>
    <row r="17" spans="3:9" ht="15" customHeight="1" x14ac:dyDescent="0.2">
      <c r="C17" s="43" t="s">
        <v>92</v>
      </c>
      <c r="D17" s="64">
        <v>47770.096463022492</v>
      </c>
      <c r="E17" s="64">
        <v>51415.064102564094</v>
      </c>
      <c r="F17" s="60">
        <f t="shared" si="0"/>
        <v>7.6302287611310859E-2</v>
      </c>
      <c r="G17" s="61">
        <v>-4.5645124211492583E-2</v>
      </c>
      <c r="H17" s="61">
        <v>-5.0525358999354841E-3</v>
      </c>
      <c r="I17" s="15"/>
    </row>
    <row r="18" spans="3:9" ht="15" customHeight="1" x14ac:dyDescent="0.2">
      <c r="C18" s="58" t="s">
        <v>101</v>
      </c>
      <c r="D18" s="59">
        <v>29076.47058823529</v>
      </c>
      <c r="E18" s="59">
        <v>40445.312500000007</v>
      </c>
      <c r="F18" s="60">
        <f t="shared" si="0"/>
        <v>0.39099800222536962</v>
      </c>
      <c r="G18" s="61">
        <v>-0.41910790366346817</v>
      </c>
      <c r="H18" s="61">
        <v>-0.21733130534786571</v>
      </c>
      <c r="I18" s="15"/>
    </row>
    <row r="19" spans="3:9" ht="15" customHeight="1" x14ac:dyDescent="0.2">
      <c r="C19" s="43" t="s">
        <v>95</v>
      </c>
      <c r="D19" s="64">
        <v>39116.591928251109</v>
      </c>
      <c r="E19" s="64">
        <v>38684.89583333335</v>
      </c>
      <c r="F19" s="60">
        <f t="shared" si="0"/>
        <v>-1.1036137701096016E-2</v>
      </c>
      <c r="G19" s="61">
        <v>-0.21852554223220388</v>
      </c>
      <c r="H19" s="61">
        <v>-0.25139762674280741</v>
      </c>
      <c r="I19" s="15"/>
    </row>
    <row r="20" spans="3:9" ht="15" customHeight="1" x14ac:dyDescent="0.2">
      <c r="C20" s="62" t="s">
        <v>99</v>
      </c>
      <c r="D20" s="63">
        <v>38678.850446428551</v>
      </c>
      <c r="E20" s="63">
        <v>37630.283729009891</v>
      </c>
      <c r="F20" s="60">
        <f t="shared" si="0"/>
        <v>-2.7109562598582326E-2</v>
      </c>
      <c r="G20" s="61">
        <v>-0.227270777189718</v>
      </c>
      <c r="H20" s="61">
        <v>-0.27180572419675053</v>
      </c>
      <c r="I20" s="15"/>
    </row>
    <row r="21" spans="3:9" ht="15" customHeight="1" x14ac:dyDescent="0.2">
      <c r="C21" s="58" t="s">
        <v>96</v>
      </c>
      <c r="D21" s="59">
        <v>39157.000585823123</v>
      </c>
      <c r="E21" s="59">
        <v>37521.948286229766</v>
      </c>
      <c r="F21" s="60">
        <f t="shared" si="0"/>
        <v>-4.1756321350755687E-2</v>
      </c>
      <c r="G21" s="61">
        <v>-0.21771825478182638</v>
      </c>
      <c r="H21" s="61">
        <v>-0.27390215402617213</v>
      </c>
      <c r="I21" s="15"/>
    </row>
    <row r="22" spans="3:9" ht="15" customHeight="1" x14ac:dyDescent="0.2">
      <c r="C22" s="43" t="s">
        <v>100</v>
      </c>
      <c r="D22" s="64">
        <v>32004.545454545452</v>
      </c>
      <c r="E22" s="64">
        <v>30593.309859154931</v>
      </c>
      <c r="F22" s="60">
        <f t="shared" si="0"/>
        <v>-4.4094848883101112E-2</v>
      </c>
      <c r="G22" s="61">
        <v>-0.36061058562895321</v>
      </c>
      <c r="H22" s="61">
        <v>-0.40798019813660591</v>
      </c>
      <c r="I22" s="15"/>
    </row>
    <row r="23" spans="3:9" ht="48.75" customHeight="1" x14ac:dyDescent="0.2">
      <c r="C23" s="288" t="s">
        <v>129</v>
      </c>
      <c r="D23" s="288"/>
      <c r="E23" s="288"/>
      <c r="F23" s="288"/>
      <c r="G23" s="288"/>
      <c r="H23" s="288"/>
      <c r="I23" s="15"/>
    </row>
    <row r="26" spans="3:9" ht="36" customHeight="1" x14ac:dyDescent="0.2">
      <c r="C26" s="286" t="s">
        <v>126</v>
      </c>
      <c r="D26" s="286"/>
      <c r="E26" s="286"/>
      <c r="F26" s="286"/>
      <c r="G26" s="286"/>
      <c r="H26" s="286"/>
      <c r="I26" s="286"/>
    </row>
    <row r="27" spans="3:9" ht="39" customHeight="1" x14ac:dyDescent="0.2">
      <c r="C27" s="42"/>
      <c r="D27" s="10">
        <v>2007</v>
      </c>
      <c r="E27" s="10">
        <v>2008</v>
      </c>
      <c r="F27" s="10">
        <v>2009</v>
      </c>
      <c r="G27" s="11" t="s">
        <v>58</v>
      </c>
      <c r="H27" s="11" t="s">
        <v>59</v>
      </c>
      <c r="I27" s="11" t="s">
        <v>130</v>
      </c>
    </row>
    <row r="28" spans="3:9" ht="15" customHeight="1" x14ac:dyDescent="0.2">
      <c r="C28" s="43" t="s">
        <v>94</v>
      </c>
      <c r="D28" s="69">
        <v>52372.093023255802</v>
      </c>
      <c r="E28" s="69">
        <v>48000</v>
      </c>
      <c r="F28" s="69">
        <v>58465.648854961837</v>
      </c>
      <c r="G28" s="60">
        <f t="shared" ref="G28:H41" si="1">E28/D28-1</f>
        <v>-8.3481349911189828E-2</v>
      </c>
      <c r="H28" s="60">
        <f t="shared" si="1"/>
        <v>0.21803435114503822</v>
      </c>
      <c r="I28" s="60">
        <f>F28/$F$39-1</f>
        <v>0.41303613956002461</v>
      </c>
    </row>
    <row r="29" spans="3:9" ht="15" customHeight="1" x14ac:dyDescent="0.2">
      <c r="C29" s="70" t="s">
        <v>83</v>
      </c>
      <c r="D29" s="71">
        <v>57707.142857142899</v>
      </c>
      <c r="E29" s="71">
        <v>60699.02912621358</v>
      </c>
      <c r="F29" s="71">
        <v>58377.906976744198</v>
      </c>
      <c r="G29" s="72">
        <f t="shared" si="1"/>
        <v>5.184603016089806E-2</v>
      </c>
      <c r="H29" s="72">
        <f t="shared" si="1"/>
        <v>-3.8239856269249306E-2</v>
      </c>
      <c r="I29" s="72">
        <f t="shared" ref="I29:I45" si="2">F29/$F$39-1</f>
        <v>0.41091553631174849</v>
      </c>
    </row>
    <row r="30" spans="3:9" ht="15" customHeight="1" x14ac:dyDescent="0.2">
      <c r="C30" s="70" t="s">
        <v>85</v>
      </c>
      <c r="D30" s="71">
        <v>59021.739130434798</v>
      </c>
      <c r="E30" s="71">
        <v>58821.862348178103</v>
      </c>
      <c r="F30" s="71">
        <v>57973.21428571429</v>
      </c>
      <c r="G30" s="72">
        <f t="shared" si="1"/>
        <v>-3.3864942850121427E-3</v>
      </c>
      <c r="H30" s="72">
        <f t="shared" si="1"/>
        <v>-1.4427425936304084E-2</v>
      </c>
      <c r="I30" s="72">
        <f t="shared" si="2"/>
        <v>0.40113465798335324</v>
      </c>
    </row>
    <row r="31" spans="3:9" ht="15" customHeight="1" x14ac:dyDescent="0.2">
      <c r="C31" s="62" t="s">
        <v>84</v>
      </c>
      <c r="D31" s="73">
        <v>54022.842639593997</v>
      </c>
      <c r="E31" s="73">
        <v>54552.631578947374</v>
      </c>
      <c r="F31" s="73">
        <v>52824.999999999956</v>
      </c>
      <c r="G31" s="60">
        <f t="shared" si="1"/>
        <v>9.8067579095715285E-3</v>
      </c>
      <c r="H31" s="60">
        <f t="shared" si="1"/>
        <v>-3.1669078630005676E-2</v>
      </c>
      <c r="I31" s="60">
        <f t="shared" si="2"/>
        <v>0.27670923925653845</v>
      </c>
    </row>
    <row r="32" spans="3:9" ht="15" customHeight="1" x14ac:dyDescent="0.2">
      <c r="C32" s="43" t="s">
        <v>93</v>
      </c>
      <c r="D32" s="69">
        <v>48559.322033898301</v>
      </c>
      <c r="E32" s="69">
        <v>46936.363636363632</v>
      </c>
      <c r="F32" s="69">
        <v>49905.982905982928</v>
      </c>
      <c r="G32" s="60">
        <f t="shared" si="1"/>
        <v>-3.34221799143265E-2</v>
      </c>
      <c r="H32" s="60">
        <f t="shared" si="1"/>
        <v>6.3269052810017934E-2</v>
      </c>
      <c r="I32" s="60">
        <f t="shared" si="2"/>
        <v>0.20616052002361251</v>
      </c>
    </row>
    <row r="33" spans="3:9" ht="15" customHeight="1" x14ac:dyDescent="0.2">
      <c r="C33" s="70" t="s">
        <v>86</v>
      </c>
      <c r="D33" s="71">
        <v>50475.903614457799</v>
      </c>
      <c r="E33" s="71">
        <v>48350.806451612902</v>
      </c>
      <c r="F33" s="71">
        <v>49246.575342465774</v>
      </c>
      <c r="G33" s="72">
        <f t="shared" si="1"/>
        <v>-4.2101220793919647E-2</v>
      </c>
      <c r="H33" s="72">
        <f t="shared" si="1"/>
        <v>1.8526451916563547E-2</v>
      </c>
      <c r="I33" s="72">
        <f t="shared" si="2"/>
        <v>0.19022352563122258</v>
      </c>
    </row>
    <row r="34" spans="3:9" ht="15" customHeight="1" x14ac:dyDescent="0.2">
      <c r="C34" s="70" t="s">
        <v>82</v>
      </c>
      <c r="D34" s="71">
        <v>49750</v>
      </c>
      <c r="E34" s="71">
        <v>51825.783972125435</v>
      </c>
      <c r="F34" s="71">
        <v>48915.441176470551</v>
      </c>
      <c r="G34" s="72">
        <f t="shared" si="1"/>
        <v>4.1724300947244997E-2</v>
      </c>
      <c r="H34" s="72">
        <f t="shared" si="1"/>
        <v>-5.6156271504165134E-2</v>
      </c>
      <c r="I34" s="72">
        <f t="shared" si="2"/>
        <v>0.18222045797084196</v>
      </c>
    </row>
    <row r="35" spans="3:9" ht="15" customHeight="1" x14ac:dyDescent="0.2">
      <c r="C35" s="43" t="s">
        <v>91</v>
      </c>
      <c r="D35" s="69">
        <v>46338.2899628253</v>
      </c>
      <c r="E35" s="69">
        <v>51707.224334600782</v>
      </c>
      <c r="F35" s="69">
        <v>48010.380622837336</v>
      </c>
      <c r="G35" s="60">
        <f t="shared" si="1"/>
        <v>0.11586388656298463</v>
      </c>
      <c r="H35" s="60">
        <f t="shared" si="1"/>
        <v>-7.1495690579732707E-2</v>
      </c>
      <c r="I35" s="60">
        <f t="shared" si="2"/>
        <v>0.16034636102980704</v>
      </c>
    </row>
    <row r="36" spans="3:9" ht="15" customHeight="1" x14ac:dyDescent="0.2">
      <c r="C36" s="62" t="s">
        <v>89</v>
      </c>
      <c r="D36" s="69">
        <v>45915.763135946603</v>
      </c>
      <c r="E36" s="69">
        <v>45174.731182795673</v>
      </c>
      <c r="F36" s="69">
        <v>45897.485493230051</v>
      </c>
      <c r="G36" s="60">
        <f t="shared" si="1"/>
        <v>-1.6138944504894615E-2</v>
      </c>
      <c r="H36" s="60">
        <f t="shared" si="1"/>
        <v>1.5999083813245329E-2</v>
      </c>
      <c r="I36" s="60">
        <f t="shared" si="2"/>
        <v>0.10928052603596394</v>
      </c>
    </row>
    <row r="37" spans="3:9" ht="15" customHeight="1" x14ac:dyDescent="0.2">
      <c r="C37" s="43" t="s">
        <v>88</v>
      </c>
      <c r="D37" s="69">
        <v>43044.117647058803</v>
      </c>
      <c r="E37" s="69">
        <v>42918.03278688524</v>
      </c>
      <c r="F37" s="69">
        <v>45673.728813559312</v>
      </c>
      <c r="G37" s="60">
        <f t="shared" si="1"/>
        <v>-2.9292007146574095E-3</v>
      </c>
      <c r="H37" s="60">
        <f t="shared" si="1"/>
        <v>6.4208348979036822E-2</v>
      </c>
      <c r="I37" s="60">
        <f t="shared" si="2"/>
        <v>0.10387262787636153</v>
      </c>
    </row>
    <row r="38" spans="3:9" ht="15" customHeight="1" x14ac:dyDescent="0.2">
      <c r="C38" s="43" t="s">
        <v>92</v>
      </c>
      <c r="D38" s="69">
        <v>42281.690140845101</v>
      </c>
      <c r="E38" s="69">
        <v>40359.605911330058</v>
      </c>
      <c r="F38" s="69">
        <v>43924.882629107982</v>
      </c>
      <c r="G38" s="60">
        <f t="shared" si="1"/>
        <v>-4.5459020751355106E-2</v>
      </c>
      <c r="H38" s="60">
        <f t="shared" si="1"/>
        <v>8.8337748530320725E-2</v>
      </c>
      <c r="I38" s="60">
        <f t="shared" si="2"/>
        <v>6.1605366509062787E-2</v>
      </c>
    </row>
    <row r="39" spans="3:9" ht="15" customHeight="1" x14ac:dyDescent="0.2">
      <c r="C39" s="65" t="s">
        <v>90</v>
      </c>
      <c r="D39" s="74">
        <v>44169.022501949403</v>
      </c>
      <c r="E39" s="74">
        <v>41812.235339336708</v>
      </c>
      <c r="F39" s="74">
        <v>41375.904846401325</v>
      </c>
      <c r="G39" s="67">
        <f t="shared" si="1"/>
        <v>-5.3358372658318998E-2</v>
      </c>
      <c r="H39" s="67">
        <f t="shared" si="1"/>
        <v>-1.0435473956229457E-2</v>
      </c>
      <c r="I39" s="67">
        <f t="shared" si="2"/>
        <v>0</v>
      </c>
    </row>
    <row r="40" spans="3:9" ht="15" customHeight="1" x14ac:dyDescent="0.2">
      <c r="C40" s="62" t="s">
        <v>87</v>
      </c>
      <c r="D40" s="73">
        <v>49749.393392559599</v>
      </c>
      <c r="E40" s="73">
        <v>42428.764635244661</v>
      </c>
      <c r="F40" s="73">
        <v>38872.484384568292</v>
      </c>
      <c r="G40" s="60">
        <f t="shared" si="1"/>
        <v>-0.14715011094808228</v>
      </c>
      <c r="H40" s="60">
        <f t="shared" si="1"/>
        <v>-8.3817671366331559E-2</v>
      </c>
      <c r="I40" s="60">
        <f t="shared" si="2"/>
        <v>-6.0504307304611538E-2</v>
      </c>
    </row>
    <row r="41" spans="3:9" ht="15" customHeight="1" x14ac:dyDescent="0.2">
      <c r="C41" s="43" t="s">
        <v>95</v>
      </c>
      <c r="D41" s="69">
        <v>29502.0746887967</v>
      </c>
      <c r="E41" s="69">
        <v>34896.551724137913</v>
      </c>
      <c r="F41" s="69">
        <v>37031.57894736842</v>
      </c>
      <c r="G41" s="60">
        <f t="shared" si="1"/>
        <v>0.18285076870847128</v>
      </c>
      <c r="H41" s="60">
        <f t="shared" si="1"/>
        <v>6.1181610151862298E-2</v>
      </c>
      <c r="I41" s="60">
        <f t="shared" si="2"/>
        <v>-0.10499651705890733</v>
      </c>
    </row>
    <row r="42" spans="3:9" ht="15" customHeight="1" x14ac:dyDescent="0.2">
      <c r="C42" s="75" t="s">
        <v>96</v>
      </c>
      <c r="D42" s="76" t="s">
        <v>98</v>
      </c>
      <c r="E42" s="77">
        <v>33654.51745379877</v>
      </c>
      <c r="F42" s="77">
        <v>36194.849368318799</v>
      </c>
      <c r="G42" s="72" t="s">
        <v>98</v>
      </c>
      <c r="H42" s="72">
        <f>F42/E42-1</f>
        <v>7.5482642649903342E-2</v>
      </c>
      <c r="I42" s="72">
        <f t="shared" si="2"/>
        <v>-0.12521914619912289</v>
      </c>
    </row>
    <row r="43" spans="3:9" ht="15" customHeight="1" x14ac:dyDescent="0.2">
      <c r="C43" s="62" t="s">
        <v>99</v>
      </c>
      <c r="D43" s="73">
        <v>31310.381925766502</v>
      </c>
      <c r="E43" s="73">
        <v>33218.988549618385</v>
      </c>
      <c r="F43" s="73">
        <v>35852.339845524766</v>
      </c>
      <c r="G43" s="60">
        <f>E43/D43-1</f>
        <v>6.0957628315648771E-2</v>
      </c>
      <c r="H43" s="60">
        <f>F43/E43-1</f>
        <v>7.9272470682633989E-2</v>
      </c>
      <c r="I43" s="60">
        <f t="shared" si="2"/>
        <v>-0.13349714094184872</v>
      </c>
    </row>
    <row r="44" spans="3:9" x14ac:dyDescent="0.2">
      <c r="C44" s="43" t="s">
        <v>100</v>
      </c>
      <c r="D44" s="69">
        <v>27944.881889763801</v>
      </c>
      <c r="E44" s="69">
        <v>31467.032967032988</v>
      </c>
      <c r="F44" s="69">
        <v>34425.675675675695</v>
      </c>
      <c r="G44" s="60">
        <f>E44/D44-1</f>
        <v>0.12603921860050327</v>
      </c>
      <c r="H44" s="60">
        <f>F44/E44-1</f>
        <v>9.4023567831844179E-2</v>
      </c>
      <c r="I44" s="60">
        <f t="shared" si="2"/>
        <v>-0.16797769611388036</v>
      </c>
    </row>
    <row r="45" spans="3:9" x14ac:dyDescent="0.2">
      <c r="C45" s="75" t="s">
        <v>101</v>
      </c>
      <c r="D45" s="76" t="s">
        <v>98</v>
      </c>
      <c r="E45" s="77">
        <v>27486.48648648649</v>
      </c>
      <c r="F45" s="77">
        <v>30923.076923076947</v>
      </c>
      <c r="G45" s="72" t="s">
        <v>98</v>
      </c>
      <c r="H45" s="72">
        <f>F45/E45-1</f>
        <v>0.12502836396641781</v>
      </c>
      <c r="I45" s="72">
        <f t="shared" si="2"/>
        <v>-0.25263079954693757</v>
      </c>
    </row>
    <row r="46" spans="3:9" ht="12.75" customHeight="1" x14ac:dyDescent="0.2">
      <c r="C46" s="78" t="s">
        <v>73</v>
      </c>
      <c r="D46" s="78"/>
      <c r="E46" s="78"/>
      <c r="F46" s="78"/>
      <c r="G46" s="78"/>
      <c r="H46" s="78"/>
      <c r="I46" s="78"/>
    </row>
    <row r="47" spans="3:9" x14ac:dyDescent="0.2">
      <c r="C47" s="15"/>
      <c r="D47" s="15"/>
      <c r="E47" s="15"/>
      <c r="F47" s="15"/>
      <c r="G47" s="15"/>
      <c r="H47" s="15"/>
      <c r="I47" s="15"/>
    </row>
    <row r="48" spans="3:9" x14ac:dyDescent="0.2">
      <c r="C48" s="15"/>
      <c r="D48" s="15"/>
      <c r="E48" s="15"/>
      <c r="F48" s="15"/>
      <c r="G48" s="15"/>
      <c r="H48" s="15"/>
      <c r="I48" s="15"/>
    </row>
    <row r="49" spans="3:9" ht="36" hidden="1" customHeight="1" x14ac:dyDescent="0.2">
      <c r="C49" s="286" t="s">
        <v>126</v>
      </c>
      <c r="D49" s="286"/>
      <c r="E49" s="286"/>
      <c r="F49" s="286"/>
      <c r="G49" s="286"/>
      <c r="H49" s="286"/>
      <c r="I49" s="286"/>
    </row>
    <row r="50" spans="3:9" ht="76.5" hidden="1" x14ac:dyDescent="0.2">
      <c r="C50" s="42"/>
      <c r="D50" s="10" t="e">
        <f>#REF!</f>
        <v>#REF!</v>
      </c>
      <c r="E50" s="10"/>
      <c r="F50" s="11" t="s">
        <v>124</v>
      </c>
      <c r="G50" s="11"/>
      <c r="H50" s="11" t="e">
        <f>#REF!</f>
        <v>#REF!</v>
      </c>
      <c r="I50" s="11" t="s">
        <v>131</v>
      </c>
    </row>
    <row r="51" spans="3:9" hidden="1" x14ac:dyDescent="0.2">
      <c r="C51" s="70" t="s">
        <v>86</v>
      </c>
      <c r="D51" s="79" t="s">
        <v>98</v>
      </c>
      <c r="E51" s="79"/>
      <c r="F51" s="80" t="s">
        <v>98</v>
      </c>
      <c r="G51" s="80"/>
      <c r="H51" s="60" t="str">
        <f t="shared" ref="H51:H68" si="3">IFERROR(F51/D51-1,"-")</f>
        <v>-</v>
      </c>
      <c r="I51" s="81" t="s">
        <v>98</v>
      </c>
    </row>
    <row r="52" spans="3:9" hidden="1" x14ac:dyDescent="0.2">
      <c r="C52" s="70" t="s">
        <v>83</v>
      </c>
      <c r="D52" s="79" t="s">
        <v>98</v>
      </c>
      <c r="E52" s="79"/>
      <c r="F52" s="71">
        <v>87000</v>
      </c>
      <c r="G52" s="71"/>
      <c r="H52" s="60" t="str">
        <f t="shared" si="3"/>
        <v>-</v>
      </c>
      <c r="I52" s="82">
        <f t="shared" ref="I52:I68" si="4">F52/$F$62-1</f>
        <v>0.9682054417609296</v>
      </c>
    </row>
    <row r="53" spans="3:9" hidden="1" x14ac:dyDescent="0.2">
      <c r="C53" s="70" t="s">
        <v>85</v>
      </c>
      <c r="D53" s="79" t="s">
        <v>98</v>
      </c>
      <c r="E53" s="79"/>
      <c r="F53" s="71">
        <v>72000</v>
      </c>
      <c r="G53" s="71"/>
      <c r="H53" s="60" t="str">
        <f t="shared" si="3"/>
        <v>-</v>
      </c>
      <c r="I53" s="82">
        <f t="shared" si="4"/>
        <v>0.62885967594007952</v>
      </c>
    </row>
    <row r="54" spans="3:9" hidden="1" x14ac:dyDescent="0.2">
      <c r="C54" s="62" t="s">
        <v>84</v>
      </c>
      <c r="D54" s="79" t="s">
        <v>98</v>
      </c>
      <c r="E54" s="79"/>
      <c r="F54" s="73">
        <v>71819.999999999985</v>
      </c>
      <c r="G54" s="73"/>
      <c r="H54" s="60" t="str">
        <f t="shared" si="3"/>
        <v>-</v>
      </c>
      <c r="I54" s="82">
        <f t="shared" si="4"/>
        <v>0.62478752675022897</v>
      </c>
    </row>
    <row r="55" spans="3:9" hidden="1" x14ac:dyDescent="0.2">
      <c r="C55" s="43" t="s">
        <v>94</v>
      </c>
      <c r="D55" s="79" t="s">
        <v>98</v>
      </c>
      <c r="E55" s="79"/>
      <c r="F55" s="69">
        <v>61120</v>
      </c>
      <c r="G55" s="69"/>
      <c r="H55" s="60" t="str">
        <f t="shared" si="3"/>
        <v>-</v>
      </c>
      <c r="I55" s="82">
        <f t="shared" si="4"/>
        <v>0.38272088046468977</v>
      </c>
    </row>
    <row r="56" spans="3:9" hidden="1" x14ac:dyDescent="0.2">
      <c r="C56" s="62" t="s">
        <v>87</v>
      </c>
      <c r="D56" s="79" t="s">
        <v>98</v>
      </c>
      <c r="E56" s="79"/>
      <c r="F56" s="73">
        <v>54885.975786924966</v>
      </c>
      <c r="G56" s="73"/>
      <c r="H56" s="60" t="str">
        <f t="shared" si="3"/>
        <v>-</v>
      </c>
      <c r="I56" s="82">
        <f t="shared" si="4"/>
        <v>0.24168823241591197</v>
      </c>
    </row>
    <row r="57" spans="3:9" hidden="1" x14ac:dyDescent="0.2">
      <c r="C57" s="43" t="s">
        <v>93</v>
      </c>
      <c r="D57" s="79" t="s">
        <v>98</v>
      </c>
      <c r="E57" s="79"/>
      <c r="F57" s="69">
        <v>53541.666666666664</v>
      </c>
      <c r="G57" s="69"/>
      <c r="H57" s="60" t="str">
        <f t="shared" si="3"/>
        <v>-</v>
      </c>
      <c r="I57" s="82">
        <f t="shared" si="4"/>
        <v>0.2112758585549781</v>
      </c>
    </row>
    <row r="58" spans="3:9" hidden="1" x14ac:dyDescent="0.2">
      <c r="C58" s="70" t="s">
        <v>82</v>
      </c>
      <c r="D58" s="79" t="s">
        <v>98</v>
      </c>
      <c r="E58" s="79"/>
      <c r="F58" s="71">
        <v>52071.428571428572</v>
      </c>
      <c r="G58" s="71"/>
      <c r="H58" s="60" t="str">
        <f t="shared" si="3"/>
        <v>-</v>
      </c>
      <c r="I58" s="82">
        <f t="shared" si="4"/>
        <v>0.17801458706380768</v>
      </c>
    </row>
    <row r="59" spans="3:9" hidden="1" x14ac:dyDescent="0.2">
      <c r="C59" s="62" t="s">
        <v>89</v>
      </c>
      <c r="D59" s="79" t="s">
        <v>98</v>
      </c>
      <c r="E59" s="79"/>
      <c r="F59" s="69">
        <v>50249.999999999985</v>
      </c>
      <c r="G59" s="69"/>
      <c r="H59" s="60" t="str">
        <f t="shared" si="3"/>
        <v>-</v>
      </c>
      <c r="I59" s="82">
        <f t="shared" si="4"/>
        <v>0.13680831549984696</v>
      </c>
    </row>
    <row r="60" spans="3:9" hidden="1" x14ac:dyDescent="0.2">
      <c r="C60" s="65" t="s">
        <v>90</v>
      </c>
      <c r="D60" s="83" t="s">
        <v>98</v>
      </c>
      <c r="E60" s="83"/>
      <c r="F60" s="74">
        <v>46737.285460992927</v>
      </c>
      <c r="G60" s="74"/>
      <c r="H60" s="67" t="str">
        <f t="shared" si="3"/>
        <v>-</v>
      </c>
      <c r="I60" s="84">
        <f t="shared" si="4"/>
        <v>5.733999514322119E-2</v>
      </c>
    </row>
    <row r="61" spans="3:9" hidden="1" x14ac:dyDescent="0.2">
      <c r="C61" s="43" t="s">
        <v>91</v>
      </c>
      <c r="D61" s="79" t="s">
        <v>98</v>
      </c>
      <c r="E61" s="79"/>
      <c r="F61" s="69">
        <v>46086.95652173915</v>
      </c>
      <c r="G61" s="69"/>
      <c r="H61" s="60" t="str">
        <f t="shared" si="3"/>
        <v>-</v>
      </c>
      <c r="I61" s="82">
        <f t="shared" si="4"/>
        <v>4.2627570348118926E-2</v>
      </c>
    </row>
    <row r="62" spans="3:9" hidden="1" x14ac:dyDescent="0.2">
      <c r="C62" s="43" t="s">
        <v>88</v>
      </c>
      <c r="D62" s="79" t="s">
        <v>98</v>
      </c>
      <c r="E62" s="79"/>
      <c r="F62" s="69">
        <v>44202.7027027027</v>
      </c>
      <c r="G62" s="69"/>
      <c r="H62" s="60" t="str">
        <f t="shared" si="3"/>
        <v>-</v>
      </c>
      <c r="I62" s="82">
        <f t="shared" si="4"/>
        <v>0</v>
      </c>
    </row>
    <row r="63" spans="3:9" hidden="1" x14ac:dyDescent="0.2">
      <c r="C63" s="43" t="s">
        <v>92</v>
      </c>
      <c r="D63" s="79" t="s">
        <v>98</v>
      </c>
      <c r="E63" s="79"/>
      <c r="F63" s="69">
        <v>43074.074074074066</v>
      </c>
      <c r="G63" s="69"/>
      <c r="H63" s="60" t="str">
        <f t="shared" si="3"/>
        <v>-</v>
      </c>
      <c r="I63" s="82">
        <f t="shared" si="4"/>
        <v>-2.5533023087287998E-2</v>
      </c>
    </row>
    <row r="64" spans="3:9" hidden="1" x14ac:dyDescent="0.2">
      <c r="C64" s="75" t="s">
        <v>96</v>
      </c>
      <c r="D64" s="79" t="s">
        <v>98</v>
      </c>
      <c r="E64" s="79"/>
      <c r="F64" s="77">
        <v>39508.165829145721</v>
      </c>
      <c r="G64" s="77"/>
      <c r="H64" s="60" t="str">
        <f t="shared" si="3"/>
        <v>-</v>
      </c>
      <c r="I64" s="82">
        <f t="shared" si="4"/>
        <v>-0.10620474736876073</v>
      </c>
    </row>
    <row r="65" spans="3:9" hidden="1" x14ac:dyDescent="0.2">
      <c r="C65" s="62" t="s">
        <v>99</v>
      </c>
      <c r="D65" s="79" t="s">
        <v>98</v>
      </c>
      <c r="E65" s="79"/>
      <c r="F65" s="73">
        <v>39188.256658595623</v>
      </c>
      <c r="G65" s="73"/>
      <c r="H65" s="60" t="str">
        <f t="shared" si="3"/>
        <v>-</v>
      </c>
      <c r="I65" s="82">
        <f t="shared" si="4"/>
        <v>-0.11344206886698982</v>
      </c>
    </row>
    <row r="66" spans="3:9" hidden="1" x14ac:dyDescent="0.2">
      <c r="C66" s="43" t="s">
        <v>95</v>
      </c>
      <c r="D66" s="79" t="s">
        <v>98</v>
      </c>
      <c r="E66" s="79"/>
      <c r="F66" s="69">
        <v>32967.2131147541</v>
      </c>
      <c r="G66" s="69"/>
      <c r="H66" s="60" t="str">
        <f t="shared" si="3"/>
        <v>-</v>
      </c>
      <c r="I66" s="82">
        <f t="shared" si="4"/>
        <v>-0.25418105457297357</v>
      </c>
    </row>
    <row r="67" spans="3:9" hidden="1" x14ac:dyDescent="0.2">
      <c r="C67" s="75" t="s">
        <v>101</v>
      </c>
      <c r="D67" s="79" t="s">
        <v>98</v>
      </c>
      <c r="E67" s="79"/>
      <c r="F67" s="77">
        <v>30700.000000000004</v>
      </c>
      <c r="G67" s="77"/>
      <c r="H67" s="60" t="str">
        <f t="shared" si="3"/>
        <v>-</v>
      </c>
      <c r="I67" s="82">
        <f t="shared" si="4"/>
        <v>-0.30547233261999374</v>
      </c>
    </row>
    <row r="68" spans="3:9" hidden="1" x14ac:dyDescent="0.2">
      <c r="C68" s="43" t="s">
        <v>100</v>
      </c>
      <c r="D68" s="79" t="s">
        <v>98</v>
      </c>
      <c r="E68" s="79"/>
      <c r="F68" s="69">
        <v>28296.296296296296</v>
      </c>
      <c r="G68" s="69"/>
      <c r="H68" s="60" t="str">
        <f t="shared" si="3"/>
        <v>-</v>
      </c>
      <c r="I68" s="82">
        <f t="shared" si="4"/>
        <v>-0.35985144422931026</v>
      </c>
    </row>
    <row r="69" spans="3:9" ht="54.75" hidden="1" customHeight="1" x14ac:dyDescent="0.2">
      <c r="C69" s="293" t="s">
        <v>125</v>
      </c>
      <c r="D69" s="293"/>
      <c r="E69" s="293"/>
      <c r="F69" s="293"/>
      <c r="G69" s="293"/>
      <c r="H69" s="293"/>
      <c r="I69" s="293"/>
    </row>
    <row r="70" spans="3:9" hidden="1" x14ac:dyDescent="0.2"/>
    <row r="71" spans="3:9" hidden="1" x14ac:dyDescent="0.2"/>
    <row r="72" spans="3:9" x14ac:dyDescent="0.2">
      <c r="F72" s="85" t="s">
        <v>102</v>
      </c>
    </row>
  </sheetData>
  <mergeCells count="5">
    <mergeCell ref="C3:H3"/>
    <mergeCell ref="C23:H23"/>
    <mergeCell ref="C26:I26"/>
    <mergeCell ref="C49:I49"/>
    <mergeCell ref="C69:I69"/>
  </mergeCells>
  <hyperlinks>
    <hyperlink ref="F72" location="'GRAFICO RENTA X NACIONAL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8:K43"/>
  <sheetViews>
    <sheetView showGridLines="0" zoomScaleNormal="100" workbookViewId="0">
      <selection activeCell="L59" sqref="L59"/>
    </sheetView>
  </sheetViews>
  <sheetFormatPr baseColWidth="10" defaultRowHeight="12.75" x14ac:dyDescent="0.2"/>
  <cols>
    <col min="2" max="2" width="9.7109375" customWidth="1"/>
    <col min="9" max="9" width="12.28515625" customWidth="1"/>
    <col min="10" max="10" width="13.140625" customWidth="1"/>
  </cols>
  <sheetData>
    <row r="8" spans="4:6" x14ac:dyDescent="0.2">
      <c r="E8">
        <v>2012</v>
      </c>
      <c r="F8" t="s">
        <v>105</v>
      </c>
    </row>
    <row r="9" spans="4:6" x14ac:dyDescent="0.2">
      <c r="D9" t="s">
        <v>83</v>
      </c>
      <c r="E9">
        <v>78653.061224489808</v>
      </c>
      <c r="F9">
        <v>2.1915299493522777E-2</v>
      </c>
    </row>
    <row r="10" spans="4:6" x14ac:dyDescent="0.2">
      <c r="D10" t="s">
        <v>85</v>
      </c>
      <c r="E10">
        <v>72010.92896174865</v>
      </c>
      <c r="F10">
        <v>1.5398007463681251E-2</v>
      </c>
    </row>
    <row r="11" spans="4:6" x14ac:dyDescent="0.2">
      <c r="D11" t="s">
        <v>84</v>
      </c>
      <c r="E11">
        <v>66341.145833333314</v>
      </c>
      <c r="F11">
        <v>1.0892599146385518E-2</v>
      </c>
    </row>
    <row r="12" spans="4:6" x14ac:dyDescent="0.2">
      <c r="D12" t="s">
        <v>93</v>
      </c>
      <c r="E12">
        <v>63437.086092715217</v>
      </c>
      <c r="F12">
        <v>4.9654302537446515E-2</v>
      </c>
    </row>
    <row r="13" spans="4:6" x14ac:dyDescent="0.2">
      <c r="D13" t="s">
        <v>94</v>
      </c>
      <c r="E13">
        <v>61424.460431654661</v>
      </c>
      <c r="F13">
        <v>0.12336362605930051</v>
      </c>
    </row>
    <row r="14" spans="4:6" x14ac:dyDescent="0.2">
      <c r="D14" t="s">
        <v>86</v>
      </c>
      <c r="E14">
        <v>61391.666666666693</v>
      </c>
      <c r="F14">
        <v>1.4567172568859199E-2</v>
      </c>
    </row>
    <row r="15" spans="4:6" x14ac:dyDescent="0.2">
      <c r="D15" t="s">
        <v>82</v>
      </c>
      <c r="E15">
        <v>59705.27859237534</v>
      </c>
      <c r="F15">
        <v>-1.7415639753677326E-3</v>
      </c>
    </row>
    <row r="16" spans="4:6" x14ac:dyDescent="0.2">
      <c r="D16" t="s">
        <v>91</v>
      </c>
      <c r="E16">
        <v>59260.377358490579</v>
      </c>
      <c r="F16">
        <v>-2.9172453507672502E-2</v>
      </c>
    </row>
    <row r="17" spans="4:6" x14ac:dyDescent="0.2">
      <c r="D17" t="s">
        <v>87</v>
      </c>
      <c r="E17">
        <v>56035.883194278838</v>
      </c>
      <c r="F17">
        <v>8.3512793645018624E-2</v>
      </c>
    </row>
    <row r="18" spans="4:6" x14ac:dyDescent="0.2">
      <c r="D18" t="s">
        <v>89</v>
      </c>
      <c r="E18">
        <v>54469.863013698625</v>
      </c>
      <c r="F18">
        <v>4.2837485016939958E-3</v>
      </c>
    </row>
    <row r="19" spans="4:6" x14ac:dyDescent="0.2">
      <c r="D19" t="s">
        <v>88</v>
      </c>
      <c r="E19">
        <v>53934.262948207128</v>
      </c>
      <c r="F19">
        <v>6.4283465683825591E-2</v>
      </c>
    </row>
    <row r="20" spans="4:6" x14ac:dyDescent="0.2">
      <c r="D20" t="s">
        <v>90</v>
      </c>
      <c r="E20">
        <v>51676.159754896507</v>
      </c>
      <c r="F20">
        <v>3.2390526200560377E-2</v>
      </c>
    </row>
    <row r="21" spans="4:6" x14ac:dyDescent="0.2">
      <c r="D21" t="s">
        <v>92</v>
      </c>
      <c r="E21">
        <v>51415.064102564094</v>
      </c>
      <c r="F21">
        <v>7.6302287611310859E-2</v>
      </c>
    </row>
    <row r="22" spans="4:6" x14ac:dyDescent="0.2">
      <c r="D22" t="s">
        <v>101</v>
      </c>
      <c r="E22">
        <v>40445.312500000007</v>
      </c>
      <c r="F22">
        <v>0.39099800222536962</v>
      </c>
    </row>
    <row r="23" spans="4:6" x14ac:dyDescent="0.2">
      <c r="D23" t="s">
        <v>95</v>
      </c>
      <c r="E23">
        <v>38684.89583333335</v>
      </c>
      <c r="F23">
        <v>-1.1036137701096016E-2</v>
      </c>
    </row>
    <row r="24" spans="4:6" x14ac:dyDescent="0.2">
      <c r="D24" t="s">
        <v>99</v>
      </c>
      <c r="E24">
        <v>37630.283729009891</v>
      </c>
      <c r="F24">
        <v>-2.7109562598582326E-2</v>
      </c>
    </row>
    <row r="25" spans="4:6" x14ac:dyDescent="0.2">
      <c r="D25" t="s">
        <v>96</v>
      </c>
      <c r="E25">
        <v>37521.948286229766</v>
      </c>
      <c r="F25">
        <v>-4.1756321350755687E-2</v>
      </c>
    </row>
    <row r="26" spans="4:6" x14ac:dyDescent="0.2">
      <c r="D26" t="s">
        <v>100</v>
      </c>
      <c r="E26">
        <v>30593.309859154931</v>
      </c>
      <c r="F26">
        <v>-4.4094848883101112E-2</v>
      </c>
    </row>
    <row r="41" spans="11:11" ht="3" customHeight="1" x14ac:dyDescent="0.2"/>
    <row r="42" spans="11:11" x14ac:dyDescent="0.2">
      <c r="K42" s="294" t="s">
        <v>76</v>
      </c>
    </row>
    <row r="43" spans="11:11" x14ac:dyDescent="0.2">
      <c r="K43" s="294"/>
    </row>
  </sheetData>
  <mergeCells count="1">
    <mergeCell ref="K42:K43"/>
  </mergeCells>
  <hyperlinks>
    <hyperlink ref="K42:K43" location="'rent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2012</oddHeader>
    <oddFooter>&amp;LTurismo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04699B40B4447A8CC9DC895BC9CE0" ma:contentTypeVersion="63" ma:contentTypeDescription="Crear nuevo documento." ma:contentTypeScope="" ma:versionID="6c4507b04e8982cf8f6bf990e8008c42">
  <xsd:schema xmlns:xsd="http://www.w3.org/2001/XMLSchema" xmlns:xs="http://www.w3.org/2001/XMLSchema" xmlns:p="http://schemas.microsoft.com/office/2006/metadata/properties" xmlns:ns1="http://schemas.microsoft.com/sharepoint/v3" xmlns:ns2="13009081-d2c6-487e-bae7-21e205a99b27" xmlns:ns3="8b099203-c902-4a5b-992f-1f849b15ff82" targetNamespace="http://schemas.microsoft.com/office/2006/metadata/properties" ma:root="true" ma:fieldsID="a3c34514ef8521cb3c29381bae82cc86" ns1:_="" ns2:_="" ns3:_="">
    <xsd:import namespace="http://schemas.microsoft.com/sharepoint/v3"/>
    <xsd:import namespace="13009081-d2c6-487e-bae7-21e205a99b27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9081-d2c6-487e-bae7-21e205a99b27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union memberTypes="dms:Text">
          <xsd:simpleType>
            <xsd:restriction base="dms:Choice">
              <xsd:enumeration value="alemania"/>
              <xsd:enumeration value="espana"/>
              <xsd:enumeration value="reinoUnido"/>
              <xsd:enumeration value="hungria"/>
              <xsd:enumeration value="francia"/>
              <xsd:enumeration value="belgica"/>
              <xsd:enumeration value="holanda"/>
              <xsd:enumeration value="rusia"/>
              <xsd:enumeration value="italia"/>
              <xsd:enumeration value="irlanda"/>
              <xsd:enumeration value="noruega"/>
              <xsd:enumeration value="suecia"/>
              <xsd:enumeration value="dinamarca"/>
              <xsd:enumeration value="finlandia"/>
              <xsd:enumeration value="austria"/>
              <xsd:enumeration value="suiza"/>
              <xsd:enumeration value="eeuu"/>
            </xsd:restriction>
          </xsd:simpleType>
        </xsd:un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No"/>
          <xsd:enumeration value="S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cado xmlns="13009081-d2c6-487e-bae7-21e205a99b27" xsi:nil="true"/>
    <DestacadoHome xmlns="13009081-d2c6-487e-bae7-21e205a99b27">No</DestacadoHome>
    <PublishingExpirationDate xmlns="http://schemas.microsoft.com/sharepoint/v3" xsi:nil="true"/>
    <PublishingStartDate xmlns="http://schemas.microsoft.com/sharepoint/v3">2013-04-03T23:00:00+00:00</PublishingStartDate>
    <year xmlns="13009081-d2c6-487e-bae7-21e205a99b27">2012</year>
    <_dlc_DocId xmlns="8b099203-c902-4a5b-992f-1f849b15ff82">Q5F7QW3RQ55V-1990-27</_dlc_DocId>
    <_dlc_DocIdUrl xmlns="8b099203-c902-4a5b-992f-1f849b15ff82">
      <Url>http://cd102671/es/investigacion/El-Turista-de-Tenerife/_layouts/DocIdRedir.aspx?ID=Q5F7QW3RQ55V-1990-27</Url>
      <Description>Q5F7QW3RQ55V-1990-27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04A67BE-8E89-4A33-BFD6-A9F0C158F2C6}"/>
</file>

<file path=customXml/itemProps2.xml><?xml version="1.0" encoding="utf-8"?>
<ds:datastoreItem xmlns:ds="http://schemas.openxmlformats.org/officeDocument/2006/customXml" ds:itemID="{8F2B77FF-A228-4C9C-9763-7F609FE831B8}"/>
</file>

<file path=customXml/itemProps3.xml><?xml version="1.0" encoding="utf-8"?>
<ds:datastoreItem xmlns:ds="http://schemas.openxmlformats.org/officeDocument/2006/customXml" ds:itemID="{4E1A43D8-2DFD-419C-814C-8AB04A65E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48</vt:i4>
      </vt:variant>
    </vt:vector>
  </HeadingPairs>
  <TitlesOfParts>
    <vt:vector size="95" baseType="lpstr">
      <vt:lpstr>Indice</vt:lpstr>
      <vt:lpstr>Edad</vt:lpstr>
      <vt:lpstr>EDAD GRAFICA 1 </vt:lpstr>
      <vt:lpstr>EDAD GRAFICA 2 </vt:lpstr>
      <vt:lpstr>edad por mercados</vt:lpstr>
      <vt:lpstr>GRAFICA EDAD POR MERCADOS</vt:lpstr>
      <vt:lpstr>renta media</vt:lpstr>
      <vt:lpstr>renta nacionalidades</vt:lpstr>
      <vt:lpstr>GRAFICO RENTA X NACIONAL</vt:lpstr>
      <vt:lpstr>ACOMPAÑANTES </vt:lpstr>
      <vt:lpstr>GRAFICA Acompañantes</vt:lpstr>
      <vt:lpstr>GASTO</vt:lpstr>
      <vt:lpstr>GRAFICA GASTO</vt:lpstr>
      <vt:lpstr>Evolución gasto (nacionalidad) </vt:lpstr>
      <vt:lpstr>Gasto partidas</vt:lpstr>
      <vt:lpstr>GRAFICA GASTO PARTIDA</vt:lpstr>
      <vt:lpstr>fidelidad </vt:lpstr>
      <vt:lpstr>GRAFICA FIDELIDAD</vt:lpstr>
      <vt:lpstr>fidelidad nac</vt:lpstr>
      <vt:lpstr>GRAFICA FIDELIDAD NAC</vt:lpstr>
      <vt:lpstr>Zonas de aloja Total y País </vt:lpstr>
      <vt:lpstr>GRAFICA ZONAS ALOJA PAIS</vt:lpstr>
      <vt:lpstr>Tipo de alojamiento</vt:lpstr>
      <vt:lpstr>gráfica tipo alojamiento</vt:lpstr>
      <vt:lpstr>estancia media nacionalidades</vt:lpstr>
      <vt:lpstr>GRAFICA estancia media nac</vt:lpstr>
      <vt:lpstr>uso coche </vt:lpstr>
      <vt:lpstr>fórmde contratación(new version</vt:lpstr>
      <vt:lpstr>fórmula de contratación por mer</vt:lpstr>
      <vt:lpstr>transfer</vt:lpstr>
      <vt:lpstr>Servi contrata origen </vt:lpstr>
      <vt:lpstr>escala nacionalidad</vt:lpstr>
      <vt:lpstr>GRAFICA ESCALA nac</vt:lpstr>
      <vt:lpstr>Uso de internet</vt:lpstr>
      <vt:lpstr>internet nacionalidad</vt:lpstr>
      <vt:lpstr>Actividades realizadas </vt:lpstr>
      <vt:lpstr>actividades nacionalidad</vt:lpstr>
      <vt:lpstr>Excursiones realizadas</vt:lpstr>
      <vt:lpstr>Motivación</vt:lpstr>
      <vt:lpstr>gráfica motivación casos</vt:lpstr>
      <vt:lpstr>Motivación repuestas</vt:lpstr>
      <vt:lpstr>gráfica motivación repuestas</vt:lpstr>
      <vt:lpstr>Índice satisfacción agrupad </vt:lpstr>
      <vt:lpstr>grafica indice de satisfacción</vt:lpstr>
      <vt:lpstr>satisfacción nacionalidad </vt:lpstr>
      <vt:lpstr>satisfacción</vt:lpstr>
      <vt:lpstr>IMPORTANCIA FACTORES</vt:lpstr>
      <vt:lpstr>'ACOMPAÑANTES '!Área_de_impresión</vt:lpstr>
      <vt:lpstr>'actividades nacionalidad'!Área_de_impresión</vt:lpstr>
      <vt:lpstr>'Actividades realizadas '!Área_de_impresión</vt:lpstr>
      <vt:lpstr>Edad!Área_de_impresión</vt:lpstr>
      <vt:lpstr>'EDAD GRAFICA 1 '!Área_de_impresión</vt:lpstr>
      <vt:lpstr>'EDAD GRAFICA 2 '!Área_de_impresión</vt:lpstr>
      <vt:lpstr>'edad por mercados'!Área_de_impresión</vt:lpstr>
      <vt:lpstr>'escala nacionalidad'!Área_de_impresión</vt:lpstr>
      <vt:lpstr>'estancia media nacionalidades'!Área_de_impresión</vt:lpstr>
      <vt:lpstr>'Evolución gasto (nacionalidad) '!Área_de_impresión</vt:lpstr>
      <vt:lpstr>'Excursiones realizadas'!Área_de_impresión</vt:lpstr>
      <vt:lpstr>'fidelidad '!Área_de_impresión</vt:lpstr>
      <vt:lpstr>'fidelidad nac'!Área_de_impresión</vt:lpstr>
      <vt:lpstr>'fórmde contratación(new version'!Área_de_impresión</vt:lpstr>
      <vt:lpstr>'fórmula de contratación por mer'!Área_de_impresión</vt:lpstr>
      <vt:lpstr>GASTO!Área_de_impresión</vt:lpstr>
      <vt:lpstr>'Gasto partidas'!Área_de_impresión</vt:lpstr>
      <vt:lpstr>'GRAFICA Acompañantes'!Área_de_impresión</vt:lpstr>
      <vt:lpstr>'GRAFICA EDAD POR MERCADOS'!Área_de_impresión</vt:lpstr>
      <vt:lpstr>'GRAFICA ESCALA nac'!Área_de_impresión</vt:lpstr>
      <vt:lpstr>'GRAFICA estancia media nac'!Área_de_impresión</vt:lpstr>
      <vt:lpstr>'GRAFICA FIDELIDAD'!Área_de_impresión</vt:lpstr>
      <vt:lpstr>'GRAFICA FIDELIDAD NAC'!Área_de_impresión</vt:lpstr>
      <vt:lpstr>'GRAFICA GASTO'!Área_de_impresión</vt:lpstr>
      <vt:lpstr>'GRAFICA GASTO PARTIDA'!Área_de_impresión</vt:lpstr>
      <vt:lpstr>'grafica indice de satisfacción'!Área_de_impresión</vt:lpstr>
      <vt:lpstr>'gráfica motivación casos'!Área_de_impresión</vt:lpstr>
      <vt:lpstr>'gráfica motivación repuestas'!Área_de_impresión</vt:lpstr>
      <vt:lpstr>'gráfica tipo alojamiento'!Área_de_impresión</vt:lpstr>
      <vt:lpstr>'GRAFICA ZONAS ALOJA PAIS'!Área_de_impresión</vt:lpstr>
      <vt:lpstr>'GRAFICO RENTA X NACIONAL'!Área_de_impresión</vt:lpstr>
      <vt:lpstr>'IMPORTANCIA FACTORES'!Área_de_impresión</vt:lpstr>
      <vt:lpstr>Indice!Área_de_impresión</vt:lpstr>
      <vt:lpstr>'Índice satisfacción agrupad '!Área_de_impresión</vt:lpstr>
      <vt:lpstr>'internet nacionalidad'!Área_de_impresión</vt:lpstr>
      <vt:lpstr>Motivación!Área_de_impresión</vt:lpstr>
      <vt:lpstr>'Motivación repuestas'!Área_de_impresión</vt:lpstr>
      <vt:lpstr>'renta media'!Área_de_impresión</vt:lpstr>
      <vt:lpstr>'renta nacionalidades'!Área_de_impresión</vt:lpstr>
      <vt:lpstr>satisfacción!Área_de_impresión</vt:lpstr>
      <vt:lpstr>'satisfacción nacionalidad '!Área_de_impresión</vt:lpstr>
      <vt:lpstr>'Servi contrata origen '!Área_de_impresión</vt:lpstr>
      <vt:lpstr>'Tipo de alojamiento'!Área_de_impresión</vt:lpstr>
      <vt:lpstr>transfer!Área_de_impresión</vt:lpstr>
      <vt:lpstr>'uso coche '!Área_de_impresión</vt:lpstr>
      <vt:lpstr>'Uso de internet'!Área_de_impresión</vt:lpstr>
      <vt:lpstr>'Zonas de aloja Total y País '!Área_de_impresión</vt:lpstr>
      <vt:lpstr>'Evolución gasto (nacionalidad)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Turismo Receptivo (año 2012)</dc:title>
  <dc:creator>Manuela Rabaneda</dc:creator>
  <cp:lastModifiedBy>Manuela Rabaneda</cp:lastModifiedBy>
  <cp:lastPrinted>2013-11-05T15:25:26Z</cp:lastPrinted>
  <dcterms:created xsi:type="dcterms:W3CDTF">2013-05-22T08:43:13Z</dcterms:created>
  <dcterms:modified xsi:type="dcterms:W3CDTF">2013-11-05T15:28:34Z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0x010100E8E04699B40B4447A8CC9DC895BC9CE0</vt:lpwstr>
  </property>
  <property fmtid="{D5CDD505-2E9C-101B-9397-08002B2CF9AE}" pid="3" name="_dlc_DocIdItemGuid">
    <vt:lpwstr>f7a0ee39-f840-407f-895a-0a20c5d5e03c</vt:lpwstr>
  </property>
</Properties>
</file>