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turismodetenerife.sharepoint.com/sites/JURIDICO/Documentos compartidos/General/1.- Comisionado Transparencia/Evaluación TDT 2021/8 Económico-Financiero/"/>
    </mc:Choice>
  </mc:AlternateContent>
  <xr:revisionPtr revIDLastSave="23" documentId="8_{DC795D10-10C0-494C-B13B-EBCFDCD9B2E6}" xr6:coauthVersionLast="47" xr6:coauthVersionMax="47" xr10:uidLastSave="{35E22DCE-4D01-429C-8045-66755D5B4756}"/>
  <bookViews>
    <workbookView xWindow="-120" yWindow="-120" windowWidth="29040" windowHeight="15720" tabRatio="964" xr2:uid="{00000000-000D-0000-FFFF-FFFF00000000}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ARGOS" sheetId="28" r:id="rId20"/>
    <sheet name="_FC-16_ESTAB_PRESUP" sheetId="29" r:id="rId21"/>
    <sheet name="FC-16_1_ INF_ADIC_ESTAB_PRESUP" sheetId="43" r:id="rId22"/>
    <sheet name="FC-17_FINANCIACIÓN" sheetId="31" r:id="rId23"/>
    <sheet name="FC-90" sheetId="34" r:id="rId24"/>
    <sheet name="_FC-90_DETALLE" sheetId="41" state="hidden" r:id="rId25"/>
  </sheets>
  <definedNames>
    <definedName name="_xlnm.Print_Area" localSheetId="1">_CHECK_LIST!$B$5:$H$65</definedName>
    <definedName name="_xlnm.Print_Area" localSheetId="20">'_FC-16_ESTAB_PRESUP'!$B$1:$H$92</definedName>
    <definedName name="_xlnm.Print_Area" localSheetId="0">_GENERAL!$B$5:$N$46</definedName>
    <definedName name="_xlnm.Print_Area" localSheetId="2">'FC-1_ORGANOS_GOBIERNO'!$B$1:$I$48</definedName>
    <definedName name="_xlnm.Print_Area" localSheetId="14">'FC-10_DEUDAS'!$B$5:$T$152</definedName>
    <definedName name="_xlnm.Print_Area" localSheetId="15">'FC-11_DEUDA_VIVA'!$B$1:$J$66</definedName>
    <definedName name="_xlnm.Print_Area" localSheetId="16">'FC-12_PERFIL_VTO_DEUDA'!$B$1:$O$51</definedName>
    <definedName name="_xlnm.Print_Area" localSheetId="17">'FC-13_PERSONAL'!$B$1:$K$71</definedName>
    <definedName name="_xlnm.Print_Area" localSheetId="18">'FC-14_OPER_INTERNAS'!$B$1:$I$111</definedName>
    <definedName name="_xlnm.Print_Area" localSheetId="19">'FC-15_ENCARGOS'!$B$1:$I$41</definedName>
    <definedName name="_xlnm.Print_Area" localSheetId="21">'FC-16_1_ INF_ADIC_ESTAB_PRESUP'!$B$1:$L$41</definedName>
    <definedName name="_xlnm.Print_Area" localSheetId="22">'FC-17_FINANCIACIÓN'!$B$1:$F$48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'FC-3_CPyG'!$B$5:$H$97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'FC-9_TRANS_SUBV'!$B$1:$S$165</definedName>
    <definedName name="_xlnm.Print_Area" localSheetId="23">'FC-90'!$B$1:$F$70</definedName>
    <definedName name="DEPENDENCIA">_GENERAL!$H$17</definedName>
    <definedName name="ejercicio">_GENERAL!$D$17</definedName>
    <definedName name="Entidad">_GENERAL!$D$13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6" i="41" l="1"/>
  <c r="F81" i="36"/>
  <c r="F29" i="7"/>
  <c r="G29" i="7"/>
  <c r="F35" i="7" l="1"/>
  <c r="K65" i="39" l="1"/>
  <c r="K60" i="39"/>
  <c r="G48" i="37" l="1"/>
  <c r="F48" i="37"/>
  <c r="J20" i="3" l="1"/>
  <c r="J21" i="3" s="1"/>
  <c r="J22" i="3" s="1"/>
  <c r="J23" i="3" s="1"/>
  <c r="J24" i="3" s="1"/>
  <c r="J25" i="3" s="1"/>
  <c r="J26" i="3" s="1"/>
  <c r="J27" i="3" s="1"/>
  <c r="J19" i="3"/>
  <c r="J18" i="3"/>
  <c r="J17" i="3"/>
  <c r="G79" i="36" l="1"/>
  <c r="G35" i="7"/>
  <c r="K99" i="12" l="1"/>
  <c r="M68" i="14"/>
  <c r="L68" i="14"/>
  <c r="K68" i="14"/>
  <c r="K65" i="9"/>
  <c r="J65" i="9"/>
  <c r="M66" i="14"/>
  <c r="L66" i="14"/>
  <c r="K66" i="14"/>
  <c r="F78" i="14" l="1"/>
  <c r="G81" i="36" l="1"/>
  <c r="I42" i="36" l="1"/>
  <c r="F42" i="36"/>
  <c r="H99" i="27" l="1"/>
  <c r="G99" i="27"/>
  <c r="G55" i="27"/>
  <c r="H55" i="27"/>
  <c r="G51" i="39" l="1"/>
  <c r="G50" i="39"/>
  <c r="G49" i="39"/>
  <c r="J51" i="39"/>
  <c r="J50" i="39"/>
  <c r="J49" i="39"/>
  <c r="N51" i="39"/>
  <c r="E30" i="31" s="1"/>
  <c r="M51" i="39"/>
  <c r="N50" i="39"/>
  <c r="E31" i="31" s="1"/>
  <c r="M50" i="39"/>
  <c r="N49" i="39"/>
  <c r="M49" i="39"/>
  <c r="N48" i="39"/>
  <c r="M48" i="39"/>
  <c r="J97" i="39"/>
  <c r="E26" i="31" s="1"/>
  <c r="I97" i="39"/>
  <c r="H97" i="39"/>
  <c r="G97" i="39"/>
  <c r="J96" i="39"/>
  <c r="E27" i="31" s="1"/>
  <c r="I96" i="39"/>
  <c r="H96" i="39"/>
  <c r="G96" i="39"/>
  <c r="J95" i="39"/>
  <c r="I95" i="39"/>
  <c r="H95" i="39"/>
  <c r="G95" i="39"/>
  <c r="J94" i="39"/>
  <c r="I94" i="39"/>
  <c r="H94" i="39"/>
  <c r="G94" i="39"/>
  <c r="E29" i="31" l="1"/>
  <c r="E25" i="31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X22" i="39" s="1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W22" i="39" s="1"/>
  <c r="J21" i="39"/>
  <c r="G21" i="39"/>
  <c r="G48" i="39" s="1"/>
  <c r="N92" i="39"/>
  <c r="N91" i="39"/>
  <c r="N90" i="39"/>
  <c r="N89" i="39"/>
  <c r="N88" i="39"/>
  <c r="N87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8" i="39"/>
  <c r="N57" i="39"/>
  <c r="R26" i="39" l="1"/>
  <c r="R34" i="39"/>
  <c r="R42" i="39"/>
  <c r="J48" i="39"/>
  <c r="R21" i="39"/>
  <c r="R37" i="39"/>
  <c r="R29" i="39"/>
  <c r="R24" i="39"/>
  <c r="R28" i="39"/>
  <c r="R32" i="39"/>
  <c r="R36" i="39"/>
  <c r="R40" i="39"/>
  <c r="R22" i="39"/>
  <c r="R30" i="39"/>
  <c r="R38" i="39"/>
  <c r="R25" i="39"/>
  <c r="R33" i="39"/>
  <c r="R41" i="39"/>
  <c r="R23" i="39"/>
  <c r="R27" i="39"/>
  <c r="R31" i="39"/>
  <c r="R35" i="39"/>
  <c r="R39" i="39"/>
  <c r="J107" i="39"/>
  <c r="J113" i="39"/>
  <c r="J112" i="39"/>
  <c r="J111" i="39"/>
  <c r="J110" i="39"/>
  <c r="J109" i="39"/>
  <c r="J108" i="39"/>
  <c r="J106" i="39"/>
  <c r="J105" i="39"/>
  <c r="G113" i="39"/>
  <c r="G112" i="39"/>
  <c r="G111" i="39"/>
  <c r="G110" i="39"/>
  <c r="G109" i="39"/>
  <c r="G108" i="39"/>
  <c r="G107" i="39"/>
  <c r="G106" i="39"/>
  <c r="G105" i="39"/>
  <c r="J104" i="39"/>
  <c r="G104" i="39"/>
  <c r="G114" i="39" l="1"/>
  <c r="K115" i="39"/>
  <c r="G115" i="39"/>
  <c r="R105" i="39" l="1"/>
  <c r="R106" i="39"/>
  <c r="R107" i="39"/>
  <c r="R108" i="39"/>
  <c r="R109" i="39"/>
  <c r="R110" i="39"/>
  <c r="R111" i="39"/>
  <c r="R112" i="39"/>
  <c r="R113" i="39"/>
  <c r="R104" i="39"/>
  <c r="N86" i="39"/>
  <c r="R43" i="39"/>
  <c r="E33" i="31" l="1"/>
  <c r="E28" i="31"/>
  <c r="E30" i="21" l="1"/>
  <c r="M30" i="21"/>
  <c r="L30" i="21"/>
  <c r="K30" i="21"/>
  <c r="J30" i="21"/>
  <c r="I30" i="21"/>
  <c r="G30" i="21"/>
  <c r="F30" i="21"/>
  <c r="N30" i="21"/>
  <c r="H30" i="21"/>
  <c r="F44" i="20" l="1"/>
  <c r="I44" i="20"/>
  <c r="H44" i="20"/>
  <c r="G44" i="20"/>
  <c r="F19" i="20"/>
  <c r="F29" i="20" s="1"/>
  <c r="F42" i="20" s="1"/>
  <c r="F54" i="20" s="1"/>
  <c r="J115" i="39"/>
  <c r="H115" i="39"/>
  <c r="C12" i="34"/>
  <c r="L115" i="39"/>
  <c r="I115" i="39"/>
  <c r="K114" i="39"/>
  <c r="G31" i="37" s="1"/>
  <c r="L114" i="39"/>
  <c r="H114" i="39"/>
  <c r="F31" i="37" s="1"/>
  <c r="I114" i="39"/>
  <c r="J103" i="39"/>
  <c r="G103" i="39"/>
  <c r="K102" i="39"/>
  <c r="H102" i="39"/>
  <c r="X103" i="39" l="1"/>
  <c r="W103" i="39"/>
  <c r="X56" i="39"/>
  <c r="W56" i="39"/>
  <c r="X17" i="39"/>
  <c r="W17" i="39"/>
  <c r="G57" i="7"/>
  <c r="F57" i="7"/>
  <c r="E57" i="7"/>
  <c r="G51" i="7"/>
  <c r="F51" i="7"/>
  <c r="E51" i="7"/>
  <c r="G47" i="7"/>
  <c r="F47" i="7"/>
  <c r="E47" i="7"/>
  <c r="G40" i="7"/>
  <c r="F40" i="7"/>
  <c r="E40" i="7"/>
  <c r="G46" i="7" l="1"/>
  <c r="E46" i="7"/>
  <c r="F46" i="7"/>
  <c r="C12" i="41"/>
  <c r="C13" i="29"/>
  <c r="C12" i="43" l="1"/>
  <c r="C12" i="12"/>
  <c r="E90" i="41" l="1"/>
  <c r="G186" i="41" l="1"/>
  <c r="F193" i="41"/>
  <c r="H67" i="41" l="1"/>
  <c r="H49" i="41"/>
  <c r="Q74" i="23" l="1"/>
  <c r="Q73" i="23"/>
  <c r="Q72" i="23"/>
  <c r="Q71" i="23"/>
  <c r="Q70" i="23"/>
  <c r="Q69" i="23"/>
  <c r="Q68" i="23"/>
  <c r="Q67" i="23"/>
  <c r="Q66" i="23"/>
  <c r="Q65" i="23"/>
  <c r="Q64" i="23"/>
  <c r="Q63" i="23"/>
  <c r="Q62" i="23"/>
  <c r="Q61" i="23"/>
  <c r="Q60" i="23"/>
  <c r="Q59" i="23"/>
  <c r="Q58" i="23"/>
  <c r="Q57" i="23"/>
  <c r="Q56" i="23"/>
  <c r="Q55" i="23"/>
  <c r="Q54" i="23"/>
  <c r="Q53" i="23"/>
  <c r="Q52" i="23"/>
  <c r="Q51" i="23"/>
  <c r="Q50" i="23"/>
  <c r="O105" i="23" l="1"/>
  <c r="Q80" i="23"/>
  <c r="O75" i="23"/>
  <c r="F48" i="41" s="1"/>
  <c r="O79" i="23"/>
  <c r="K105" i="23"/>
  <c r="Q79" i="23"/>
  <c r="P79" i="23"/>
  <c r="N79" i="23"/>
  <c r="M79" i="23"/>
  <c r="L79" i="23"/>
  <c r="S105" i="23"/>
  <c r="R105" i="23"/>
  <c r="P105" i="23"/>
  <c r="N105" i="23"/>
  <c r="M105" i="23"/>
  <c r="L105" i="23"/>
  <c r="Q104" i="23"/>
  <c r="Q103" i="23"/>
  <c r="Q102" i="23"/>
  <c r="Q101" i="23"/>
  <c r="Q100" i="23"/>
  <c r="Q99" i="23"/>
  <c r="Q98" i="23"/>
  <c r="Q97" i="23"/>
  <c r="Q96" i="23"/>
  <c r="Q95" i="23"/>
  <c r="Q94" i="23"/>
  <c r="Q93" i="23"/>
  <c r="Q92" i="23"/>
  <c r="Q91" i="23"/>
  <c r="Q90" i="23"/>
  <c r="Q89" i="23"/>
  <c r="Q88" i="23"/>
  <c r="Q87" i="23"/>
  <c r="Q86" i="23"/>
  <c r="Q85" i="23"/>
  <c r="Q84" i="23"/>
  <c r="Q83" i="23"/>
  <c r="Q82" i="23"/>
  <c r="Q81" i="23"/>
  <c r="S75" i="23"/>
  <c r="R75" i="23"/>
  <c r="P75" i="23"/>
  <c r="P106" i="23" s="1"/>
  <c r="N75" i="23"/>
  <c r="N106" i="23" s="1"/>
  <c r="M75" i="23"/>
  <c r="L75" i="23"/>
  <c r="K75" i="23"/>
  <c r="K106" i="23" s="1"/>
  <c r="Q75" i="23"/>
  <c r="S106" i="23" l="1"/>
  <c r="R106" i="23"/>
  <c r="L106" i="23"/>
  <c r="M106" i="23"/>
  <c r="O106" i="23"/>
  <c r="Q105" i="23"/>
  <c r="Q106" i="23" s="1"/>
  <c r="E36" i="29"/>
  <c r="J23" i="43"/>
  <c r="J14" i="43"/>
  <c r="E14" i="43"/>
  <c r="H48" i="41" l="1"/>
  <c r="E19" i="43"/>
  <c r="E28" i="43"/>
  <c r="F28" i="43"/>
  <c r="G28" i="43"/>
  <c r="H28" i="43"/>
  <c r="I28" i="43"/>
  <c r="J25" i="43"/>
  <c r="J26" i="43"/>
  <c r="J27" i="43"/>
  <c r="J24" i="43"/>
  <c r="J18" i="43"/>
  <c r="F19" i="43"/>
  <c r="G19" i="43"/>
  <c r="H19" i="43"/>
  <c r="I19" i="43"/>
  <c r="E23" i="43"/>
  <c r="J17" i="43"/>
  <c r="J16" i="43"/>
  <c r="J15" i="43"/>
  <c r="D9" i="43"/>
  <c r="K6" i="43"/>
  <c r="D3" i="43"/>
  <c r="D2" i="43"/>
  <c r="E42" i="29" l="1"/>
  <c r="J28" i="43"/>
  <c r="J19" i="43"/>
  <c r="E35" i="29"/>
  <c r="E37" i="29" l="1"/>
  <c r="N31" i="15"/>
  <c r="N20" i="15"/>
  <c r="E24" i="31" l="1"/>
  <c r="E23" i="31" l="1"/>
  <c r="E78" i="41"/>
  <c r="G47" i="37"/>
  <c r="F47" i="37"/>
  <c r="H56" i="39"/>
  <c r="G56" i="39"/>
  <c r="G93" i="39"/>
  <c r="E39" i="29"/>
  <c r="G57" i="36"/>
  <c r="E101" i="41" s="1"/>
  <c r="H101" i="41" s="1"/>
  <c r="E61" i="36"/>
  <c r="E57" i="36"/>
  <c r="G61" i="36"/>
  <c r="E160" i="41" s="1"/>
  <c r="H160" i="41" s="1"/>
  <c r="F61" i="36"/>
  <c r="F57" i="36"/>
  <c r="F56" i="36" s="1"/>
  <c r="G56" i="36"/>
  <c r="E52" i="36"/>
  <c r="F52" i="36"/>
  <c r="G52" i="36"/>
  <c r="E79" i="41" s="1"/>
  <c r="F48" i="36"/>
  <c r="F47" i="36" s="1"/>
  <c r="G48" i="36"/>
  <c r="E28" i="29" s="1"/>
  <c r="E48" i="36"/>
  <c r="D3" i="31"/>
  <c r="D2" i="31"/>
  <c r="E3" i="28"/>
  <c r="E2" i="28"/>
  <c r="E3" i="25"/>
  <c r="E2" i="25"/>
  <c r="D3" i="41"/>
  <c r="D2" i="41"/>
  <c r="D3" i="34"/>
  <c r="D2" i="34"/>
  <c r="D3" i="29"/>
  <c r="D2" i="29"/>
  <c r="D3" i="21"/>
  <c r="D2" i="21"/>
  <c r="D3" i="20"/>
  <c r="D2" i="20"/>
  <c r="D3" i="23"/>
  <c r="D2" i="23"/>
  <c r="D3" i="39"/>
  <c r="D2" i="39"/>
  <c r="D3" i="17"/>
  <c r="D2" i="17"/>
  <c r="D3" i="15"/>
  <c r="D2" i="15"/>
  <c r="D3" i="13"/>
  <c r="D2" i="13"/>
  <c r="D3" i="12"/>
  <c r="D2" i="12"/>
  <c r="D3" i="42"/>
  <c r="D2" i="42"/>
  <c r="D3" i="14"/>
  <c r="D2" i="14"/>
  <c r="D3" i="9"/>
  <c r="D2" i="9"/>
  <c r="D3" i="36"/>
  <c r="D2" i="36"/>
  <c r="D3" i="7"/>
  <c r="D2" i="7"/>
  <c r="D3" i="3"/>
  <c r="D2" i="3"/>
  <c r="D3" i="1"/>
  <c r="D2" i="1"/>
  <c r="D3" i="37"/>
  <c r="D2" i="37"/>
  <c r="G31" i="15"/>
  <c r="F173" i="41"/>
  <c r="I31" i="15"/>
  <c r="F174" i="41" s="1"/>
  <c r="J31" i="15"/>
  <c r="F175" i="41"/>
  <c r="L31" i="15"/>
  <c r="F176" i="41" s="1"/>
  <c r="G170" i="41"/>
  <c r="I25" i="17"/>
  <c r="I34" i="17"/>
  <c r="I49" i="17"/>
  <c r="I58" i="17"/>
  <c r="G177" i="41"/>
  <c r="F180" i="41"/>
  <c r="F54" i="9"/>
  <c r="F52" i="9" s="1"/>
  <c r="F57" i="9"/>
  <c r="F60" i="9"/>
  <c r="G54" i="9"/>
  <c r="G57" i="9"/>
  <c r="G60" i="9"/>
  <c r="F66" i="9"/>
  <c r="F65" i="9" s="1"/>
  <c r="G66" i="9"/>
  <c r="G65" i="9" s="1"/>
  <c r="F183" i="41"/>
  <c r="F90" i="9"/>
  <c r="F184" i="41" s="1"/>
  <c r="G90" i="9"/>
  <c r="G179" i="41"/>
  <c r="F185" i="41"/>
  <c r="H185" i="41" s="1"/>
  <c r="G44" i="14"/>
  <c r="G58" i="37" s="1"/>
  <c r="F44" i="14"/>
  <c r="F58" i="37" s="1"/>
  <c r="F188" i="41"/>
  <c r="F189" i="41"/>
  <c r="G74" i="14"/>
  <c r="G73" i="14" s="1"/>
  <c r="F74" i="14"/>
  <c r="F73" i="14" s="1"/>
  <c r="G63" i="14"/>
  <c r="G59" i="37" s="1"/>
  <c r="F63" i="14"/>
  <c r="F59" i="37" s="1"/>
  <c r="F192" i="41"/>
  <c r="F196" i="41"/>
  <c r="F195" i="41" s="1"/>
  <c r="G195" i="41"/>
  <c r="F197" i="41"/>
  <c r="G197" i="41"/>
  <c r="H16" i="41"/>
  <c r="E16" i="34" s="1"/>
  <c r="H17" i="41"/>
  <c r="E17" i="34" s="1"/>
  <c r="G16" i="7"/>
  <c r="E19" i="41" s="1"/>
  <c r="H19" i="41" s="1"/>
  <c r="E20" i="41"/>
  <c r="H20" i="41" s="1"/>
  <c r="E21" i="41"/>
  <c r="H21" i="41" s="1"/>
  <c r="H23" i="41"/>
  <c r="H24" i="41"/>
  <c r="H25" i="41"/>
  <c r="E27" i="41"/>
  <c r="H27" i="41" s="1"/>
  <c r="J114" i="39"/>
  <c r="L31" i="37" s="1"/>
  <c r="H29" i="41"/>
  <c r="H30" i="41"/>
  <c r="E32" i="41"/>
  <c r="H32" i="41" s="1"/>
  <c r="G63" i="7"/>
  <c r="E33" i="41"/>
  <c r="H33" i="41" s="1"/>
  <c r="G66" i="7"/>
  <c r="E25" i="29" s="1"/>
  <c r="E35" i="41"/>
  <c r="H35" i="41" s="1"/>
  <c r="E36" i="41"/>
  <c r="H36" i="41" s="1"/>
  <c r="H37" i="41"/>
  <c r="H38" i="41"/>
  <c r="K31" i="15"/>
  <c r="F42" i="41"/>
  <c r="H42" i="41" s="1"/>
  <c r="H43" i="41"/>
  <c r="H44" i="41"/>
  <c r="J44" i="39"/>
  <c r="F39" i="42"/>
  <c r="F38" i="42" s="1"/>
  <c r="F47" i="41" s="1"/>
  <c r="H47" i="41" s="1"/>
  <c r="F43" i="42"/>
  <c r="F49" i="42"/>
  <c r="H25" i="17"/>
  <c r="F53" i="41" s="1"/>
  <c r="H53" i="41" s="1"/>
  <c r="H34" i="17"/>
  <c r="F54" i="41" s="1"/>
  <c r="H49" i="17"/>
  <c r="F55" i="41"/>
  <c r="H55" i="41" s="1"/>
  <c r="H58" i="17"/>
  <c r="F56" i="41" s="1"/>
  <c r="H56" i="41" s="1"/>
  <c r="H57" i="41"/>
  <c r="H58" i="41"/>
  <c r="M43" i="23"/>
  <c r="F60" i="41" s="1"/>
  <c r="H60" i="41" s="1"/>
  <c r="H61" i="41"/>
  <c r="H62" i="41"/>
  <c r="F63" i="41"/>
  <c r="M138" i="23"/>
  <c r="F64" i="41" s="1"/>
  <c r="H64" i="41" s="1"/>
  <c r="H65" i="41"/>
  <c r="H66" i="41"/>
  <c r="E73" i="41"/>
  <c r="H73" i="41" s="1"/>
  <c r="E74" i="41"/>
  <c r="H74" i="41" s="1"/>
  <c r="E75" i="41"/>
  <c r="H75" i="41" s="1"/>
  <c r="E76" i="41"/>
  <c r="H76" i="41" s="1"/>
  <c r="E77" i="41"/>
  <c r="H77" i="41" s="1"/>
  <c r="H78" i="41"/>
  <c r="E80" i="41"/>
  <c r="H80" i="41" s="1"/>
  <c r="G74" i="7"/>
  <c r="E81" i="41" s="1"/>
  <c r="H81" i="41" s="1"/>
  <c r="G30" i="7"/>
  <c r="E89" i="41" s="1"/>
  <c r="H90" i="41"/>
  <c r="H91" i="41"/>
  <c r="H92" i="41"/>
  <c r="G22" i="7"/>
  <c r="E94" i="41" s="1"/>
  <c r="E95" i="41"/>
  <c r="H95" i="41" s="1"/>
  <c r="E96" i="41"/>
  <c r="H96" i="41" s="1"/>
  <c r="E97" i="41"/>
  <c r="H97" i="41" s="1"/>
  <c r="E98" i="41"/>
  <c r="H98" i="41" s="1"/>
  <c r="E99" i="41"/>
  <c r="H99" i="41" s="1"/>
  <c r="E100" i="41"/>
  <c r="H100" i="41" s="1"/>
  <c r="G87" i="36"/>
  <c r="E44" i="29" s="1"/>
  <c r="J44" i="29" s="1"/>
  <c r="H103" i="41"/>
  <c r="H104" i="41"/>
  <c r="H105" i="41"/>
  <c r="E107" i="41"/>
  <c r="H107" i="41" s="1"/>
  <c r="E108" i="41"/>
  <c r="H108" i="41" s="1"/>
  <c r="E109" i="41"/>
  <c r="H109" i="41" s="1"/>
  <c r="H110" i="41"/>
  <c r="H111" i="41"/>
  <c r="H114" i="41"/>
  <c r="H115" i="41"/>
  <c r="F31" i="15"/>
  <c r="E40" i="29" s="1"/>
  <c r="H31" i="15"/>
  <c r="F120" i="41" s="1"/>
  <c r="H120" i="41" s="1"/>
  <c r="H121" i="41"/>
  <c r="H122" i="41"/>
  <c r="G39" i="42"/>
  <c r="G43" i="42"/>
  <c r="G49" i="42"/>
  <c r="H125" i="41"/>
  <c r="H126" i="41"/>
  <c r="G25" i="17"/>
  <c r="F130" i="41"/>
  <c r="H130" i="41" s="1"/>
  <c r="G34" i="17"/>
  <c r="F131" i="41" s="1"/>
  <c r="H131" i="41" s="1"/>
  <c r="G49" i="17"/>
  <c r="F132" i="41" s="1"/>
  <c r="G58" i="17"/>
  <c r="F133" i="41" s="1"/>
  <c r="H133" i="41" s="1"/>
  <c r="H134" i="41"/>
  <c r="H135" i="41"/>
  <c r="N43" i="23"/>
  <c r="F137" i="41" s="1"/>
  <c r="H138" i="41"/>
  <c r="H139" i="41"/>
  <c r="F140" i="41"/>
  <c r="H140" i="41" s="1"/>
  <c r="N138" i="23"/>
  <c r="F141" i="41" s="1"/>
  <c r="H141" i="41" s="1"/>
  <c r="H142" i="41"/>
  <c r="H143" i="41"/>
  <c r="E152" i="41"/>
  <c r="H152" i="41" s="1"/>
  <c r="E153" i="41"/>
  <c r="H153" i="41" s="1"/>
  <c r="E154" i="41"/>
  <c r="H154" i="41" s="1"/>
  <c r="E155" i="41"/>
  <c r="H155" i="41" s="1"/>
  <c r="E156" i="41"/>
  <c r="H156" i="41" s="1"/>
  <c r="E157" i="41"/>
  <c r="H157" i="41" s="1"/>
  <c r="E158" i="41"/>
  <c r="H158" i="41" s="1"/>
  <c r="E159" i="41"/>
  <c r="H159" i="41" s="1"/>
  <c r="E161" i="41"/>
  <c r="H161" i="41" s="1"/>
  <c r="E162" i="41"/>
  <c r="H162" i="41" s="1"/>
  <c r="G78" i="7"/>
  <c r="E163" i="41" s="1"/>
  <c r="H163" i="41" s="1"/>
  <c r="Q112" i="23"/>
  <c r="P112" i="23"/>
  <c r="O112" i="23"/>
  <c r="N112" i="23"/>
  <c r="M112" i="23"/>
  <c r="L112" i="23"/>
  <c r="Q49" i="23"/>
  <c r="P49" i="23"/>
  <c r="O49" i="23"/>
  <c r="N49" i="23"/>
  <c r="M49" i="23"/>
  <c r="L49" i="23"/>
  <c r="E52" i="41"/>
  <c r="E59" i="41"/>
  <c r="E41" i="41"/>
  <c r="E45" i="41"/>
  <c r="E118" i="41"/>
  <c r="E123" i="41"/>
  <c r="E129" i="41"/>
  <c r="E136" i="41"/>
  <c r="I44" i="39"/>
  <c r="I47" i="39" s="1"/>
  <c r="L19" i="39" s="1"/>
  <c r="H44" i="39"/>
  <c r="H47" i="39" s="1"/>
  <c r="K19" i="39" s="1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 s="1"/>
  <c r="L55" i="42" s="1"/>
  <c r="G30" i="37" s="1"/>
  <c r="E32" i="42"/>
  <c r="L32" i="42" s="1"/>
  <c r="E31" i="42"/>
  <c r="L31" i="42" s="1"/>
  <c r="F28" i="37" s="1"/>
  <c r="E30" i="42"/>
  <c r="L30" i="42" s="1"/>
  <c r="E28" i="42"/>
  <c r="L28" i="42" s="1"/>
  <c r="E29" i="42"/>
  <c r="E27" i="42" s="1"/>
  <c r="G28" i="14"/>
  <c r="E26" i="42"/>
  <c r="L26" i="42"/>
  <c r="E23" i="42"/>
  <c r="L23" i="42" s="1"/>
  <c r="E45" i="42" s="1"/>
  <c r="L45" i="42" s="1"/>
  <c r="E22" i="42"/>
  <c r="L22" i="42" s="1"/>
  <c r="E24" i="42"/>
  <c r="L24" i="42"/>
  <c r="E46" i="42" s="1"/>
  <c r="L46" i="42" s="1"/>
  <c r="E25" i="42"/>
  <c r="L25" i="42" s="1"/>
  <c r="E47" i="42" s="1"/>
  <c r="L47" i="42" s="1"/>
  <c r="G22" i="14"/>
  <c r="E20" i="42"/>
  <c r="L20" i="42" s="1"/>
  <c r="E18" i="42"/>
  <c r="L18" i="42" s="1"/>
  <c r="E19" i="42"/>
  <c r="L19" i="42"/>
  <c r="E41" i="42" s="1"/>
  <c r="L41" i="42" s="1"/>
  <c r="G18" i="14"/>
  <c r="F28" i="14"/>
  <c r="F22" i="14"/>
  <c r="F18" i="14"/>
  <c r="K31" i="37"/>
  <c r="C35" i="42"/>
  <c r="C13" i="42"/>
  <c r="L36" i="42"/>
  <c r="L14" i="42"/>
  <c r="E36" i="42" s="1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J17" i="42"/>
  <c r="J21" i="42"/>
  <c r="J27" i="42"/>
  <c r="K27" i="42"/>
  <c r="H27" i="42"/>
  <c r="G27" i="42"/>
  <c r="F27" i="42"/>
  <c r="K21" i="42"/>
  <c r="I21" i="42"/>
  <c r="H21" i="42"/>
  <c r="G21" i="42"/>
  <c r="F21" i="42"/>
  <c r="F17" i="42"/>
  <c r="K17" i="42"/>
  <c r="I17" i="42"/>
  <c r="H17" i="42"/>
  <c r="G17" i="42"/>
  <c r="H16" i="42"/>
  <c r="G75" i="9"/>
  <c r="G82" i="9"/>
  <c r="G17" i="9"/>
  <c r="G26" i="9"/>
  <c r="G33" i="9"/>
  <c r="G40" i="9"/>
  <c r="G30" i="9"/>
  <c r="G35" i="14"/>
  <c r="G49" i="14"/>
  <c r="G43" i="14" s="1"/>
  <c r="G66" i="14"/>
  <c r="F75" i="9"/>
  <c r="F82" i="9"/>
  <c r="F17" i="9"/>
  <c r="F26" i="9"/>
  <c r="F30" i="9"/>
  <c r="F33" i="9"/>
  <c r="F40" i="9"/>
  <c r="F35" i="14"/>
  <c r="F49" i="14"/>
  <c r="F43" i="14" s="1"/>
  <c r="F66" i="14"/>
  <c r="E18" i="14"/>
  <c r="E22" i="14"/>
  <c r="E28" i="14"/>
  <c r="E35" i="14"/>
  <c r="E44" i="14"/>
  <c r="E49" i="14"/>
  <c r="E63" i="14"/>
  <c r="E66" i="14"/>
  <c r="E74" i="14"/>
  <c r="E73" i="14"/>
  <c r="E54" i="9"/>
  <c r="E52" i="9" s="1"/>
  <c r="E57" i="9"/>
  <c r="E60" i="9"/>
  <c r="E66" i="9"/>
  <c r="E65" i="9" s="1"/>
  <c r="E90" i="9"/>
  <c r="E75" i="9"/>
  <c r="E82" i="9"/>
  <c r="E17" i="9"/>
  <c r="E26" i="9"/>
  <c r="E30" i="9"/>
  <c r="E33" i="9"/>
  <c r="E40" i="9"/>
  <c r="E14" i="42"/>
  <c r="D9" i="42"/>
  <c r="P6" i="42"/>
  <c r="Q113" i="23"/>
  <c r="Q114" i="23"/>
  <c r="Q115" i="23"/>
  <c r="Q116" i="23"/>
  <c r="Q117" i="23"/>
  <c r="Q118" i="23"/>
  <c r="Q119" i="23"/>
  <c r="Q120" i="23"/>
  <c r="Q121" i="23"/>
  <c r="Q122" i="23"/>
  <c r="Q123" i="23"/>
  <c r="Q124" i="23"/>
  <c r="Q125" i="23"/>
  <c r="Q126" i="23"/>
  <c r="Q127" i="23"/>
  <c r="Q128" i="23"/>
  <c r="Q129" i="23"/>
  <c r="Q130" i="23"/>
  <c r="Q131" i="23"/>
  <c r="Q132" i="23"/>
  <c r="Q133" i="23"/>
  <c r="Q134" i="23"/>
  <c r="Q135" i="23"/>
  <c r="Q136" i="23"/>
  <c r="Q137" i="23"/>
  <c r="R138" i="23"/>
  <c r="S138" i="23"/>
  <c r="G53" i="37" s="1"/>
  <c r="G52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R43" i="23"/>
  <c r="G50" i="37" s="1"/>
  <c r="S43" i="23"/>
  <c r="G49" i="37" s="1"/>
  <c r="L49" i="37" s="1"/>
  <c r="G62" i="7"/>
  <c r="G70" i="7"/>
  <c r="G81" i="7"/>
  <c r="F63" i="7"/>
  <c r="F66" i="7"/>
  <c r="F70" i="7"/>
  <c r="F74" i="7"/>
  <c r="F78" i="7"/>
  <c r="F81" i="7"/>
  <c r="E63" i="7"/>
  <c r="E66" i="7"/>
  <c r="E70" i="7"/>
  <c r="E78" i="7"/>
  <c r="E74" i="7"/>
  <c r="E81" i="7"/>
  <c r="H93" i="39"/>
  <c r="D9" i="41"/>
  <c r="H6" i="41"/>
  <c r="G54" i="37"/>
  <c r="K138" i="23"/>
  <c r="P43" i="23"/>
  <c r="O43" i="23"/>
  <c r="L43" i="23"/>
  <c r="F49" i="37" s="1"/>
  <c r="K49" i="37" s="1"/>
  <c r="K43" i="23"/>
  <c r="K44" i="39"/>
  <c r="L44" i="39"/>
  <c r="G44" i="39"/>
  <c r="J46" i="39"/>
  <c r="G45" i="37" s="1"/>
  <c r="G46" i="39"/>
  <c r="F45" i="37" s="1"/>
  <c r="N44" i="39"/>
  <c r="M44" i="39"/>
  <c r="K16" i="39"/>
  <c r="H16" i="39"/>
  <c r="G27" i="7"/>
  <c r="G34" i="7"/>
  <c r="H17" i="12"/>
  <c r="H29" i="12"/>
  <c r="H36" i="12"/>
  <c r="H45" i="12"/>
  <c r="H54" i="12"/>
  <c r="H66" i="12"/>
  <c r="H73" i="12"/>
  <c r="H79" i="12"/>
  <c r="H85" i="12"/>
  <c r="H95" i="12"/>
  <c r="G95" i="12"/>
  <c r="H94" i="12" s="1"/>
  <c r="F16" i="7"/>
  <c r="F22" i="7"/>
  <c r="F27" i="7"/>
  <c r="F30" i="7"/>
  <c r="F34" i="7"/>
  <c r="G17" i="12"/>
  <c r="G29" i="12"/>
  <c r="G36" i="12"/>
  <c r="G45" i="12"/>
  <c r="G54" i="12"/>
  <c r="G66" i="12"/>
  <c r="G73" i="12"/>
  <c r="G79" i="12"/>
  <c r="G85" i="12"/>
  <c r="F95" i="12"/>
  <c r="G94" i="12" s="1"/>
  <c r="E16" i="7"/>
  <c r="E22" i="7"/>
  <c r="E27" i="7"/>
  <c r="E30" i="7"/>
  <c r="E34" i="7"/>
  <c r="F17" i="12"/>
  <c r="F29" i="12"/>
  <c r="F36" i="12"/>
  <c r="F45" i="12"/>
  <c r="F54" i="12"/>
  <c r="F66" i="12"/>
  <c r="F73" i="12"/>
  <c r="F79" i="12"/>
  <c r="F85" i="12"/>
  <c r="H129" i="39"/>
  <c r="F88" i="41"/>
  <c r="F93" i="41"/>
  <c r="F106" i="41"/>
  <c r="F112" i="41"/>
  <c r="F151" i="41"/>
  <c r="F18" i="41"/>
  <c r="F31" i="41"/>
  <c r="F72" i="41"/>
  <c r="E169" i="41"/>
  <c r="G52" i="41"/>
  <c r="G59" i="41"/>
  <c r="G41" i="41"/>
  <c r="G45" i="41"/>
  <c r="G18" i="41"/>
  <c r="G26" i="41"/>
  <c r="G31" i="41"/>
  <c r="G72" i="41"/>
  <c r="G88" i="41"/>
  <c r="G93" i="41"/>
  <c r="G106" i="41"/>
  <c r="G112" i="41"/>
  <c r="G118" i="41"/>
  <c r="G123" i="41"/>
  <c r="G129" i="41"/>
  <c r="G151" i="41"/>
  <c r="P138" i="23"/>
  <c r="O138" i="23"/>
  <c r="L138" i="23"/>
  <c r="F53" i="37" s="1"/>
  <c r="F51" i="37"/>
  <c r="G19" i="39"/>
  <c r="J17" i="39"/>
  <c r="G17" i="39"/>
  <c r="K144" i="39"/>
  <c r="G144" i="39"/>
  <c r="G129" i="39"/>
  <c r="H118" i="39"/>
  <c r="G118" i="39"/>
  <c r="N114" i="39"/>
  <c r="M114" i="39"/>
  <c r="N103" i="39"/>
  <c r="M103" i="39"/>
  <c r="J93" i="39"/>
  <c r="I93" i="39"/>
  <c r="J56" i="39"/>
  <c r="I56" i="39"/>
  <c r="N17" i="39"/>
  <c r="M17" i="39"/>
  <c r="D9" i="39"/>
  <c r="Q6" i="39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M18" i="15"/>
  <c r="E29" i="15" s="1"/>
  <c r="M29" i="15" s="1"/>
  <c r="M19" i="15"/>
  <c r="E30" i="15" s="1"/>
  <c r="O31" i="3"/>
  <c r="Q17" i="23"/>
  <c r="P17" i="23"/>
  <c r="O17" i="23"/>
  <c r="N17" i="23"/>
  <c r="M17" i="23"/>
  <c r="L17" i="23"/>
  <c r="I46" i="13"/>
  <c r="G38" i="37" s="1"/>
  <c r="G53" i="13"/>
  <c r="G51" i="13"/>
  <c r="F49" i="13"/>
  <c r="G86" i="36"/>
  <c r="I31" i="3"/>
  <c r="I15" i="3"/>
  <c r="O15" i="3"/>
  <c r="I15" i="20"/>
  <c r="K46" i="13"/>
  <c r="G46" i="13"/>
  <c r="H46" i="13"/>
  <c r="J46" i="13"/>
  <c r="L46" i="13"/>
  <c r="M46" i="13"/>
  <c r="K32" i="36"/>
  <c r="K31" i="36" s="1"/>
  <c r="K36" i="36"/>
  <c r="G37" i="37"/>
  <c r="L37" i="37" s="1"/>
  <c r="I20" i="15"/>
  <c r="F37" i="37" s="1"/>
  <c r="K37" i="37" s="1"/>
  <c r="M22" i="15"/>
  <c r="E33" i="15" s="1"/>
  <c r="M33" i="15" s="1"/>
  <c r="M17" i="15"/>
  <c r="E28" i="15"/>
  <c r="M28" i="15" s="1"/>
  <c r="M16" i="15"/>
  <c r="M15" i="15"/>
  <c r="G77" i="36"/>
  <c r="G21" i="37" s="1"/>
  <c r="L21" i="37" s="1"/>
  <c r="F77" i="36"/>
  <c r="F21" i="37" s="1"/>
  <c r="K21" i="37" s="1"/>
  <c r="E77" i="36"/>
  <c r="E21" i="37" s="1"/>
  <c r="J21" i="37" s="1"/>
  <c r="G73" i="36"/>
  <c r="G20" i="37" s="1"/>
  <c r="L20" i="37" s="1"/>
  <c r="E73" i="36"/>
  <c r="E20" i="37" s="1"/>
  <c r="J20" i="37" s="1"/>
  <c r="F73" i="36"/>
  <c r="F20" i="37"/>
  <c r="K20" i="37" s="1"/>
  <c r="K16" i="36"/>
  <c r="K20" i="36"/>
  <c r="K19" i="36" s="1"/>
  <c r="K25" i="36"/>
  <c r="K40" i="36"/>
  <c r="E21" i="31" s="1"/>
  <c r="E16" i="36"/>
  <c r="E20" i="36"/>
  <c r="E25" i="36"/>
  <c r="E32" i="36"/>
  <c r="E31" i="36" s="1"/>
  <c r="E36" i="36"/>
  <c r="E40" i="36"/>
  <c r="H16" i="36"/>
  <c r="H20" i="36"/>
  <c r="H25" i="36"/>
  <c r="H32" i="36"/>
  <c r="H36" i="36"/>
  <c r="H31" i="36" s="1"/>
  <c r="H30" i="36" s="1"/>
  <c r="H40" i="36"/>
  <c r="L16" i="36"/>
  <c r="L20" i="36"/>
  <c r="L25" i="36"/>
  <c r="L32" i="36"/>
  <c r="L36" i="36"/>
  <c r="L40" i="36"/>
  <c r="I16" i="36"/>
  <c r="I20" i="36"/>
  <c r="I25" i="36"/>
  <c r="I32" i="36"/>
  <c r="I36" i="36"/>
  <c r="I40" i="36"/>
  <c r="F16" i="36"/>
  <c r="F20" i="36"/>
  <c r="F25" i="36"/>
  <c r="F19" i="36" s="1"/>
  <c r="F32" i="36"/>
  <c r="F36" i="36"/>
  <c r="F31" i="36" s="1"/>
  <c r="F40" i="36"/>
  <c r="E41" i="29"/>
  <c r="E38" i="29"/>
  <c r="E33" i="29"/>
  <c r="E22" i="29"/>
  <c r="E23" i="29"/>
  <c r="E26" i="29"/>
  <c r="G72" i="36"/>
  <c r="F72" i="36"/>
  <c r="E72" i="36"/>
  <c r="F46" i="13"/>
  <c r="E46" i="13"/>
  <c r="E14" i="37"/>
  <c r="F14" i="37"/>
  <c r="G14" i="37"/>
  <c r="D9" i="37"/>
  <c r="G6" i="37"/>
  <c r="G67" i="36"/>
  <c r="F67" i="36"/>
  <c r="E67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G33" i="28"/>
  <c r="F33" i="28"/>
  <c r="G16" i="28"/>
  <c r="E9" i="28"/>
  <c r="H6" i="28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3" i="21"/>
  <c r="N28" i="21" s="1"/>
  <c r="N40" i="21" s="1"/>
  <c r="M23" i="21"/>
  <c r="M28" i="21" s="1"/>
  <c r="M40" i="21" s="1"/>
  <c r="L23" i="21"/>
  <c r="L28" i="21" s="1"/>
  <c r="L40" i="21" s="1"/>
  <c r="K23" i="21"/>
  <c r="K28" i="21" s="1"/>
  <c r="K40" i="21" s="1"/>
  <c r="J23" i="21"/>
  <c r="J28" i="21" s="1"/>
  <c r="J40" i="21" s="1"/>
  <c r="I23" i="21"/>
  <c r="I28" i="21" s="1"/>
  <c r="I40" i="21" s="1"/>
  <c r="H23" i="21"/>
  <c r="H28" i="21" s="1"/>
  <c r="H40" i="21" s="1"/>
  <c r="G23" i="21"/>
  <c r="G28" i="21" s="1"/>
  <c r="G40" i="21" s="1"/>
  <c r="F23" i="21"/>
  <c r="F28" i="21" s="1"/>
  <c r="F40" i="21" s="1"/>
  <c r="E23" i="21"/>
  <c r="E28" i="21" s="1"/>
  <c r="E40" i="21" s="1"/>
  <c r="D9" i="21"/>
  <c r="N6" i="21"/>
  <c r="I35" i="20"/>
  <c r="H35" i="20"/>
  <c r="G35" i="20"/>
  <c r="I31" i="20"/>
  <c r="H31" i="20"/>
  <c r="G31" i="20"/>
  <c r="I19" i="20"/>
  <c r="I29" i="20" s="1"/>
  <c r="I42" i="20" s="1"/>
  <c r="I54" i="20" s="1"/>
  <c r="H19" i="20"/>
  <c r="H29" i="20" s="1"/>
  <c r="H42" i="20" s="1"/>
  <c r="H54" i="20" s="1"/>
  <c r="G19" i="20"/>
  <c r="G29" i="20" s="1"/>
  <c r="G42" i="20" s="1"/>
  <c r="G54" i="20" s="1"/>
  <c r="F35" i="20"/>
  <c r="F31" i="20"/>
  <c r="H15" i="20"/>
  <c r="G15" i="20"/>
  <c r="F15" i="20"/>
  <c r="D9" i="20"/>
  <c r="I6" i="20"/>
  <c r="L58" i="17"/>
  <c r="F58" i="17"/>
  <c r="F42" i="37" s="1"/>
  <c r="L49" i="17"/>
  <c r="F49" i="17"/>
  <c r="F41" i="37" s="1"/>
  <c r="L40" i="17"/>
  <c r="J40" i="17"/>
  <c r="F40" i="17"/>
  <c r="L34" i="17"/>
  <c r="F34" i="17"/>
  <c r="F40" i="37" s="1"/>
  <c r="L25" i="17"/>
  <c r="F25" i="17"/>
  <c r="F39" i="37" s="1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O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E27" i="15"/>
  <c r="M27" i="15" s="1"/>
  <c r="E43" i="14"/>
  <c r="E26" i="15"/>
  <c r="M26" i="15" s="1"/>
  <c r="G33" i="37" s="1"/>
  <c r="L33" i="37" s="1"/>
  <c r="F33" i="37"/>
  <c r="K33" i="37" s="1"/>
  <c r="G51" i="37"/>
  <c r="F25" i="37"/>
  <c r="E48" i="42"/>
  <c r="L48" i="42" s="1"/>
  <c r="G25" i="37" s="1"/>
  <c r="F35" i="37"/>
  <c r="K35" i="37" s="1"/>
  <c r="I27" i="42"/>
  <c r="I16" i="42"/>
  <c r="L29" i="42"/>
  <c r="E51" i="42" s="1"/>
  <c r="K38" i="42"/>
  <c r="K16" i="42"/>
  <c r="I49" i="42"/>
  <c r="F19" i="37" l="1"/>
  <c r="K19" i="37" s="1"/>
  <c r="K100" i="12"/>
  <c r="G63" i="12"/>
  <c r="H63" i="12"/>
  <c r="G17" i="14"/>
  <c r="G16" i="14" s="1"/>
  <c r="M20" i="15"/>
  <c r="F34" i="37"/>
  <c r="K34" i="37" s="1"/>
  <c r="F30" i="36"/>
  <c r="F27" i="37"/>
  <c r="E52" i="42"/>
  <c r="L52" i="42" s="1"/>
  <c r="G27" i="37" s="1"/>
  <c r="E17" i="42"/>
  <c r="E16" i="9"/>
  <c r="E30" i="36"/>
  <c r="G85" i="7"/>
  <c r="E24" i="29"/>
  <c r="G61" i="37"/>
  <c r="E30" i="29"/>
  <c r="G60" i="37"/>
  <c r="I28" i="31"/>
  <c r="E26" i="41"/>
  <c r="E40" i="42"/>
  <c r="L17" i="42"/>
  <c r="F22" i="37" s="1"/>
  <c r="E50" i="42"/>
  <c r="L50" i="42" s="1"/>
  <c r="L27" i="42"/>
  <c r="F26" i="37" s="1"/>
  <c r="F190" i="41"/>
  <c r="G61" i="14"/>
  <c r="E18" i="31"/>
  <c r="K30" i="36"/>
  <c r="E53" i="42"/>
  <c r="I19" i="36"/>
  <c r="L31" i="36"/>
  <c r="L30" i="36" s="1"/>
  <c r="H19" i="36"/>
  <c r="H43" i="36" s="1"/>
  <c r="F18" i="37" s="1"/>
  <c r="K18" i="37" s="1"/>
  <c r="E60" i="7"/>
  <c r="E61" i="14"/>
  <c r="E21" i="42"/>
  <c r="E16" i="42" s="1"/>
  <c r="F16" i="42"/>
  <c r="H38" i="42"/>
  <c r="G38" i="42"/>
  <c r="F124" i="41" s="1"/>
  <c r="F187" i="41"/>
  <c r="F43" i="36"/>
  <c r="J45" i="25"/>
  <c r="F31" i="25" s="1"/>
  <c r="G62" i="37" s="1"/>
  <c r="L62" i="37" s="1"/>
  <c r="M62" i="37" s="1"/>
  <c r="E50" i="9"/>
  <c r="E94" i="9" s="1"/>
  <c r="I31" i="36"/>
  <c r="I30" i="36" s="1"/>
  <c r="L19" i="36"/>
  <c r="E19" i="36"/>
  <c r="E43" i="36" s="1"/>
  <c r="E18" i="37" s="1"/>
  <c r="J18" i="37" s="1"/>
  <c r="G32" i="37"/>
  <c r="L32" i="37" s="1"/>
  <c r="M32" i="37" s="1"/>
  <c r="J58" i="17"/>
  <c r="G42" i="37" s="1"/>
  <c r="F63" i="12"/>
  <c r="G72" i="12"/>
  <c r="G88" i="12" s="1"/>
  <c r="H72" i="12"/>
  <c r="H88" i="12" s="1"/>
  <c r="E17" i="14"/>
  <c r="E16" i="14" s="1"/>
  <c r="G52" i="9"/>
  <c r="G50" i="9" s="1"/>
  <c r="F178" i="41"/>
  <c r="F177" i="41" s="1"/>
  <c r="F72" i="12"/>
  <c r="F88" i="12" s="1"/>
  <c r="F60" i="7"/>
  <c r="F62" i="7"/>
  <c r="F85" i="7" s="1"/>
  <c r="F17" i="14"/>
  <c r="F16" i="14" s="1"/>
  <c r="G16" i="42"/>
  <c r="J16" i="42"/>
  <c r="E34" i="41"/>
  <c r="H34" i="41" s="1"/>
  <c r="H31" i="41" s="1"/>
  <c r="E20" i="34" s="1"/>
  <c r="F182" i="41"/>
  <c r="E113" i="41"/>
  <c r="E102" i="41"/>
  <c r="H102" i="41" s="1"/>
  <c r="F46" i="41"/>
  <c r="H46" i="41" s="1"/>
  <c r="H45" i="41" s="1"/>
  <c r="E24" i="34" s="1"/>
  <c r="F46" i="37"/>
  <c r="K46" i="37" s="1"/>
  <c r="G46" i="37"/>
  <c r="L46" i="37" s="1"/>
  <c r="E29" i="29"/>
  <c r="F28" i="41"/>
  <c r="H28" i="41" s="1"/>
  <c r="H26" i="41" s="1"/>
  <c r="E19" i="34" s="1"/>
  <c r="K47" i="39"/>
  <c r="G44" i="37" s="1"/>
  <c r="L44" i="37" s="1"/>
  <c r="F43" i="37"/>
  <c r="F44" i="37"/>
  <c r="K44" i="37" s="1"/>
  <c r="G47" i="39"/>
  <c r="G43" i="37"/>
  <c r="E21" i="29"/>
  <c r="E62" i="7"/>
  <c r="E85" i="7" s="1"/>
  <c r="E87" i="7" s="1"/>
  <c r="F16" i="12" s="1"/>
  <c r="F42" i="12" s="1"/>
  <c r="F92" i="12" s="1"/>
  <c r="E17" i="37" s="1"/>
  <c r="J17" i="37" s="1"/>
  <c r="E31" i="41"/>
  <c r="E106" i="41"/>
  <c r="G56" i="37"/>
  <c r="Q43" i="23"/>
  <c r="J49" i="17"/>
  <c r="G41" i="37" s="1"/>
  <c r="F16" i="9"/>
  <c r="J34" i="17"/>
  <c r="G40" i="37" s="1"/>
  <c r="G16" i="9"/>
  <c r="J25" i="17"/>
  <c r="G39" i="37" s="1"/>
  <c r="Q138" i="23"/>
  <c r="G57" i="37" s="1"/>
  <c r="F61" i="14"/>
  <c r="E34" i="29"/>
  <c r="E32" i="29" s="1"/>
  <c r="G60" i="7"/>
  <c r="H89" i="41"/>
  <c r="H88" i="41" s="1"/>
  <c r="E39" i="34" s="1"/>
  <c r="E88" i="41"/>
  <c r="E49" i="42"/>
  <c r="L51" i="42"/>
  <c r="L49" i="42" s="1"/>
  <c r="G26" i="37" s="1"/>
  <c r="F23" i="37"/>
  <c r="E42" i="42"/>
  <c r="H137" i="41"/>
  <c r="H136" i="41" s="1"/>
  <c r="E50" i="34" s="1"/>
  <c r="F136" i="41"/>
  <c r="H124" i="41"/>
  <c r="H123" i="41" s="1"/>
  <c r="E46" i="34" s="1"/>
  <c r="F123" i="41"/>
  <c r="H63" i="41"/>
  <c r="H59" i="41" s="1"/>
  <c r="E28" i="34" s="1"/>
  <c r="F59" i="41"/>
  <c r="H54" i="41"/>
  <c r="H52" i="41" s="1"/>
  <c r="E27" i="34" s="1"/>
  <c r="F52" i="41"/>
  <c r="F181" i="41"/>
  <c r="F36" i="37"/>
  <c r="K36" i="37" s="1"/>
  <c r="F50" i="9"/>
  <c r="G34" i="37"/>
  <c r="L34" i="37" s="1"/>
  <c r="M34" i="37" s="1"/>
  <c r="I43" i="36"/>
  <c r="E17" i="31"/>
  <c r="K43" i="36"/>
  <c r="G18" i="37" s="1"/>
  <c r="L18" i="37" s="1"/>
  <c r="E44" i="42"/>
  <c r="L21" i="42"/>
  <c r="F24" i="37" s="1"/>
  <c r="F29" i="37"/>
  <c r="E54" i="42"/>
  <c r="L54" i="42" s="1"/>
  <c r="G29" i="37" s="1"/>
  <c r="L47" i="39"/>
  <c r="J19" i="39"/>
  <c r="H132" i="41"/>
  <c r="F129" i="41"/>
  <c r="H79" i="41"/>
  <c r="H72" i="41" s="1"/>
  <c r="E33" i="34" s="1"/>
  <c r="E72" i="41"/>
  <c r="E127" i="41"/>
  <c r="G47" i="36"/>
  <c r="G19" i="37" s="1"/>
  <c r="L19" i="37" s="1"/>
  <c r="E22" i="41"/>
  <c r="G36" i="37"/>
  <c r="L36" i="37" s="1"/>
  <c r="M49" i="37"/>
  <c r="F30" i="37"/>
  <c r="E151" i="41"/>
  <c r="E68" i="41"/>
  <c r="F119" i="41"/>
  <c r="H119" i="41" s="1"/>
  <c r="F191" i="41"/>
  <c r="F186" i="41" s="1"/>
  <c r="H186" i="41" s="1"/>
  <c r="F170" i="41"/>
  <c r="H170" i="41" s="1"/>
  <c r="F41" i="41"/>
  <c r="F118" i="41"/>
  <c r="E31" i="15"/>
  <c r="M30" i="15"/>
  <c r="H94" i="41"/>
  <c r="H93" i="41" s="1"/>
  <c r="E40" i="34" s="1"/>
  <c r="E93" i="41"/>
  <c r="G68" i="41"/>
  <c r="E50" i="41"/>
  <c r="G144" i="41"/>
  <c r="G50" i="41"/>
  <c r="H151" i="41"/>
  <c r="E55" i="34" s="1"/>
  <c r="E56" i="36"/>
  <c r="E47" i="36"/>
  <c r="M33" i="37"/>
  <c r="M21" i="37"/>
  <c r="M31" i="37"/>
  <c r="M37" i="37"/>
  <c r="M20" i="37"/>
  <c r="G127" i="41"/>
  <c r="H41" i="41"/>
  <c r="G116" i="41"/>
  <c r="G39" i="41"/>
  <c r="E144" i="41"/>
  <c r="G169" i="41"/>
  <c r="H118" i="41"/>
  <c r="E45" i="34" s="1"/>
  <c r="H197" i="41"/>
  <c r="F116" i="41"/>
  <c r="H129" i="41"/>
  <c r="H106" i="41"/>
  <c r="E41" i="34" s="1"/>
  <c r="H177" i="41"/>
  <c r="H195" i="41"/>
  <c r="G86" i="14" l="1"/>
  <c r="F179" i="41"/>
  <c r="H179" i="41" s="1"/>
  <c r="H169" i="41" s="1"/>
  <c r="E61" i="34" s="1"/>
  <c r="G94" i="9"/>
  <c r="E86" i="14"/>
  <c r="E15" i="37" s="1"/>
  <c r="J15" i="37" s="1"/>
  <c r="E94" i="14" s="1"/>
  <c r="M36" i="37"/>
  <c r="M18" i="37"/>
  <c r="G87" i="7"/>
  <c r="H16" i="12" s="1"/>
  <c r="H42" i="12" s="1"/>
  <c r="H92" i="12" s="1"/>
  <c r="I38" i="42"/>
  <c r="F87" i="7"/>
  <c r="F90" i="7" s="1"/>
  <c r="F95" i="7" s="1"/>
  <c r="F16" i="37" s="1"/>
  <c r="K16" i="37" s="1"/>
  <c r="F86" i="14"/>
  <c r="L43" i="36"/>
  <c r="L40" i="42"/>
  <c r="L39" i="42" s="1"/>
  <c r="G22" i="37" s="1"/>
  <c r="E39" i="42"/>
  <c r="F45" i="41"/>
  <c r="F50" i="41" s="1"/>
  <c r="H113" i="41"/>
  <c r="H112" i="41" s="1"/>
  <c r="E42" i="34" s="1"/>
  <c r="E43" i="34" s="1"/>
  <c r="E112" i="41"/>
  <c r="E116" i="41" s="1"/>
  <c r="E146" i="41" s="1"/>
  <c r="E165" i="41" s="1"/>
  <c r="E16" i="31"/>
  <c r="E20" i="29"/>
  <c r="E46" i="29" s="1"/>
  <c r="M46" i="37"/>
  <c r="M44" i="37"/>
  <c r="F26" i="41"/>
  <c r="F39" i="41" s="1"/>
  <c r="J47" i="39"/>
  <c r="E90" i="7"/>
  <c r="E95" i="7" s="1"/>
  <c r="E16" i="37" s="1"/>
  <c r="J16" i="37" s="1"/>
  <c r="G55" i="37"/>
  <c r="L55" i="37" s="1"/>
  <c r="M55" i="37" s="1"/>
  <c r="F127" i="41"/>
  <c r="F144" i="41"/>
  <c r="E29" i="34"/>
  <c r="H50" i="41"/>
  <c r="H68" i="41"/>
  <c r="F94" i="9"/>
  <c r="H22" i="41"/>
  <c r="H18" i="41" s="1"/>
  <c r="E18" i="34" s="1"/>
  <c r="E21" i="34" s="1"/>
  <c r="E18" i="41"/>
  <c r="E39" i="41" s="1"/>
  <c r="E70" i="41" s="1"/>
  <c r="E83" i="41" s="1"/>
  <c r="L44" i="42"/>
  <c r="L43" i="42" s="1"/>
  <c r="G24" i="37" s="1"/>
  <c r="E43" i="42"/>
  <c r="H144" i="41"/>
  <c r="E47" i="34"/>
  <c r="F68" i="41"/>
  <c r="L16" i="42"/>
  <c r="L42" i="42"/>
  <c r="G35" i="37"/>
  <c r="L35" i="37" s="1"/>
  <c r="M35" i="37" s="1"/>
  <c r="M31" i="15"/>
  <c r="G70" i="41"/>
  <c r="G83" i="41" s="1"/>
  <c r="E23" i="34"/>
  <c r="E25" i="34" s="1"/>
  <c r="H116" i="41"/>
  <c r="E19" i="37"/>
  <c r="J19" i="37" s="1"/>
  <c r="M19" i="37" s="1"/>
  <c r="G146" i="41"/>
  <c r="E49" i="34"/>
  <c r="E51" i="34" s="1"/>
  <c r="H127" i="41"/>
  <c r="G17" i="37" l="1"/>
  <c r="L17" i="37" s="1"/>
  <c r="L100" i="12"/>
  <c r="G90" i="7"/>
  <c r="G95" i="7" s="1"/>
  <c r="G16" i="37" s="1"/>
  <c r="L16" i="37" s="1"/>
  <c r="M16" i="37" s="1"/>
  <c r="G15" i="37"/>
  <c r="L15" i="37" s="1"/>
  <c r="P65" i="42" s="1"/>
  <c r="F169" i="41"/>
  <c r="E38" i="42"/>
  <c r="G16" i="12"/>
  <c r="G42" i="12" s="1"/>
  <c r="G92" i="12" s="1"/>
  <c r="L99" i="12" s="1"/>
  <c r="L53" i="42"/>
  <c r="G28" i="37" s="1"/>
  <c r="F15" i="37"/>
  <c r="K15" i="37" s="1"/>
  <c r="F146" i="41"/>
  <c r="F165" i="41" s="1"/>
  <c r="E38" i="31"/>
  <c r="F23" i="31" s="1"/>
  <c r="H39" i="41"/>
  <c r="H70" i="41" s="1"/>
  <c r="H83" i="41" s="1"/>
  <c r="E167" i="41"/>
  <c r="E218" i="41" s="1"/>
  <c r="F70" i="41"/>
  <c r="F83" i="41" s="1"/>
  <c r="G23" i="37"/>
  <c r="E148" i="41"/>
  <c r="E31" i="34"/>
  <c r="E35" i="34" s="1"/>
  <c r="E53" i="34"/>
  <c r="E57" i="34" s="1"/>
  <c r="H146" i="41"/>
  <c r="E223" i="41"/>
  <c r="G165" i="41"/>
  <c r="G167" i="41" s="1"/>
  <c r="G148" i="41"/>
  <c r="F17" i="37" l="1"/>
  <c r="K17" i="37" s="1"/>
  <c r="M17" i="37" s="1"/>
  <c r="L38" i="42"/>
  <c r="E219" i="41"/>
  <c r="E220" i="41" s="1"/>
  <c r="G94" i="14"/>
  <c r="M15" i="37"/>
  <c r="F167" i="41"/>
  <c r="F94" i="14"/>
  <c r="O65" i="42"/>
  <c r="F25" i="31"/>
  <c r="F19" i="31"/>
  <c r="F38" i="31"/>
  <c r="F36" i="31"/>
  <c r="F27" i="31"/>
  <c r="F35" i="31"/>
  <c r="F21" i="31"/>
  <c r="F33" i="31"/>
  <c r="F30" i="31"/>
  <c r="F29" i="31"/>
  <c r="F28" i="31"/>
  <c r="F24" i="31"/>
  <c r="F17" i="31"/>
  <c r="F34" i="31"/>
  <c r="F18" i="31"/>
  <c r="F26" i="31"/>
  <c r="F31" i="31"/>
  <c r="F16" i="31"/>
  <c r="G64" i="37"/>
  <c r="L64" i="37" s="1"/>
  <c r="M64" i="37" s="1"/>
  <c r="H148" i="41"/>
  <c r="F148" i="41"/>
  <c r="E59" i="34"/>
  <c r="E63" i="34" s="1"/>
  <c r="H165" i="41"/>
  <c r="H167" i="41" s="1"/>
  <c r="E222" i="41" s="1"/>
  <c r="E224" i="41" s="1"/>
</calcChain>
</file>

<file path=xl/sharedStrings.xml><?xml version="1.0" encoding="utf-8"?>
<sst xmlns="http://schemas.openxmlformats.org/spreadsheetml/2006/main" count="2392" uniqueCount="1237">
  <si>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</si>
  <si>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</si>
  <si>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</si>
  <si>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</si>
  <si>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</si>
  <si>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</si>
  <si>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</si>
  <si>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</si>
  <si>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</si>
  <si>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</si>
  <si>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</si>
  <si>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</si>
  <si>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</si>
  <si>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</si>
  <si>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</si>
  <si>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</si>
  <si>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</si>
  <si>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</si>
  <si>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</si>
  <si>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</si>
  <si>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</si>
  <si>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</si>
  <si>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</si>
  <si>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</si>
  <si>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</si>
  <si>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</si>
  <si>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</si>
  <si>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</si>
  <si>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</si>
  <si>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</si>
  <si>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</si>
  <si>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</si>
  <si>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</si>
  <si>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</si>
  <si>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</si>
  <si>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</si>
  <si>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</si>
  <si>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</si>
  <si>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</si>
  <si>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</si>
  <si>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</si>
  <si>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</si>
  <si>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</si>
  <si>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</si>
  <si>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</si>
  <si>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</si>
  <si>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</si>
  <si>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</si>
  <si>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</si>
  <si>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</si>
  <si>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</si>
  <si>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</si>
  <si>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</si>
  <si>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</si>
  <si>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</si>
  <si>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</si>
  <si>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</si>
  <si>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</si>
  <si>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</si>
  <si>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</si>
  <si>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</si>
  <si>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</si>
  <si>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</si>
  <si>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</si>
  <si>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</si>
  <si>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</si>
  <si>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</si>
  <si>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</si>
  <si>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</si>
  <si>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</si>
  <si>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</si>
  <si>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</si>
  <si>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</si>
  <si>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</si>
  <si>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</si>
  <si>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</si>
  <si>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</si>
  <si>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</si>
  <si>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</si>
  <si>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</si>
  <si>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</si>
  <si>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</si>
  <si>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</si>
  <si>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</si>
  <si>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</si>
  <si>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</si>
  <si>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</si>
  <si>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</si>
  <si>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</si>
  <si>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</si>
  <si>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</si>
  <si>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</si>
  <si>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</si>
  <si>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</si>
  <si>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</si>
  <si>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</si>
  <si>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</si>
  <si>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</si>
  <si>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</si>
  <si>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</si>
  <si>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</si>
  <si>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</si>
  <si>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</si>
  <si>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</si>
  <si>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</si>
  <si>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</si>
  <si>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</si>
  <si>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</si>
  <si>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</si>
  <si>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</si>
  <si>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</si>
  <si>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</si>
  <si>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</si>
  <si>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</si>
  <si>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</si>
  <si>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</si>
  <si>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</si>
  <si>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</si>
  <si>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</si>
  <si>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</si>
  <si>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</si>
  <si>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</si>
  <si>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</si>
  <si>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</si>
  <si>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</si>
  <si>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</si>
  <si>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</si>
  <si>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</si>
  <si>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</si>
  <si>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</si>
  <si>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</si>
  <si>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</si>
  <si>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</si>
  <si>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</si>
  <si>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</si>
  <si>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</si>
  <si>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</si>
  <si>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</si>
  <si>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</si>
  <si>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</si>
  <si>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</si>
  <si>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</si>
  <si>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</si>
  <si>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</si>
  <si>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</si>
  <si>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</si>
  <si>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</si>
  <si>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</si>
  <si>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</si>
  <si>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</si>
  <si>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</si>
  <si>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</si>
  <si>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</si>
  <si>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</si>
  <si>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</si>
  <si>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</si>
  <si>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</si>
  <si>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</si>
  <si>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</si>
  <si>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</si>
  <si>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</si>
  <si>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</si>
  <si>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</si>
  <si>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</si>
  <si>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</si>
  <si>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</si>
  <si>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</si>
  <si>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</si>
  <si>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</si>
  <si>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</si>
  <si>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</si>
  <si>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</si>
  <si>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</si>
  <si>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</si>
  <si>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</si>
  <si>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</si>
  <si>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</si>
  <si>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</si>
  <si>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</si>
  <si>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</si>
  <si>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</si>
  <si>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</si>
  <si>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</si>
  <si>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</si>
  <si>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</si>
  <si>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</si>
  <si>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</si>
  <si>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</si>
  <si>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</si>
  <si>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</si>
  <si>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</si>
  <si>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</si>
  <si>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</si>
  <si>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</si>
  <si>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</si>
  <si>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</si>
  <si>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</si>
  <si>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</si>
  <si>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</si>
  <si>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</si>
  <si>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</si>
  <si>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</si>
  <si>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</si>
  <si>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</si>
  <si>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</si>
  <si>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</si>
  <si>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</si>
  <si>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</si>
  <si>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</si>
  <si>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</si>
  <si>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</si>
  <si>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</si>
  <si>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</si>
  <si>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</si>
  <si>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</si>
  <si>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</si>
  <si>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</si>
  <si>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</si>
  <si>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</si>
  <si>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</si>
  <si>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</si>
  <si>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</si>
  <si>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</si>
  <si>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</si>
  <si>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</si>
  <si>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</si>
  <si>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</si>
  <si>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</si>
  <si>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</si>
  <si>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</si>
  <si>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</si>
  <si>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</si>
  <si>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</si>
  <si>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</si>
  <si>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</si>
  <si>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</si>
  <si>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</si>
  <si>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</si>
  <si>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</si>
  <si>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</si>
  <si>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</si>
  <si>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</si>
  <si>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</si>
  <si>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</si>
  <si>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</si>
  <si>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</si>
  <si>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</si>
  <si>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</si>
  <si>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</si>
  <si>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</si>
  <si>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</si>
  <si>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</si>
  <si>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</si>
  <si>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</si>
  <si>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</si>
  <si>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</si>
  <si>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</si>
  <si>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</si>
  <si>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</si>
  <si>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</si>
  <si>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</si>
  <si>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</si>
  <si>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</si>
  <si>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</si>
  <si>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</si>
  <si>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</si>
  <si>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</si>
  <si>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</si>
  <si>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</si>
  <si>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</si>
  <si>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</si>
  <si>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</si>
  <si>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</si>
  <si>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</si>
  <si>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</si>
  <si>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</si>
  <si>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</si>
  <si>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</si>
  <si>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</si>
  <si>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</si>
  <si>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</si>
  <si>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</si>
  <si>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</si>
  <si>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</si>
  <si>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</si>
  <si>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</si>
  <si>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</si>
  <si>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</si>
  <si>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</si>
  <si>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</si>
  <si>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</si>
  <si>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</si>
  <si>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</si>
  <si>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</si>
  <si>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</si>
  <si>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</si>
  <si>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</si>
  <si>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</si>
  <si>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</si>
  <si>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</si>
  <si>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</si>
  <si>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</si>
  <si>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</si>
  <si>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</si>
  <si>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</si>
  <si>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</si>
  <si>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</si>
  <si>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</si>
  <si>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</si>
  <si>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</si>
  <si>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</si>
  <si>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</si>
  <si>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</si>
  <si>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</si>
  <si>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</si>
  <si>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</si>
  <si>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</si>
  <si>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</si>
  <si>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</si>
  <si>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</si>
  <si>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</si>
  <si>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</si>
  <si>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</si>
  <si>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</si>
  <si>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</si>
  <si>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</si>
  <si>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</si>
  <si>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</si>
  <si>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</si>
  <si>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</si>
  <si>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</si>
  <si>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</si>
  <si>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</si>
  <si>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</si>
  <si>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</si>
  <si>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</si>
  <si>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</si>
  <si>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</si>
  <si>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</si>
  <si>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</si>
  <si>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</si>
  <si>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</si>
  <si>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</si>
  <si>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</si>
  <si>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</si>
  <si>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</si>
  <si>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</si>
  <si>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</si>
  <si>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</si>
  <si>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</si>
  <si>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</si>
  <si>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</si>
  <si>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</si>
  <si>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</si>
  <si>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</si>
  <si>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</si>
  <si>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</si>
  <si>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</si>
  <si>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</si>
  <si>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</si>
  <si>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</si>
  <si>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</si>
  <si>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</si>
  <si>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</si>
  <si>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</si>
  <si>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</si>
  <si>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</si>
  <si>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</si>
  <si>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</si>
  <si>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</si>
  <si>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</si>
  <si>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</si>
  <si>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</si>
  <si>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</si>
  <si>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</si>
  <si>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</si>
  <si>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</si>
  <si>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</si>
  <si>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</si>
  <si>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</si>
  <si>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</si>
  <si>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</si>
  <si>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</si>
  <si>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</si>
  <si>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</si>
  <si>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</si>
  <si>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</si>
  <si>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</si>
  <si>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</si>
  <si>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</si>
  <si>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</si>
  <si>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</si>
  <si>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</si>
  <si>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</si>
  <si>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</si>
  <si>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</si>
  <si>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</si>
  <si>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</si>
  <si>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</si>
  <si>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</si>
  <si>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</si>
  <si>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</si>
  <si>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</si>
  <si>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</si>
  <si>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</si>
  <si>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</si>
  <si>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</si>
  <si>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</si>
  <si>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</si>
  <si>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</si>
  <si>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</si>
  <si>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</si>
  <si>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</si>
  <si>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</si>
  <si>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</si>
  <si>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</si>
  <si>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</si>
  <si>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</si>
  <si>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</si>
  <si>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</si>
  <si>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</si>
  <si>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</si>
  <si>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</si>
  <si>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</si>
  <si>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</si>
  <si>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</si>
  <si>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</si>
  <si>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</si>
  <si>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</si>
  <si>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</si>
  <si>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</si>
  <si>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</si>
  <si>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</si>
  <si>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</si>
  <si>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</si>
  <si>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</si>
  <si>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</si>
  <si>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</si>
  <si>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</si>
  <si>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</si>
  <si>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</si>
  <si>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</si>
  <si>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</si>
  <si>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</si>
  <si>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</si>
  <si>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</si>
  <si>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</si>
  <si>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</si>
  <si>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</si>
  <si>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</si>
  <si>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 xml:space="preserve">   Emisiones de deuda</t>
  </si>
  <si>
    <t xml:space="preserve">   Operaciones con entidades de crédito</t>
  </si>
  <si>
    <t xml:space="preserve">   Factoring sin recurso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</si>
  <si>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</si>
  <si>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</si>
  <si>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</si>
  <si>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</si>
  <si>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</si>
  <si>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</si>
  <si>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</si>
  <si>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</si>
  <si>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</si>
  <si>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</si>
  <si>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</si>
  <si>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</si>
  <si>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</si>
  <si>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</si>
  <si>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</si>
  <si>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</si>
  <si>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</si>
  <si>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</si>
  <si>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</si>
  <si>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</si>
  <si>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</si>
  <si>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</si>
  <si>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</si>
  <si>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</si>
  <si>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</si>
  <si>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</si>
  <si>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</si>
  <si>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</si>
  <si>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</si>
  <si>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</si>
  <si>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</si>
  <si>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</si>
  <si>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</si>
  <si>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</si>
  <si>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</si>
  <si>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</si>
  <si>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</si>
  <si>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</si>
  <si>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</si>
  <si>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</si>
  <si>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</si>
  <si>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</si>
  <si>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</si>
  <si>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</si>
  <si>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</si>
  <si>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</si>
  <si>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</si>
  <si>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</si>
  <si>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</si>
  <si>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</si>
  <si>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</si>
  <si>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</si>
  <si>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</si>
  <si>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</si>
  <si>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</si>
  <si>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</si>
  <si>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</si>
  <si>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</si>
  <si>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INSTITUTO MEDICO TINERFEÑO, S.A. (IMETISA)</t>
  </si>
  <si>
    <t>CONSORCIO ISLA BAJA</t>
  </si>
  <si>
    <t>PARQUES EÓLICOS DE GRANADILLA,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</si>
  <si>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</si>
  <si>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</si>
  <si>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</si>
  <si>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</si>
  <si>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</si>
  <si>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</si>
  <si>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</si>
  <si>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</si>
  <si>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</si>
  <si>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</si>
  <si>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</si>
  <si>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</si>
  <si>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</si>
  <si>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</si>
  <si>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</si>
  <si>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</si>
  <si>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</si>
  <si>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</si>
  <si>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</si>
  <si>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</si>
  <si>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</si>
  <si>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</si>
  <si>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</si>
  <si>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</si>
  <si>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</si>
  <si>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</si>
  <si>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</si>
  <si>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</si>
  <si>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</si>
  <si>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</si>
  <si>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</si>
  <si>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</si>
  <si>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</si>
  <si>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</si>
  <si>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</si>
  <si>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3. Transferencias y subvenciones recibidas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</si>
  <si>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</si>
  <si>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</si>
  <si>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</si>
  <si>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</si>
  <si>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</si>
  <si>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</si>
  <si>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</si>
  <si>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</si>
  <si>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</si>
  <si>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</si>
  <si>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</si>
  <si>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</si>
  <si>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</si>
  <si>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</si>
  <si>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</si>
  <si>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</si>
  <si>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</si>
  <si>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</si>
  <si>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</si>
  <si>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</si>
  <si>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</si>
  <si>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</si>
  <si>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</si>
  <si>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</si>
  <si>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</si>
  <si>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</si>
  <si>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</si>
  <si>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</si>
  <si>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</si>
  <si>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</si>
  <si>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</si>
  <si>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</si>
  <si>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</si>
  <si>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</si>
  <si>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</si>
  <si>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</si>
  <si>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</si>
  <si>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</si>
  <si>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</si>
  <si>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</si>
  <si>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</si>
  <si>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</si>
  <si>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</si>
  <si>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</si>
  <si>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</si>
  <si>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</si>
  <si>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</si>
  <si>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</si>
  <si>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</si>
  <si>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</si>
  <si>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</si>
  <si>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</si>
  <si>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</si>
  <si>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</si>
  <si>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</si>
  <si>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</si>
  <si>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</si>
  <si>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</si>
  <si>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</si>
  <si>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</si>
  <si>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</si>
  <si>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</si>
  <si>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</si>
  <si>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</si>
  <si>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</si>
  <si>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</si>
  <si>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</si>
  <si>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</si>
  <si>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</si>
  <si>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</si>
  <si>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</si>
  <si>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</si>
  <si>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</si>
  <si>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</si>
  <si>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</si>
  <si>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</si>
  <si>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</si>
  <si>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</si>
  <si>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</si>
  <si>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</si>
  <si>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</si>
  <si>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</si>
  <si>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</si>
  <si>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</si>
  <si>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</si>
  <si>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</si>
  <si>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</si>
  <si>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</si>
  <si>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</si>
  <si>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</si>
  <si>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</si>
  <si>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</si>
  <si>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</si>
  <si>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</si>
  <si>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</si>
  <si>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</si>
  <si>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</si>
  <si>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</si>
  <si>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</si>
  <si>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</si>
  <si>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</si>
  <si>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</si>
  <si>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</si>
  <si>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</si>
  <si>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</si>
  <si>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</si>
  <si>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</si>
  <si>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</si>
  <si>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</si>
  <si>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</si>
  <si>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</si>
  <si>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</si>
  <si>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</si>
  <si>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</si>
  <si>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</si>
  <si>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</si>
  <si>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</si>
  <si>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</si>
  <si>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</si>
  <si>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</si>
  <si>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</si>
  <si>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</si>
  <si>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</si>
  <si>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</si>
  <si>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</si>
  <si>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</si>
  <si>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</si>
  <si>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</si>
  <si>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</si>
  <si>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</si>
  <si>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</si>
  <si>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</si>
  <si>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</si>
  <si>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</si>
  <si>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</si>
  <si>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</si>
  <si>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</si>
  <si>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</si>
  <si>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</si>
  <si>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</si>
  <si>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</si>
  <si>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</si>
  <si>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</si>
  <si>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</si>
  <si>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</si>
  <si>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</si>
  <si>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</si>
  <si>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</si>
  <si>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</si>
  <si>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</si>
  <si>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</si>
  <si>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</si>
  <si>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</si>
  <si>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</si>
  <si>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</si>
  <si>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</si>
  <si>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</si>
  <si>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</si>
  <si>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</si>
  <si>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</si>
  <si>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</si>
  <si>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</si>
  <si>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</si>
  <si>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</si>
  <si>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</si>
  <si>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</si>
  <si>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</si>
  <si>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</si>
  <si>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</si>
  <si>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</si>
  <si>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</si>
  <si>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</si>
  <si>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</si>
  <si>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</si>
  <si>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</si>
  <si>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</si>
  <si>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</si>
  <si>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</si>
  <si>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</si>
  <si>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</si>
  <si>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</si>
  <si>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</si>
  <si>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</si>
  <si>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</si>
  <si>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</si>
  <si>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</si>
  <si>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</si>
  <si>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</si>
  <si>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</si>
  <si>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</si>
  <si>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</si>
  <si>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</si>
  <si>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</si>
  <si>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</si>
  <si>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</si>
  <si>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</si>
  <si>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</si>
  <si>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</si>
  <si>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</si>
  <si>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</si>
  <si>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</si>
  <si>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</si>
  <si>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</si>
  <si>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</si>
  <si>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</si>
  <si>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</si>
  <si>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</si>
  <si>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</si>
  <si>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</si>
  <si>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</si>
  <si>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</si>
  <si>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</si>
  <si>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</si>
  <si>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</si>
  <si>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</si>
  <si>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</si>
  <si>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</si>
  <si>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</si>
  <si>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</si>
  <si>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</si>
  <si>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</si>
  <si>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</si>
  <si>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</si>
  <si>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</si>
  <si>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</si>
  <si>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</si>
  <si>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</si>
  <si>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</si>
  <si>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</si>
  <si>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</si>
  <si>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</si>
  <si>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</si>
  <si>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</si>
  <si>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</si>
  <si>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</si>
  <si>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</si>
  <si>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</si>
  <si>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</si>
  <si>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</si>
  <si>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</si>
  <si>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</si>
  <si>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</si>
  <si>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</si>
  <si>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</si>
  <si>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</si>
  <si>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</si>
  <si>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</si>
  <si>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</si>
  <si>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</si>
  <si>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</si>
  <si>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</si>
  <si>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</si>
  <si>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</si>
  <si>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</si>
  <si>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</si>
  <si>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</si>
  <si>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</si>
  <si>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</si>
  <si>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</si>
  <si>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</si>
  <si>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</si>
  <si>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</si>
  <si>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</si>
  <si>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</si>
  <si>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</si>
  <si>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</si>
  <si>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</si>
  <si>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</si>
  <si>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</si>
  <si>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</si>
  <si>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</si>
  <si>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</si>
  <si>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</si>
  <si>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</si>
  <si>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</si>
  <si>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</si>
  <si>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</si>
  <si>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</si>
  <si>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</si>
  <si>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</si>
  <si>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</si>
  <si>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</si>
  <si>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</si>
  <si>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</si>
  <si>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</si>
  <si>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</si>
  <si>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</si>
  <si>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</si>
  <si>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</si>
  <si>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</si>
  <si>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</si>
  <si>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</si>
  <si>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</si>
  <si>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</si>
  <si>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</si>
  <si>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</si>
  <si>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</si>
  <si>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</si>
  <si>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</si>
  <si>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</si>
  <si>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</si>
  <si>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</si>
  <si>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</si>
  <si>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</si>
  <si>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</si>
  <si>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</si>
  <si>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</si>
  <si>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</si>
  <si>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</si>
  <si>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</si>
  <si>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</si>
  <si>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</si>
  <si>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</si>
  <si>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</si>
  <si>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</si>
  <si>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</si>
  <si>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</si>
  <si>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</si>
  <si>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</si>
  <si>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</si>
  <si>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</si>
  <si>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</si>
  <si>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</si>
  <si>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</si>
  <si>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</si>
  <si>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</si>
  <si>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</si>
  <si>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</si>
  <si>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</si>
  <si>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</si>
  <si>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</si>
  <si>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</si>
  <si>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</si>
  <si>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</si>
  <si>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</si>
  <si>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</si>
  <si>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</si>
  <si>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</si>
  <si>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</si>
  <si>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</si>
  <si>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</si>
  <si>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</si>
  <si>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</si>
  <si>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</si>
  <si>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</si>
  <si>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</si>
  <si>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</si>
  <si>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</si>
  <si>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</si>
  <si>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</si>
  <si>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</si>
  <si>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</si>
  <si>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</si>
  <si>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</si>
  <si>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</si>
  <si>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</si>
  <si>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</si>
  <si>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</si>
  <si>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</si>
  <si>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</si>
  <si>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</si>
  <si>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</si>
  <si>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</si>
  <si>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</si>
  <si>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</si>
  <si>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</si>
  <si>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</si>
  <si>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</si>
  <si>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</si>
  <si>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</si>
  <si>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</si>
  <si>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</si>
  <si>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</si>
  <si>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</si>
  <si>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</si>
  <si>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</si>
  <si>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</si>
  <si>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</si>
  <si>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</si>
  <si>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</si>
  <si>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</si>
  <si>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</si>
  <si>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</si>
  <si>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</si>
  <si>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</si>
  <si>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</si>
  <si>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</si>
  <si>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</si>
  <si>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</si>
  <si>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</si>
  <si>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</si>
  <si>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</si>
  <si>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</si>
  <si>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</si>
  <si>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</si>
  <si>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</si>
  <si>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</si>
  <si>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</si>
  <si>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</si>
  <si>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</si>
  <si>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</si>
  <si>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</si>
  <si>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</si>
  <si>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</si>
  <si>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</si>
  <si>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</si>
  <si>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</si>
  <si>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</si>
  <si>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</si>
  <si>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</si>
  <si>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</si>
  <si>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</si>
  <si>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</si>
  <si>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</si>
  <si>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</si>
  <si>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</si>
  <si>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</si>
  <si>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</si>
  <si>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</si>
  <si>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</si>
  <si>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</si>
  <si>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</si>
  <si>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</si>
  <si>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</si>
  <si>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</si>
  <si>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</si>
  <si>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</si>
  <si>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</si>
  <si>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</si>
  <si>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</si>
  <si>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</si>
  <si>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</si>
  <si>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</si>
  <si>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</si>
  <si>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</si>
  <si>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</si>
  <si>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</si>
  <si>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</si>
  <si>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</si>
  <si>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</si>
  <si>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</si>
  <si>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</si>
  <si>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</si>
  <si>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</si>
  <si>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</si>
  <si>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</si>
  <si>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</si>
  <si>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</si>
  <si>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</si>
  <si>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</si>
  <si>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</si>
  <si>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</si>
  <si>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</si>
  <si>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A) DEUDAS TRANSFORMABLES EN SUBVENCIONES</t>
  </si>
  <si>
    <t xml:space="preserve">Descripción de </t>
  </si>
  <si>
    <t>la aportación</t>
  </si>
  <si>
    <t>Fecha máx.</t>
  </si>
  <si>
    <t>justificación</t>
  </si>
  <si>
    <t>(2)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</si>
  <si>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(5)</t>
    </r>
  </si>
  <si>
    <t>Bajas (Reintegro)</t>
  </si>
  <si>
    <t>SUBTOTAL A)</t>
  </si>
  <si>
    <t>B) RESTO DE OTROS PASIVOS FINANCIEROS</t>
  </si>
  <si>
    <t>SUBTOTAL B)</t>
  </si>
  <si>
    <t>Otros gastos financieros (7)</t>
  </si>
  <si>
    <t>Traspaso (9)           (No reintegrables)</t>
  </si>
  <si>
    <t xml:space="preserve">Traspasos (9)          sin efecto monetario  </t>
  </si>
  <si>
    <t xml:space="preserve">   Total Otros Pasivos Financieros</t>
  </si>
  <si>
    <t>Altas (Concedidas)</t>
  </si>
  <si>
    <t>Ajuste de traspaso a no reintegrables</t>
  </si>
  <si>
    <t>(9) Traspasos por consideración de subvención no reintegrable, y otros traspasos sin efecto monetario. (Movimientos al debe con signo positivo y al haber con signo negativo)</t>
  </si>
  <si>
    <t>Variación de acreedores comerciales no corrientes</t>
  </si>
  <si>
    <t>Variación de pasivos por impuesto diferido sin efecto en subvenciones</t>
  </si>
  <si>
    <t xml:space="preserve"> Clasificación IGAE:</t>
  </si>
  <si>
    <t xml:space="preserve"> Participación ECIT:</t>
  </si>
  <si>
    <t>Administración Pública</t>
  </si>
  <si>
    <t>Entidad No Financiera</t>
  </si>
  <si>
    <t>Íntegra</t>
  </si>
  <si>
    <t>Mayoritaria / Minoritaria</t>
  </si>
  <si>
    <t>Amortización del inmovilizado intangible</t>
  </si>
  <si>
    <t>Amortización del inmovilizado material</t>
  </si>
  <si>
    <t>Amortización de las inversiones inmobiliarias</t>
  </si>
  <si>
    <t>Del inmovilizado intangible</t>
  </si>
  <si>
    <t>Del inmovilizado material</t>
  </si>
  <si>
    <t>De las inversiones inmobiliarias</t>
  </si>
  <si>
    <t>Gastos excepcionales</t>
  </si>
  <si>
    <t>Observaciones sobre diferencias entre aportaciones s/criterio de entidad y s/criterio del ECIT/AAPP</t>
  </si>
  <si>
    <t>Cuenta 740</t>
  </si>
  <si>
    <t>Importe total aportación</t>
  </si>
  <si>
    <t>Cuenta 118</t>
  </si>
  <si>
    <t>Aportaciones genéricas concedidas por el Cabildo</t>
  </si>
  <si>
    <t xml:space="preserve">Aportación genérica del Cabildo correctamente distribuida entre Patrimonio y PyG en FC-9 </t>
  </si>
  <si>
    <t xml:space="preserve">   Arrendamiento Financiero</t>
  </si>
  <si>
    <t xml:space="preserve">   Asociaciones público - privadas</t>
  </si>
  <si>
    <t xml:space="preserve">   Pagos aplazados por operaciones con terceros</t>
  </si>
  <si>
    <t>Total deuda viva PDE</t>
  </si>
  <si>
    <t>Endeudamiento a efectos de la aplicación del régimen de autorización recogido en el árticulo 53 TRLRHL y DF 31ª LPGE 2013</t>
  </si>
  <si>
    <t>Deudas con Administraciones Públicas</t>
  </si>
  <si>
    <t xml:space="preserve">   Con la Administración General del Estado</t>
  </si>
  <si>
    <t xml:space="preserve">   Con la Comunidad Autónoma</t>
  </si>
  <si>
    <t xml:space="preserve">   Con la Diputación Provincial Consejo o Cabildo Insular</t>
  </si>
  <si>
    <t xml:space="preserve">   Con la Seguridad Social</t>
  </si>
  <si>
    <t xml:space="preserve">   Con la AEAT</t>
  </si>
  <si>
    <t xml:space="preserve">   Con otras Administraciones Públicas</t>
  </si>
  <si>
    <t>Otras deudas</t>
  </si>
  <si>
    <t>Total deuda viva a efectos del régimen de autorización</t>
  </si>
  <si>
    <t>(2) Se corresponden a importes por operaciones de Tesorería y no por otro tipo de deudas, como pueden ser las tarjetas de crédito. El importe por tarjetas de crédito no se debe informar aquí</t>
  </si>
  <si>
    <t>Deudas a corto plazo (Operaciones de tesorería)  (2)</t>
  </si>
  <si>
    <t>Deudas a largo plazo  (2)</t>
  </si>
  <si>
    <t xml:space="preserve">   Otras operaciones de crédito  (3)</t>
  </si>
  <si>
    <t>(3) No han de incluirse las deudas contraídas con empresas del grupo, ni con los Acreedores comerciales, ni las fianzas, ni los depósitos recibidos.</t>
  </si>
  <si>
    <t xml:space="preserve">   Deudas con Administraciones Públicas (FFEL)  (1)</t>
  </si>
  <si>
    <t xml:space="preserve">(1) En las deudas con las Administraciones Públicas únicamente se incluirán los préstamos con el Fondo de Financiación a Entidades Locales, que incluye el Fondo de Impulso Económico, el Fondo de Ordenación y el Fondo en liquidación para la financiación de los Pagos a Proveedores de EELL, en este último tanto si se han instrumentado través de una operación de endeudamiento, como a través de la participación en los tributos del Estado (PTE). </t>
  </si>
  <si>
    <t>Vencimientos a efectos de la aplicación del régimen de autorización recogido en el árticulo 53 TRLRHL y DF 31ª LPGE 2013</t>
  </si>
  <si>
    <t>Total vencimientos a efectos del régimen de autorización</t>
  </si>
  <si>
    <t xml:space="preserve">   Otras operaciones de crédito  (2)</t>
  </si>
  <si>
    <t>(2) No han de incluirse las deudas contraídas con empresas del grupo, ni con los Acreedores comerciales, ni las fianzas, ni los depósitos recibidos.</t>
  </si>
  <si>
    <t xml:space="preserve">     Se trataría de encomiendas recibidas de Otras Administraciones Públicas que no sean del Cabildo Insular de Tenerife o bien procedente de las entidades dependientes del Cabildo no recogidas en el listado siguiente:</t>
  </si>
  <si>
    <t>Organismos Autónomos</t>
  </si>
  <si>
    <t>INSTITUTO INSULAR DE ATENCIÓN SOCIAL Y SOCIO SANITARIA (IASS)</t>
  </si>
  <si>
    <t>CONSEJO INSULAR DE AGUAS DE TENERIFE (CIAT)</t>
  </si>
  <si>
    <t>PATRONATO INSULAR DE MÚSICA (PIM)</t>
  </si>
  <si>
    <t>ORGANISMO AUTÓNOMO MUSEOS Y CENTROS (OAMC)</t>
  </si>
  <si>
    <t>Entidades Públicas Empresariales</t>
  </si>
  <si>
    <t>TEA, TENERIFE ESPACIO DE LAS ARTES</t>
  </si>
  <si>
    <t>ENTIDAD INSULAR PARA EL DESARROLLO AGRÍCOLA, GANADERO Y PESQUERO DE TENERIFE (AGROTEIDE)</t>
  </si>
  <si>
    <t>Sociedades  íntegras</t>
  </si>
  <si>
    <t>EMPRESA INSULAR DE ARTESANÍA, S.A.</t>
  </si>
  <si>
    <t>SOCIEDAD INSULAR PARA LA PROMOCIÓN DE LAS PERSONAS CON DISCAPACIDAD, S.L. (SINPROMI)</t>
  </si>
  <si>
    <t>AUDITORIO DE TENERIFE , S.A.</t>
  </si>
  <si>
    <t>GESTIÓN INSULAR PARA EL DEPORTE, LA CULTURA Y EL OCIO, S.A. (IDECO)</t>
  </si>
  <si>
    <t>Sociedades mayoritarias</t>
  </si>
  <si>
    <t>SPET TURISMO DE TENERIFE, S.A.</t>
  </si>
  <si>
    <t>CANALINK AFRICA S.L.U.</t>
  </si>
  <si>
    <t>CANALINK BAHARICOM, S.L</t>
  </si>
  <si>
    <t>INSTITUTO VOLCANOLÓGICO DE CANARIAS, S.A. (INVOLCAN)</t>
  </si>
  <si>
    <t>PARQUE CIENTÍFICO Y TECNOLÓGICO DE TENERIFE, S.A. (PCTT)</t>
  </si>
  <si>
    <t>Fundaciones e Instituciones sin ánimo de lucro</t>
  </si>
  <si>
    <t>FUNDACIÓN CANARIA TENERIFE RURAL</t>
  </si>
  <si>
    <t>FUNDACIÓN CANARIA INSULAR PARA LA FORMACIÓN, EL EMPLEO Y EL DESARROLLO EMPRESARIAL (FIFEDE)</t>
  </si>
  <si>
    <t>FUNDACIÓN CANARIA, AGENCIA INSULAR DE LA ENERGÍA</t>
  </si>
  <si>
    <t>FUNDACIÓN FACTORÍA CANARIA DE LA INNOVACIÓN TURÍSTICA (FIT)</t>
  </si>
  <si>
    <t>FUNDACIÓN CANARIA PARA EL AVANCE DE LA BIOMEDICINA Y LA BIOTECNOLOGÍA (BIOAVANCE)</t>
  </si>
  <si>
    <t>Consorcios</t>
  </si>
  <si>
    <t>CONSORCIO DE TRIBUTOS DE TENERIFE</t>
  </si>
  <si>
    <t>CONSORCIO URBANÍSTICO PARA LA REHABILITACIÓN DEL PUERTO DE LA CRUZ</t>
  </si>
  <si>
    <t>CONSORCIO DE PREVENCIÓN, EXTINCIÓN DE INCENDIOS Y SALVAMENTO DE LA ISLA DE TENERIFE</t>
  </si>
  <si>
    <t xml:space="preserve">    3.1. Transferencias y subvenciones recibidas de explotación</t>
  </si>
  <si>
    <t xml:space="preserve">    3.2. Transferencias y subvenciones recibidas de capital</t>
  </si>
  <si>
    <t>Ingresos accesorios, siempre que procedan de una actividad productiva</t>
  </si>
  <si>
    <t>El aumento (+) o la disminución (-) de existencias de productos terminados y en curso</t>
  </si>
  <si>
    <t>Subvenciones de capital en FC-9 = dato en FC-17</t>
  </si>
  <si>
    <t xml:space="preserve">RELACIÓN DE ENCARGOS </t>
  </si>
  <si>
    <t>Poder</t>
  </si>
  <si>
    <t>Adjudicador</t>
  </si>
  <si>
    <t>Tipo operación</t>
  </si>
  <si>
    <t>Ingresos (IGIC incluido)</t>
  </si>
  <si>
    <t>Gastos (IGIC incluido)</t>
  </si>
  <si>
    <t>Saldos deudores</t>
  </si>
  <si>
    <t>Saldos acreedores</t>
  </si>
  <si>
    <t>Entidades con participación mayoritaria del ECIT</t>
  </si>
  <si>
    <t>Entidades con participación minoritaria del ECIT</t>
  </si>
  <si>
    <t>En ningún caso incluir las aportaciones y subvenciones del ECIT que han sido detalladas en FC-9</t>
  </si>
  <si>
    <t>ECIT o Entidades con participación íntegra del ECIT</t>
  </si>
  <si>
    <t>TRANSACCIONES (de la cuenta de Pérdidas y Ganancias)</t>
  </si>
  <si>
    <t>SALDOS (del Balance)</t>
  </si>
  <si>
    <t>2. Ventas de bienes y prestaciones de servicios al sector privado</t>
  </si>
  <si>
    <t>De la Entidad Local o sus unidades dependientes</t>
  </si>
  <si>
    <t>En ningún caso se considerarán las aportaciones genéricas del anexo III ni los restantes ingresos recogidos en la cuenta de pérdidas y ganancias, tales como, excesos de provisiones para riesgos y gastos, ingresos financieros, resultados extraordinarios, trabajos realizados por la empresa para su inmovilizado, ni la imputación a resultados de las subvenciones de capital.</t>
  </si>
  <si>
    <t>Importe s/criterio del aportante</t>
  </si>
  <si>
    <t>Otros - Unión Europea</t>
  </si>
  <si>
    <t>Otros - De otras Administraciones y Entes públicos</t>
  </si>
  <si>
    <t>Subv. de explotación concedidas por Unidades dependientes del Cabildo</t>
  </si>
  <si>
    <t>Subv. de explotación concedidas por la Unión Europea</t>
  </si>
  <si>
    <t>Subv. de explotación concedidas por otras Administraciones y Entes públicos</t>
  </si>
  <si>
    <t>Otros - Unidad dependiente del Cabildo</t>
  </si>
  <si>
    <t>Subv. de capital concedidas por el Cabildo</t>
  </si>
  <si>
    <t>Subv. de capital concedidas por Unidades dependientes del Cabildo</t>
  </si>
  <si>
    <t>Subv. de capital concedidas por la Unión Europea</t>
  </si>
  <si>
    <t>Subv. de capital concedidas por otras Administraciones y Entes públicos</t>
  </si>
  <si>
    <t>Para el desplegable de "SUBVENCIONES DE CAPITAL y EXPLOTACIÓN".</t>
  </si>
  <si>
    <t xml:space="preserve">Las operaciones a incluir aquí serán las facturaciones entre entidades dependientes (con IGIC incluido), las facturaciones con el Cabildo (encargos), préstamos realizados entre entidades dependientes y aportaciones entre entidades dependientes si las hubiese. </t>
  </si>
  <si>
    <t>IASS</t>
  </si>
  <si>
    <t>BALTEN</t>
  </si>
  <si>
    <t>AGROTEIDE (en extinción)</t>
  </si>
  <si>
    <t>Casino Taoro, S.A.</t>
  </si>
  <si>
    <t>Casino Playa de las Américas, S.A.</t>
  </si>
  <si>
    <t>Casino de Santa Cruz de Tenerife, S.A.</t>
  </si>
  <si>
    <t>Institución Ferial de Tenerife, S.A.</t>
  </si>
  <si>
    <t>Metropolitano de Tenerife, S.A. (MTSA)</t>
  </si>
  <si>
    <t>Gestión Insular de Aguas de Tenerife, S.A. (GESTA)</t>
  </si>
  <si>
    <t>Empresa Insular de Artesanía, S.A.</t>
  </si>
  <si>
    <t>Sociedad Insular para la Promoción de las personas con discapacidad, S.L. (SINPROMI).</t>
  </si>
  <si>
    <t>Auditorio de Tenerife, S.A.</t>
  </si>
  <si>
    <t>Gestión Insular para el Deporte, la Cultura y el Ocio, S.A. (IDECO)</t>
  </si>
  <si>
    <t>Instituto Tecnológico de Energías Renovables, S.A. (ITER)</t>
  </si>
  <si>
    <t>Cultivos y Tecnología Agraria de Tenerife, S.A.  (CULTESA)</t>
  </si>
  <si>
    <t>Parque Científico y Tecnológico de Tenerife, S.A. (PCTT – Intech)</t>
  </si>
  <si>
    <t>Instituto Tecnológico y de Telecom. de Tenerife, S.L. (IT3).</t>
  </si>
  <si>
    <t>Instituto Volcanológico de Canarias (INVOLCAN)</t>
  </si>
  <si>
    <t>Canarias Submarine Link S.L. (CANALINK)</t>
  </si>
  <si>
    <t>Instituto Médico Tinerfeño, S.A. (IMETISA)</t>
  </si>
  <si>
    <t>SPET Turismo de Tenerife, S.A.</t>
  </si>
  <si>
    <t>Canalink Africa S.L.</t>
  </si>
  <si>
    <t>Canalink Baharicom S.L.</t>
  </si>
  <si>
    <t>Consorcio de Tributos de Tenerife.</t>
  </si>
  <si>
    <t>Consorcio Isla Baja.</t>
  </si>
  <si>
    <t>Consorcio de Prevención, Extinción de Incendios y Salvamento de la Isla de Tenerife.</t>
  </si>
  <si>
    <t>Consorcio Urbanístico para la Rehabilitación del Puerto de la Cruz.</t>
  </si>
  <si>
    <t>Polígono Industrial de Granadilla.</t>
  </si>
  <si>
    <t>Mercatenerife, S.A.</t>
  </si>
  <si>
    <t>Eólicas de Tenerife, A.I.E.</t>
  </si>
  <si>
    <t>Polígono Industrial de Güímar, A.M.C.  (en extinción)</t>
  </si>
  <si>
    <t>Clasificación IGAE</t>
  </si>
  <si>
    <t xml:space="preserve">CONSEJO INSULAR DE AGUAS </t>
  </si>
  <si>
    <t>O.A. MUSEOS Y CENTROS</t>
  </si>
  <si>
    <t xml:space="preserve">PATRONATO INSULAR DE MÚSICA </t>
  </si>
  <si>
    <t>CABILDO INSULAR DE TENERIFE</t>
  </si>
  <si>
    <t xml:space="preserve">   (Cuenta 522 Deudas transformables en subvenciones)</t>
  </si>
  <si>
    <t>Subvenciones de explotación en FC-9 = dato en FC-17</t>
  </si>
  <si>
    <t>Spet, turismo de Tenerife s.a</t>
  </si>
  <si>
    <t>D. José Gregorio Martín Plata</t>
  </si>
  <si>
    <t>D. Aarón Afonso González</t>
  </si>
  <si>
    <t>D. David Miguel Pérez González</t>
  </si>
  <si>
    <t>D.José Antonio Duque Díaz</t>
  </si>
  <si>
    <t>D. Jorge Alexis Marichal González</t>
  </si>
  <si>
    <t>D. Santiago Tomás Sesé Alonso</t>
  </si>
  <si>
    <t>D. José Alberto León Alonso</t>
  </si>
  <si>
    <t>Dña. Carolina Rodriguez Díaz</t>
  </si>
  <si>
    <t>Dña. Luz Goretti Gorrín Ramos</t>
  </si>
  <si>
    <t>D.Enrique Arriaga Alvarez</t>
  </si>
  <si>
    <t>D. José Alberto Delgado Dominguez</t>
  </si>
  <si>
    <t>D. Adolfo Sebastian Alonso Ferrera</t>
  </si>
  <si>
    <t>D. Enrique Talg Reineke</t>
  </si>
  <si>
    <t>Ashotel</t>
  </si>
  <si>
    <t>Vicepresidente 2º</t>
  </si>
  <si>
    <t>Cámara Comercio</t>
  </si>
  <si>
    <t>Vicepresidente 3º</t>
  </si>
  <si>
    <t>Ayto Santiago Teide</t>
  </si>
  <si>
    <t>Ayto Puerto de La Cruz</t>
  </si>
  <si>
    <t>Ayto Adeje</t>
  </si>
  <si>
    <t>Ayto Arona</t>
  </si>
  <si>
    <t>Cabildo</t>
  </si>
  <si>
    <t>Vicepresidente 1º</t>
  </si>
  <si>
    <t>Las funciones de Gerencia están asumidas por el Consejero Delegado.</t>
  </si>
  <si>
    <t>Ayto. Arona</t>
  </si>
  <si>
    <t>Ayto. Adeje</t>
  </si>
  <si>
    <t>Ayto. Puerto Cruz</t>
  </si>
  <si>
    <t>Ayto. Santa Cruz de Tenerife</t>
  </si>
  <si>
    <t>Ayto. Los Realejos</t>
  </si>
  <si>
    <t>Ayto. Granadilla</t>
  </si>
  <si>
    <t>Ayto. La Laguna</t>
  </si>
  <si>
    <t>Ayto. Santiago del Teide</t>
  </si>
  <si>
    <t>Ayto. de San Miguel</t>
  </si>
  <si>
    <t>Ayto. La Orotava</t>
  </si>
  <si>
    <t>A y B</t>
  </si>
  <si>
    <t>A</t>
  </si>
  <si>
    <t>CANAUDIT S.L</t>
  </si>
  <si>
    <t>Reducción ingresos  por la condonación  de la cuota 2021 (Asociados)</t>
  </si>
  <si>
    <t>GASTOS DE FUNCIONAMIENTO</t>
  </si>
  <si>
    <t>Grandes Eventos</t>
  </si>
  <si>
    <t>Plurianual Patrocinio Equipos Deportivos</t>
  </si>
  <si>
    <t>Plurianual React Activ Economica</t>
  </si>
  <si>
    <t>Acciones promocionales</t>
  </si>
  <si>
    <t>Why Tenerife</t>
  </si>
  <si>
    <t>Red CIDE</t>
  </si>
  <si>
    <t>AJUSTE</t>
  </si>
  <si>
    <t>FIANZA AENA</t>
  </si>
  <si>
    <t>FIANZA COSTAS</t>
  </si>
  <si>
    <t>FIANZA GOBIERNO CANARIAS</t>
  </si>
  <si>
    <t>FIANZA</t>
  </si>
  <si>
    <t>CABILDO TENERIFE</t>
  </si>
  <si>
    <t>PERIODIFICACION APORTACIÓN PLURIANUAL</t>
  </si>
  <si>
    <t>Campaña YoSoyTenerife</t>
  </si>
  <si>
    <t>Desarrollo Plan Insular de Gastronomía</t>
  </si>
  <si>
    <t>Acciones promoción zonas turisticas</t>
  </si>
  <si>
    <t>Proyecto Tenerife Licita</t>
  </si>
  <si>
    <t>Proyecto innovatur</t>
  </si>
  <si>
    <t>Proyecto Diomedea</t>
  </si>
  <si>
    <t>periodificaciones</t>
  </si>
  <si>
    <t>Alquiler oficinas Recinto Ferial</t>
  </si>
  <si>
    <t>Gobierno de Canarias</t>
  </si>
  <si>
    <t>Convenio con Ayuntamientos para Promoción</t>
  </si>
  <si>
    <t>Proexca</t>
  </si>
  <si>
    <t>Ayuntamientos</t>
  </si>
  <si>
    <t>Promotur</t>
  </si>
  <si>
    <t>Acciones reactivación COID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</si>
</sst>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dd\-mm\-yy;@"/>
  </numFmts>
  <fonts count="72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sz val="6"/>
      <color theme="1"/>
      <name val="Tahoma"/>
      <family val="2"/>
    </font>
    <font>
      <i/>
      <sz val="12"/>
      <color theme="1"/>
      <name val="Arial"/>
      <family val="2"/>
    </font>
    <font>
      <b/>
      <sz val="10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6795556505021"/>
      </bottom>
      <diagonal/>
    </border>
    <border>
      <left style="thin">
        <color theme="0" tint="-0.249977111117893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/>
      <top style="thin">
        <color theme="0" tint="-0.149967955565050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</borders>
  <cellStyleXfs count="116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90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4" fontId="36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19" xfId="132" applyFont="1" applyFill="1" applyBorder="1" applyAlignment="1">
      <alignment horizontal="center" vertical="center" wrapText="1"/>
    </xf>
    <xf numFmtId="4" fontId="39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1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0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0" fillId="6" borderId="0" xfId="0" applyFont="1" applyFill="1" applyBorder="1" applyAlignment="1">
      <alignment horizontal="left"/>
    </xf>
    <xf numFmtId="4" fontId="40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3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4" fillId="0" borderId="9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10" xfId="0" applyFont="1" applyFill="1" applyBorder="1" applyAlignment="1" applyProtection="1">
      <alignment horizontal="left"/>
      <protection locked="0"/>
    </xf>
    <xf numFmtId="0" fontId="44" fillId="0" borderId="9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4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5" fillId="2" borderId="9" xfId="0" applyFont="1" applyFill="1" applyBorder="1" applyAlignment="1" applyProtection="1">
      <alignment horizontal="left"/>
    </xf>
    <xf numFmtId="0" fontId="45" fillId="2" borderId="63" xfId="0" applyFont="1" applyFill="1" applyBorder="1" applyAlignment="1" applyProtection="1">
      <alignment vertical="center"/>
    </xf>
    <xf numFmtId="0" fontId="45" fillId="2" borderId="65" xfId="0" applyFont="1" applyFill="1" applyBorder="1" applyAlignment="1" applyProtection="1">
      <alignment vertical="center"/>
    </xf>
    <xf numFmtId="4" fontId="45" fillId="2" borderId="77" xfId="0" applyNumberFormat="1" applyFont="1" applyFill="1" applyBorder="1" applyAlignment="1" applyProtection="1">
      <alignment vertical="center"/>
    </xf>
    <xf numFmtId="4" fontId="45" fillId="2" borderId="77" xfId="0" applyNumberFormat="1" applyFont="1" applyFill="1" applyBorder="1" applyAlignment="1" applyProtection="1">
      <alignment horizontal="left" vertical="center"/>
    </xf>
    <xf numFmtId="0" fontId="45" fillId="2" borderId="77" xfId="0" applyFont="1" applyFill="1" applyBorder="1" applyAlignment="1" applyProtection="1">
      <alignment horizontal="left" vertical="center"/>
    </xf>
    <xf numFmtId="0" fontId="45" fillId="2" borderId="10" xfId="0" applyFont="1" applyFill="1" applyBorder="1" applyAlignment="1" applyProtection="1">
      <alignment horizontal="left"/>
    </xf>
    <xf numFmtId="0" fontId="45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6" fillId="2" borderId="0" xfId="0" applyFont="1" applyFill="1" applyBorder="1" applyAlignment="1" applyProtection="1">
      <alignment vertical="center"/>
    </xf>
    <xf numFmtId="4" fontId="36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2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2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6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8" fillId="2" borderId="0" xfId="0" applyFont="1" applyFill="1"/>
    <xf numFmtId="0" fontId="49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6" fillId="2" borderId="100" xfId="0" applyFont="1" applyFill="1" applyBorder="1" applyAlignment="1" applyProtection="1">
      <alignment horizontal="left" vertical="center"/>
      <protection locked="0"/>
    </xf>
    <xf numFmtId="4" fontId="36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6" fillId="2" borderId="67" xfId="0" applyFont="1" applyFill="1" applyBorder="1" applyAlignment="1" applyProtection="1">
      <alignment horizontal="left" vertical="center"/>
      <protection locked="0"/>
    </xf>
    <xf numFmtId="4" fontId="36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33" fillId="3" borderId="18" xfId="132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184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89" xfId="132" applyFont="1" applyFill="1" applyBorder="1" applyAlignment="1">
      <alignment horizontal="center" vertical="center" wrapText="1"/>
    </xf>
    <xf numFmtId="4" fontId="12" fillId="2" borderId="189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2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55" fillId="3" borderId="183" xfId="0" applyNumberFormat="1" applyFont="1" applyFill="1" applyBorder="1" applyAlignment="1" applyProtection="1">
      <alignment vertical="center"/>
    </xf>
    <xf numFmtId="4" fontId="55" fillId="3" borderId="185" xfId="0" applyNumberFormat="1" applyFont="1" applyFill="1" applyBorder="1" applyAlignment="1" applyProtection="1">
      <alignment vertical="center"/>
    </xf>
    <xf numFmtId="4" fontId="55" fillId="3" borderId="75" xfId="0" applyNumberFormat="1" applyFont="1" applyFill="1" applyBorder="1" applyAlignment="1" applyProtection="1">
      <alignment vertical="center"/>
    </xf>
    <xf numFmtId="0" fontId="33" fillId="3" borderId="198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2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49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8" fillId="2" borderId="0" xfId="0" applyFont="1" applyFill="1" applyAlignment="1" applyProtection="1">
      <alignment vertical="center"/>
    </xf>
    <xf numFmtId="0" fontId="48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4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6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6" fillId="2" borderId="10" xfId="0" applyNumberFormat="1" applyFont="1" applyFill="1" applyBorder="1" applyAlignment="1" applyProtection="1">
      <alignment horizontal="left" vertical="center"/>
    </xf>
    <xf numFmtId="4" fontId="56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7" fillId="2" borderId="99" xfId="0" applyNumberFormat="1" applyFont="1" applyFill="1" applyBorder="1" applyAlignment="1" applyProtection="1">
      <alignment horizontal="center" vertical="center"/>
    </xf>
    <xf numFmtId="4" fontId="58" fillId="2" borderId="104" xfId="0" applyNumberFormat="1" applyFont="1" applyFill="1" applyBorder="1" applyAlignment="1" applyProtection="1">
      <alignment horizontal="left" vertical="center"/>
    </xf>
    <xf numFmtId="4" fontId="58" fillId="2" borderId="104" xfId="0" applyNumberFormat="1" applyFont="1" applyFill="1" applyBorder="1" applyAlignment="1" applyProtection="1">
      <alignment horizontal="right" vertical="center"/>
    </xf>
    <xf numFmtId="4" fontId="58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7" fillId="2" borderId="0" xfId="0" applyNumberFormat="1" applyFont="1" applyFill="1" applyAlignment="1" applyProtection="1">
      <alignment horizontal="left"/>
    </xf>
    <xf numFmtId="4" fontId="57" fillId="2" borderId="63" xfId="0" applyNumberFormat="1" applyFont="1" applyFill="1" applyBorder="1" applyAlignment="1" applyProtection="1">
      <alignment horizontal="center" vertical="center"/>
    </xf>
    <xf numFmtId="4" fontId="58" fillId="2" borderId="65" xfId="0" applyNumberFormat="1" applyFont="1" applyFill="1" applyBorder="1" applyAlignment="1" applyProtection="1">
      <alignment horizontal="left" vertical="center"/>
    </xf>
    <xf numFmtId="4" fontId="58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7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7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60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1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7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0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0" fillId="6" borderId="0" xfId="0" applyNumberFormat="1" applyFont="1" applyFill="1" applyBorder="1" applyAlignment="1" applyProtection="1">
      <alignment horizontal="left"/>
    </xf>
    <xf numFmtId="4" fontId="40" fillId="6" borderId="0" xfId="0" applyNumberFormat="1" applyFont="1" applyFill="1" applyBorder="1" applyAlignment="1" applyProtection="1">
      <alignment horizontal="right"/>
    </xf>
    <xf numFmtId="4" fontId="40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3" fillId="2" borderId="9" xfId="0" applyNumberFormat="1" applyFont="1" applyFill="1" applyBorder="1" applyAlignment="1" applyProtection="1">
      <alignment horizontal="left"/>
    </xf>
    <xf numFmtId="4" fontId="64" fillId="2" borderId="99" xfId="0" applyNumberFormat="1" applyFont="1" applyFill="1" applyBorder="1" applyAlignment="1" applyProtection="1">
      <alignment horizontal="center" vertical="center"/>
    </xf>
    <xf numFmtId="4" fontId="64" fillId="2" borderId="104" xfId="0" applyNumberFormat="1" applyFont="1" applyFill="1" applyBorder="1" applyAlignment="1" applyProtection="1">
      <alignment horizontal="left" vertical="center"/>
    </xf>
    <xf numFmtId="4" fontId="64" fillId="3" borderId="104" xfId="0" applyNumberFormat="1" applyFont="1" applyFill="1" applyBorder="1" applyAlignment="1" applyProtection="1">
      <alignment horizontal="right" vertical="center"/>
    </xf>
    <xf numFmtId="4" fontId="63" fillId="2" borderId="10" xfId="0" applyNumberFormat="1" applyFont="1" applyFill="1" applyBorder="1" applyAlignment="1" applyProtection="1">
      <alignment horizontal="left"/>
    </xf>
    <xf numFmtId="4" fontId="63" fillId="2" borderId="0" xfId="0" applyNumberFormat="1" applyFont="1" applyFill="1" applyAlignment="1" applyProtection="1">
      <alignment horizontal="left"/>
    </xf>
    <xf numFmtId="4" fontId="58" fillId="3" borderId="61" xfId="0" applyNumberFormat="1" applyFont="1" applyFill="1" applyBorder="1" applyAlignment="1" applyProtection="1">
      <alignment horizontal="right" vertical="center"/>
    </xf>
    <xf numFmtId="4" fontId="37" fillId="6" borderId="0" xfId="0" applyNumberFormat="1" applyFont="1" applyFill="1" applyAlignment="1" applyProtection="1">
      <alignment horizontal="left"/>
    </xf>
    <xf numFmtId="4" fontId="40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7" fillId="2" borderId="62" xfId="0" applyNumberFormat="1" applyFont="1" applyFill="1" applyBorder="1" applyAlignment="1" applyProtection="1">
      <alignment horizontal="center" vertical="center"/>
    </xf>
    <xf numFmtId="4" fontId="58" fillId="2" borderId="19" xfId="0" applyNumberFormat="1" applyFont="1" applyFill="1" applyBorder="1" applyAlignment="1" applyProtection="1">
      <alignment horizontal="left" vertical="center"/>
    </xf>
    <xf numFmtId="4" fontId="58" fillId="2" borderId="19" xfId="0" applyNumberFormat="1" applyFont="1" applyFill="1" applyBorder="1" applyAlignment="1" applyProtection="1">
      <alignment horizontal="right" vertical="center"/>
    </xf>
    <xf numFmtId="4" fontId="58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8" fillId="2" borderId="0" xfId="0" applyNumberFormat="1" applyFont="1" applyFill="1" applyBorder="1" applyAlignment="1" applyProtection="1">
      <alignment horizontal="left" vertical="center"/>
    </xf>
    <xf numFmtId="4" fontId="40" fillId="2" borderId="0" xfId="0" applyNumberFormat="1" applyFont="1" applyFill="1" applyBorder="1" applyAlignment="1" applyProtection="1">
      <alignment horizontal="left" vertical="center"/>
    </xf>
    <xf numFmtId="4" fontId="40" fillId="2" borderId="0" xfId="0" applyNumberFormat="1" applyFont="1" applyFill="1" applyBorder="1" applyAlignment="1" applyProtection="1">
      <alignment horizontal="right" vertical="center"/>
    </xf>
    <xf numFmtId="4" fontId="62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6" fillId="2" borderId="77" xfId="0" applyNumberFormat="1" applyFont="1" applyFill="1" applyBorder="1" applyAlignment="1" applyProtection="1">
      <alignment horizontal="left" vertical="center"/>
    </xf>
    <xf numFmtId="4" fontId="58" fillId="3" borderId="100" xfId="0" applyNumberFormat="1" applyFont="1" applyFill="1" applyBorder="1" applyAlignment="1" applyProtection="1">
      <alignment horizontal="right" vertical="center"/>
    </xf>
    <xf numFmtId="4" fontId="66" fillId="2" borderId="101" xfId="0" applyNumberFormat="1" applyFont="1" applyFill="1" applyBorder="1" applyAlignment="1" applyProtection="1">
      <alignment horizontal="left" vertical="center"/>
    </xf>
    <xf numFmtId="4" fontId="66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6" fillId="2" borderId="99" xfId="0" applyNumberFormat="1" applyFont="1" applyFill="1" applyBorder="1" applyAlignment="1" applyProtection="1">
      <alignment horizontal="left" vertical="center"/>
    </xf>
    <xf numFmtId="4" fontId="58" fillId="3" borderId="182" xfId="0" applyNumberFormat="1" applyFont="1" applyFill="1" applyBorder="1" applyAlignment="1" applyProtection="1">
      <alignment horizontal="right" vertical="center"/>
    </xf>
    <xf numFmtId="4" fontId="65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8" fillId="2" borderId="104" xfId="0" applyNumberFormat="1" applyFont="1" applyFill="1" applyBorder="1" applyAlignment="1" applyProtection="1">
      <alignment horizontal="right" vertical="center"/>
      <protection locked="0"/>
    </xf>
    <xf numFmtId="4" fontId="58" fillId="2" borderId="61" xfId="0" applyNumberFormat="1" applyFont="1" applyFill="1" applyBorder="1" applyAlignment="1" applyProtection="1">
      <alignment horizontal="right" vertical="center"/>
      <protection locked="0"/>
    </xf>
    <xf numFmtId="4" fontId="58" fillId="2" borderId="65" xfId="0" applyNumberFormat="1" applyFont="1" applyFill="1" applyBorder="1" applyAlignment="1" applyProtection="1">
      <alignment horizontal="right" vertical="center"/>
      <protection locked="0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0" fillId="1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182" xfId="0" applyNumberFormat="1" applyFont="1" applyFill="1" applyBorder="1" applyAlignment="1" applyProtection="1">
      <alignment horizontal="right" vertical="center"/>
      <protection locked="0"/>
    </xf>
    <xf numFmtId="4" fontId="57" fillId="2" borderId="99" xfId="0" applyNumberFormat="1" applyFont="1" applyFill="1" applyBorder="1" applyAlignment="1" applyProtection="1">
      <alignment horizontal="center" vertical="center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57" fillId="2" borderId="60" xfId="0" applyNumberFormat="1" applyFont="1" applyFill="1" applyBorder="1" applyAlignment="1" applyProtection="1">
      <alignment horizontal="center" vertical="center"/>
      <protection locked="0"/>
    </xf>
    <xf numFmtId="4" fontId="57" fillId="2" borderId="181" xfId="0" applyNumberFormat="1" applyFont="1" applyFill="1" applyBorder="1" applyAlignment="1" applyProtection="1">
      <alignment horizontal="center" vertical="center"/>
      <protection locked="0"/>
    </xf>
    <xf numFmtId="4" fontId="59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8" fillId="2" borderId="104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4" fontId="58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2" fillId="3" borderId="46" xfId="0" applyFont="1" applyFill="1" applyBorder="1" applyAlignment="1" applyProtection="1">
      <alignment horizontal="center"/>
    </xf>
    <xf numFmtId="0" fontId="12" fillId="3" borderId="204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2" fillId="2" borderId="0" xfId="0" applyFont="1" applyFill="1" applyBorder="1" applyAlignment="1" applyProtection="1">
      <alignment horizontal="right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7" fillId="13" borderId="99" xfId="0" applyNumberFormat="1" applyFont="1" applyFill="1" applyBorder="1" applyAlignment="1" applyProtection="1">
      <alignment horizontal="center" vertical="center"/>
    </xf>
    <xf numFmtId="4" fontId="58" fillId="13" borderId="104" xfId="0" applyNumberFormat="1" applyFont="1" applyFill="1" applyBorder="1" applyAlignment="1" applyProtection="1">
      <alignment horizontal="left" vertical="center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52" fillId="13" borderId="15" xfId="0" applyNumberFormat="1" applyFont="1" applyFill="1" applyBorder="1" applyAlignment="1" applyProtection="1">
      <alignment horizontal="left"/>
      <protection locked="0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04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14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68" fillId="6" borderId="0" xfId="0" applyFont="1" applyFill="1" applyAlignment="1">
      <alignment vertical="center"/>
    </xf>
    <xf numFmtId="0" fontId="1" fillId="2" borderId="99" xfId="0" applyFont="1" applyFill="1" applyBorder="1" applyAlignment="1" applyProtection="1">
      <alignment vertical="center"/>
      <protection locked="0"/>
    </xf>
    <xf numFmtId="0" fontId="8" fillId="2" borderId="104" xfId="0" applyFont="1" applyFill="1" applyBorder="1" applyAlignment="1" applyProtection="1">
      <alignment vertical="center"/>
      <protection locked="0"/>
    </xf>
    <xf numFmtId="4" fontId="6" fillId="2" borderId="65" xfId="0" applyNumberFormat="1" applyFont="1" applyFill="1" applyBorder="1" applyAlignment="1" applyProtection="1">
      <alignment vertical="center"/>
      <protection locked="0"/>
    </xf>
    <xf numFmtId="4" fontId="1" fillId="2" borderId="66" xfId="0" applyNumberFormat="1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vertical="center"/>
      <protection locked="0"/>
    </xf>
    <xf numFmtId="4" fontId="6" fillId="2" borderId="68" xfId="0" applyNumberFormat="1" applyFont="1" applyFill="1" applyBorder="1" applyAlignment="1" applyProtection="1">
      <alignment vertical="center"/>
      <protection locked="0"/>
    </xf>
    <xf numFmtId="4" fontId="6" fillId="2" borderId="71" xfId="0" applyNumberFormat="1" applyFont="1" applyFill="1" applyBorder="1" applyAlignment="1" applyProtection="1">
      <alignment vertical="center"/>
      <protection locked="0"/>
    </xf>
    <xf numFmtId="4" fontId="1" fillId="2" borderId="69" xfId="0" applyNumberFormat="1" applyFont="1" applyFill="1" applyBorder="1" applyAlignment="1" applyProtection="1">
      <alignment vertical="center"/>
      <protection locked="0"/>
    </xf>
    <xf numFmtId="4" fontId="8" fillId="2" borderId="215" xfId="0" applyNumberFormat="1" applyFont="1" applyFill="1" applyBorder="1" applyAlignment="1" applyProtection="1">
      <alignment vertical="center"/>
      <protection locked="0"/>
    </xf>
    <xf numFmtId="4" fontId="8" fillId="2" borderId="61" xfId="0" applyNumberFormat="1" applyFont="1" applyFill="1" applyBorder="1" applyAlignment="1" applyProtection="1">
      <alignment vertical="center"/>
      <protection locked="0"/>
    </xf>
    <xf numFmtId="4" fontId="12" fillId="2" borderId="61" xfId="0" applyNumberFormat="1" applyFont="1" applyFill="1" applyBorder="1" applyAlignment="1" applyProtection="1">
      <alignment horizontal="center" vertical="center"/>
      <protection locked="0"/>
    </xf>
    <xf numFmtId="4" fontId="8" fillId="2" borderId="61" xfId="0" applyNumberFormat="1" applyFont="1" applyFill="1" applyBorder="1" applyAlignment="1" applyProtection="1">
      <alignment horizontal="center" vertical="center"/>
      <protection locked="0"/>
    </xf>
    <xf numFmtId="4" fontId="6" fillId="2" borderId="104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right" vertical="center"/>
    </xf>
    <xf numFmtId="4" fontId="8" fillId="0" borderId="101" xfId="0" applyNumberFormat="1" applyFont="1" applyFill="1" applyBorder="1" applyAlignment="1" applyProtection="1">
      <alignment vertical="center"/>
    </xf>
    <xf numFmtId="0" fontId="1" fillId="2" borderId="99" xfId="0" applyFont="1" applyFill="1" applyBorder="1" applyAlignment="1">
      <alignment horizontal="left" vertical="center"/>
    </xf>
    <xf numFmtId="4" fontId="8" fillId="0" borderId="101" xfId="0" applyNumberFormat="1" applyFont="1" applyFill="1" applyBorder="1" applyAlignment="1" applyProtection="1">
      <alignment vertical="center"/>
      <protection locked="0"/>
    </xf>
    <xf numFmtId="0" fontId="1" fillId="2" borderId="69" xfId="0" applyFont="1" applyFill="1" applyBorder="1" applyAlignment="1">
      <alignment horizontal="left" vertical="center"/>
    </xf>
    <xf numFmtId="0" fontId="23" fillId="2" borderId="12" xfId="0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8" fillId="0" borderId="79" xfId="0" applyNumberFormat="1" applyFont="1" applyFill="1" applyBorder="1" applyAlignment="1" applyProtection="1">
      <alignment vertical="center"/>
    </xf>
    <xf numFmtId="0" fontId="12" fillId="2" borderId="152" xfId="0" applyFont="1" applyFill="1" applyBorder="1" applyAlignment="1" applyProtection="1">
      <alignment vertical="center"/>
    </xf>
    <xf numFmtId="0" fontId="8" fillId="2" borderId="153" xfId="0" applyFont="1" applyFill="1" applyBorder="1" applyAlignment="1" applyProtection="1">
      <alignment vertical="center"/>
    </xf>
    <xf numFmtId="4" fontId="12" fillId="2" borderId="154" xfId="0" applyNumberFormat="1" applyFont="1" applyFill="1" applyBorder="1" applyAlignment="1" applyProtection="1">
      <alignment horizontal="right" vertical="center"/>
    </xf>
    <xf numFmtId="4" fontId="8" fillId="2" borderId="152" xfId="0" applyNumberFormat="1" applyFont="1" applyFill="1" applyBorder="1" applyAlignment="1" applyProtection="1">
      <alignment horizontal="left" vertical="center"/>
    </xf>
    <xf numFmtId="4" fontId="8" fillId="2" borderId="155" xfId="0" applyNumberFormat="1" applyFont="1" applyFill="1" applyBorder="1" applyAlignment="1" applyProtection="1">
      <alignment horizontal="left" vertical="center"/>
    </xf>
    <xf numFmtId="4" fontId="8" fillId="2" borderId="153" xfId="0" applyNumberFormat="1" applyFont="1" applyFill="1" applyBorder="1" applyAlignment="1" applyProtection="1">
      <alignment horizontal="left" vertical="center"/>
    </xf>
    <xf numFmtId="4" fontId="12" fillId="2" borderId="78" xfId="0" applyNumberFormat="1" applyFont="1" applyFill="1" applyBorder="1" applyAlignment="1" applyProtection="1">
      <alignment horizontal="right" vertical="center"/>
    </xf>
    <xf numFmtId="4" fontId="8" fillId="2" borderId="66" xfId="0" applyNumberFormat="1" applyFont="1" applyFill="1" applyBorder="1" applyAlignment="1" applyProtection="1">
      <alignment horizontal="left" vertical="center"/>
    </xf>
    <xf numFmtId="4" fontId="8" fillId="2" borderId="67" xfId="0" applyNumberFormat="1" applyFont="1" applyFill="1" applyBorder="1" applyAlignment="1" applyProtection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</xf>
    <xf numFmtId="3" fontId="34" fillId="2" borderId="0" xfId="0" applyNumberFormat="1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6" fillId="2" borderId="0" xfId="0" quotePrefix="1" applyFont="1" applyFill="1" applyBorder="1" applyAlignment="1" applyProtection="1">
      <alignment horizontal="left" vertical="center"/>
    </xf>
    <xf numFmtId="0" fontId="19" fillId="0" borderId="9" xfId="0" applyFont="1" applyFill="1" applyBorder="1" applyAlignment="1" applyProtection="1">
      <alignment horizontal="left"/>
    </xf>
    <xf numFmtId="0" fontId="36" fillId="0" borderId="0" xfId="0" quotePrefix="1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center"/>
    </xf>
    <xf numFmtId="4" fontId="36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left"/>
    </xf>
    <xf numFmtId="0" fontId="51" fillId="2" borderId="0" xfId="0" applyFont="1" applyFill="1" applyBorder="1" applyAlignment="1" applyProtection="1">
      <alignment horizontal="left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12" fillId="2" borderId="15" xfId="0" applyNumberFormat="1" applyFont="1" applyFill="1" applyBorder="1" applyAlignment="1" applyProtection="1"/>
    <xf numFmtId="0" fontId="23" fillId="2" borderId="12" xfId="0" applyFont="1" applyFill="1" applyBorder="1" applyAlignment="1">
      <alignment horizontal="left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12" fillId="14" borderId="75" xfId="0" applyNumberFormat="1" applyFont="1" applyFill="1" applyBorder="1" applyAlignment="1">
      <alignment vertical="center"/>
    </xf>
    <xf numFmtId="0" fontId="32" fillId="3" borderId="42" xfId="132" applyFont="1" applyFill="1" applyBorder="1" applyAlignment="1">
      <alignment horizontal="center" wrapText="1"/>
    </xf>
    <xf numFmtId="4" fontId="12" fillId="2" borderId="65" xfId="0" applyNumberFormat="1" applyFont="1" applyFill="1" applyBorder="1" applyAlignment="1" applyProtection="1">
      <alignment vertical="center"/>
      <protection locked="0"/>
    </xf>
    <xf numFmtId="4" fontId="12" fillId="2" borderId="68" xfId="0" applyNumberFormat="1" applyFont="1" applyFill="1" applyBorder="1" applyAlignment="1" applyProtection="1">
      <alignment vertical="center"/>
      <protection locked="0"/>
    </xf>
    <xf numFmtId="4" fontId="12" fillId="2" borderId="71" xfId="0" applyNumberFormat="1" applyFont="1" applyFill="1" applyBorder="1" applyAlignment="1" applyProtection="1">
      <alignment vertical="center"/>
      <protection locked="0"/>
    </xf>
    <xf numFmtId="0" fontId="23" fillId="2" borderId="12" xfId="0" applyFont="1" applyFill="1" applyBorder="1" applyAlignment="1" applyProtection="1">
      <alignment horizontal="left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23" fillId="2" borderId="12" xfId="0" applyNumberFormat="1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0" fontId="15" fillId="0" borderId="9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19" fillId="2" borderId="10" xfId="0" applyFont="1" applyFill="1" applyBorder="1" applyAlignment="1" applyProtection="1">
      <alignment horizontal="left"/>
    </xf>
    <xf numFmtId="0" fontId="15" fillId="3" borderId="62" xfId="0" applyFont="1" applyFill="1" applyBorder="1" applyAlignment="1" applyProtection="1">
      <alignment horizontal="left" vertical="center"/>
    </xf>
    <xf numFmtId="0" fontId="15" fillId="3" borderId="19" xfId="0" applyFont="1" applyFill="1" applyBorder="1" applyAlignment="1" applyProtection="1">
      <alignment horizontal="left" vertical="center"/>
    </xf>
    <xf numFmtId="0" fontId="33" fillId="3" borderId="42" xfId="132" applyFont="1" applyFill="1" applyBorder="1" applyAlignment="1" applyProtection="1">
      <alignment horizontal="center" wrapText="1"/>
    </xf>
    <xf numFmtId="0" fontId="35" fillId="3" borderId="105" xfId="132" applyFont="1" applyFill="1" applyBorder="1" applyAlignment="1" applyProtection="1">
      <alignment horizontal="center" wrapText="1"/>
    </xf>
    <xf numFmtId="0" fontId="35" fillId="3" borderId="106" xfId="132" applyFont="1" applyFill="1" applyBorder="1" applyAlignment="1" applyProtection="1">
      <alignment horizontal="center" wrapText="1"/>
    </xf>
    <xf numFmtId="0" fontId="35" fillId="3" borderId="107" xfId="132" applyFont="1" applyFill="1" applyBorder="1" applyAlignment="1" applyProtection="1">
      <alignment horizontal="center" wrapText="1"/>
    </xf>
    <xf numFmtId="0" fontId="19" fillId="2" borderId="0" xfId="0" applyFont="1" applyFill="1" applyAlignment="1" applyProtection="1">
      <alignment horizontal="left"/>
    </xf>
    <xf numFmtId="0" fontId="1" fillId="2" borderId="63" xfId="0" applyFont="1" applyFill="1" applyBorder="1" applyAlignment="1" applyProtection="1">
      <alignment horizontal="left" vertical="center"/>
    </xf>
    <xf numFmtId="0" fontId="8" fillId="2" borderId="64" xfId="0" applyFont="1" applyFill="1" applyBorder="1" applyAlignment="1" applyProtection="1">
      <alignment horizontal="left" vertical="center"/>
    </xf>
    <xf numFmtId="0" fontId="1" fillId="2" borderId="66" xfId="0" applyFont="1" applyFill="1" applyBorder="1" applyAlignment="1" applyProtection="1">
      <alignment horizontal="left" vertical="center"/>
    </xf>
    <xf numFmtId="0" fontId="8" fillId="2" borderId="67" xfId="0" applyFont="1" applyFill="1" applyBorder="1" applyAlignment="1" applyProtection="1">
      <alignment horizontal="left" vertical="center"/>
    </xf>
    <xf numFmtId="0" fontId="1" fillId="2" borderId="69" xfId="0" applyFont="1" applyFill="1" applyBorder="1" applyAlignment="1" applyProtection="1">
      <alignment horizontal="left" vertical="center"/>
    </xf>
    <xf numFmtId="0" fontId="8" fillId="2" borderId="70" xfId="0" applyFont="1" applyFill="1" applyBorder="1" applyAlignment="1" applyProtection="1">
      <alignment horizontal="left" vertical="center"/>
    </xf>
    <xf numFmtId="4" fontId="12" fillId="2" borderId="79" xfId="0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4" fillId="0" borderId="10" xfId="0" applyFont="1" applyFill="1" applyBorder="1" applyAlignment="1" applyProtection="1">
      <alignment horizontal="left"/>
    </xf>
    <xf numFmtId="0" fontId="1" fillId="2" borderId="95" xfId="0" applyFont="1" applyFill="1" applyBorder="1" applyAlignment="1">
      <alignment vertical="center"/>
    </xf>
    <xf numFmtId="0" fontId="12" fillId="3" borderId="42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8" fillId="3" borderId="42" xfId="0" applyFont="1" applyFill="1" applyBorder="1" applyAlignment="1" applyProtection="1">
      <alignment horizontal="center" vertical="center"/>
    </xf>
    <xf numFmtId="0" fontId="12" fillId="3" borderId="42" xfId="0" applyFont="1" applyFill="1" applyBorder="1" applyAlignment="1" applyProtection="1">
      <alignment horizontal="center" vertical="center" wrapText="1"/>
    </xf>
    <xf numFmtId="0" fontId="8" fillId="3" borderId="217" xfId="0" applyFont="1" applyFill="1" applyBorder="1" applyAlignment="1" applyProtection="1">
      <alignment horizontal="center" vertical="center"/>
    </xf>
    <xf numFmtId="4" fontId="15" fillId="3" borderId="217" xfId="0" applyNumberFormat="1" applyFont="1" applyFill="1" applyBorder="1" applyAlignment="1" applyProtection="1">
      <alignment horizontal="left" vertical="center"/>
    </xf>
    <xf numFmtId="4" fontId="15" fillId="3" borderId="218" xfId="0" applyNumberFormat="1" applyFont="1" applyFill="1" applyBorder="1" applyAlignment="1" applyProtection="1">
      <alignment horizontal="left" vertical="center"/>
    </xf>
    <xf numFmtId="0" fontId="12" fillId="3" borderId="216" xfId="0" applyFont="1" applyFill="1" applyBorder="1" applyAlignment="1" applyProtection="1">
      <alignment horizontal="left" vertical="center"/>
      <protection locked="0"/>
    </xf>
    <xf numFmtId="0" fontId="12" fillId="3" borderId="80" xfId="0" quotePrefix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 applyProtection="1">
      <alignment vertical="center"/>
    </xf>
    <xf numFmtId="0" fontId="1" fillId="3" borderId="101" xfId="0" applyFont="1" applyFill="1" applyBorder="1" applyAlignment="1" applyProtection="1">
      <alignment horizontal="center" vertical="center"/>
    </xf>
    <xf numFmtId="0" fontId="49" fillId="3" borderId="101" xfId="0" applyFont="1" applyFill="1" applyBorder="1" applyAlignment="1" applyProtection="1">
      <alignment horizontal="center" vertical="center"/>
    </xf>
    <xf numFmtId="0" fontId="8" fillId="3" borderId="101" xfId="0" applyFont="1" applyFill="1" applyBorder="1" applyAlignment="1" applyProtection="1">
      <alignment horizontal="center" vertical="center"/>
    </xf>
    <xf numFmtId="0" fontId="8" fillId="3" borderId="78" xfId="0" applyFont="1" applyFill="1" applyBorder="1" applyAlignment="1" applyProtection="1">
      <alignment horizontal="center" vertical="center"/>
    </xf>
    <xf numFmtId="0" fontId="8" fillId="3" borderId="79" xfId="0" applyFont="1" applyFill="1" applyBorder="1" applyAlignment="1" applyProtection="1">
      <alignment horizontal="center" vertical="center"/>
    </xf>
    <xf numFmtId="0" fontId="18" fillId="3" borderId="42" xfId="0" applyFont="1" applyFill="1" applyBorder="1" applyAlignment="1" applyProtection="1">
      <alignment horizontal="center" vertical="center" wrapText="1"/>
    </xf>
    <xf numFmtId="4" fontId="57" fillId="2" borderId="99" xfId="0" applyNumberFormat="1" applyFont="1" applyFill="1" applyBorder="1" applyAlignment="1">
      <alignment horizontal="center" vertical="center"/>
    </xf>
    <xf numFmtId="4" fontId="59" fillId="2" borderId="104" xfId="0" applyNumberFormat="1" applyFont="1" applyFill="1" applyBorder="1" applyAlignment="1">
      <alignment horizontal="left" vertical="center"/>
    </xf>
    <xf numFmtId="4" fontId="58" fillId="3" borderId="104" xfId="0" applyNumberFormat="1" applyFont="1" applyFill="1" applyBorder="1" applyAlignment="1">
      <alignment horizontal="right" vertical="center"/>
    </xf>
    <xf numFmtId="4" fontId="59" fillId="2" borderId="104" xfId="0" applyNumberFormat="1" applyFont="1" applyFill="1" applyBorder="1" applyAlignment="1">
      <alignment horizontal="right" vertical="center"/>
    </xf>
    <xf numFmtId="0" fontId="33" fillId="3" borderId="18" xfId="132" applyFont="1" applyFill="1" applyBorder="1" applyAlignment="1">
      <alignment horizontal="center" vertical="center" wrapText="1"/>
    </xf>
    <xf numFmtId="3" fontId="15" fillId="2" borderId="15" xfId="0" applyNumberFormat="1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 applyProtection="1">
      <alignment horizontal="left" vertical="center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4" fontId="23" fillId="2" borderId="12" xfId="0" applyNumberFormat="1" applyFont="1" applyFill="1" applyBorder="1" applyAlignment="1" applyProtection="1">
      <alignment horizontal="left"/>
    </xf>
    <xf numFmtId="0" fontId="37" fillId="2" borderId="0" xfId="0" applyFont="1" applyFill="1" applyBorder="1" applyAlignment="1">
      <alignment vertical="center"/>
    </xf>
    <xf numFmtId="4" fontId="37" fillId="2" borderId="0" xfId="0" applyNumberFormat="1" applyFont="1" applyFill="1" applyBorder="1" applyAlignment="1" applyProtection="1">
      <alignment vertical="center"/>
    </xf>
    <xf numFmtId="0" fontId="1" fillId="2" borderId="22" xfId="0" applyFont="1" applyFill="1" applyBorder="1"/>
    <xf numFmtId="0" fontId="1" fillId="2" borderId="23" xfId="0" applyFont="1" applyFill="1" applyBorder="1"/>
    <xf numFmtId="4" fontId="12" fillId="2" borderId="42" xfId="0" applyNumberFormat="1" applyFont="1" applyFill="1" applyBorder="1" applyProtection="1">
      <protection locked="0"/>
    </xf>
    <xf numFmtId="0" fontId="1" fillId="2" borderId="134" xfId="0" applyFont="1" applyFill="1" applyBorder="1" applyAlignment="1">
      <alignment horizontal="center"/>
    </xf>
    <xf numFmtId="0" fontId="1" fillId="2" borderId="21" xfId="0" applyFont="1" applyFill="1" applyBorder="1"/>
    <xf numFmtId="0" fontId="33" fillId="3" borderId="0" xfId="132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33" fillId="2" borderId="189" xfId="132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 applyProtection="1">
      <alignment horizontal="center" vertical="center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13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/>
    </xf>
    <xf numFmtId="4" fontId="12" fillId="2" borderId="0" xfId="0" applyNumberFormat="1" applyFont="1" applyFill="1" applyAlignment="1">
      <alignment vertical="center"/>
    </xf>
    <xf numFmtId="0" fontId="8" fillId="2" borderId="94" xfId="0" applyFont="1" applyFill="1" applyBorder="1" applyAlignment="1">
      <alignment horizontal="left" vertical="center"/>
    </xf>
    <xf numFmtId="4" fontId="12" fillId="2" borderId="98" xfId="0" applyNumberFormat="1" applyFont="1" applyFill="1" applyBorder="1" applyAlignment="1">
      <alignment vertical="center"/>
    </xf>
    <xf numFmtId="4" fontId="8" fillId="2" borderId="219" xfId="0" applyNumberFormat="1" applyFont="1" applyFill="1" applyBorder="1" applyAlignment="1" applyProtection="1">
      <alignment vertical="center"/>
      <protection locked="0"/>
    </xf>
    <xf numFmtId="4" fontId="8" fillId="2" borderId="220" xfId="0" applyNumberFormat="1" applyFont="1" applyFill="1" applyBorder="1" applyAlignment="1" applyProtection="1">
      <alignment horizontal="right" vertical="center"/>
      <protection locked="0"/>
    </xf>
    <xf numFmtId="0" fontId="1" fillId="2" borderId="66" xfId="0" applyFont="1" applyFill="1" applyBorder="1" applyAlignment="1">
      <alignment horizontal="left" vertical="center"/>
    </xf>
    <xf numFmtId="0" fontId="1" fillId="2" borderId="93" xfId="0" applyFont="1" applyFill="1" applyBorder="1" applyAlignment="1">
      <alignment horizontal="left" vertical="center"/>
    </xf>
    <xf numFmtId="4" fontId="12" fillId="2" borderId="74" xfId="0" applyNumberFormat="1" applyFont="1" applyFill="1" applyBorder="1" applyAlignment="1" applyProtection="1">
      <alignment vertical="center"/>
    </xf>
    <xf numFmtId="4" fontId="12" fillId="2" borderId="115" xfId="0" applyNumberFormat="1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  <protection locked="0"/>
    </xf>
    <xf numFmtId="0" fontId="38" fillId="2" borderId="0" xfId="0" applyFont="1" applyFill="1" applyBorder="1" applyAlignment="1">
      <alignment vertical="center"/>
    </xf>
    <xf numFmtId="0" fontId="69" fillId="0" borderId="0" xfId="0" applyFont="1"/>
    <xf numFmtId="0" fontId="38" fillId="2" borderId="0" xfId="0" applyFont="1" applyFill="1" applyBorder="1" applyAlignment="1">
      <alignment horizontal="left" vertical="center" wrapText="1"/>
    </xf>
    <xf numFmtId="0" fontId="3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 indent="3"/>
    </xf>
    <xf numFmtId="4" fontId="70" fillId="2" borderId="101" xfId="0" applyNumberFormat="1" applyFont="1" applyFill="1" applyBorder="1" applyAlignment="1" applyProtection="1">
      <alignment vertical="center"/>
    </xf>
    <xf numFmtId="10" fontId="70" fillId="2" borderId="104" xfId="0" applyNumberFormat="1" applyFont="1" applyFill="1" applyBorder="1" applyAlignment="1">
      <alignment horizontal="right" vertical="center"/>
    </xf>
    <xf numFmtId="10" fontId="70" fillId="2" borderId="68" xfId="0" applyNumberFormat="1" applyFont="1" applyFill="1" applyBorder="1" applyAlignment="1">
      <alignment horizontal="right" vertical="center"/>
    </xf>
    <xf numFmtId="4" fontId="70" fillId="2" borderId="79" xfId="0" applyNumberFormat="1" applyFont="1" applyFill="1" applyBorder="1" applyAlignment="1" applyProtection="1">
      <alignment vertical="center"/>
    </xf>
    <xf numFmtId="10" fontId="70" fillId="2" borderId="71" xfId="0" applyNumberFormat="1" applyFont="1" applyFill="1" applyBorder="1" applyAlignment="1">
      <alignment horizontal="right" vertical="center"/>
    </xf>
    <xf numFmtId="4" fontId="12" fillId="2" borderId="101" xfId="0" applyNumberFormat="1" applyFont="1" applyFill="1" applyBorder="1" applyAlignment="1" applyProtection="1">
      <alignment vertical="center"/>
    </xf>
    <xf numFmtId="0" fontId="43" fillId="0" borderId="179" xfId="0" applyFont="1" applyBorder="1" applyAlignment="1" applyProtection="1">
      <alignment horizontal="left"/>
    </xf>
    <xf numFmtId="0" fontId="20" fillId="0" borderId="179" xfId="0" applyFont="1" applyBorder="1" applyAlignment="1" applyProtection="1">
      <alignment horizontal="left"/>
    </xf>
    <xf numFmtId="0" fontId="12" fillId="4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4" fontId="23" fillId="2" borderId="12" xfId="0" applyNumberFormat="1" applyFont="1" applyFill="1" applyBorder="1" applyAlignment="1" applyProtection="1">
      <alignment horizontal="left"/>
    </xf>
    <xf numFmtId="1" fontId="14" fillId="2" borderId="0" xfId="0" applyNumberFormat="1" applyFont="1" applyFill="1" applyBorder="1" applyAlignment="1">
      <alignment horizontal="center" vertical="center"/>
    </xf>
    <xf numFmtId="4" fontId="43" fillId="2" borderId="0" xfId="0" applyNumberFormat="1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12" fillId="3" borderId="15" xfId="0" applyFont="1" applyFill="1" applyBorder="1" applyAlignment="1" applyProtection="1">
      <alignment horizontal="center" vertical="center"/>
    </xf>
    <xf numFmtId="0" fontId="33" fillId="3" borderId="107" xfId="132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/>
    </xf>
    <xf numFmtId="0" fontId="19" fillId="2" borderId="68" xfId="0" applyFont="1" applyFill="1" applyBorder="1" applyAlignment="1" applyProtection="1">
      <alignment vertical="center"/>
    </xf>
    <xf numFmtId="4" fontId="12" fillId="2" borderId="186" xfId="0" applyNumberFormat="1" applyFont="1" applyFill="1" applyBorder="1" applyAlignment="1" applyProtection="1">
      <alignment vertical="center"/>
    </xf>
    <xf numFmtId="4" fontId="12" fillId="2" borderId="187" xfId="0" applyNumberFormat="1" applyFont="1" applyFill="1" applyBorder="1" applyAlignment="1" applyProtection="1">
      <alignment vertical="center"/>
    </xf>
    <xf numFmtId="4" fontId="12" fillId="2" borderId="188" xfId="0" applyNumberFormat="1" applyFont="1" applyFill="1" applyBorder="1" applyAlignment="1" applyProtection="1">
      <alignment vertical="center"/>
    </xf>
    <xf numFmtId="4" fontId="12" fillId="2" borderId="104" xfId="0" applyNumberFormat="1" applyFont="1" applyFill="1" applyBorder="1" applyAlignment="1" applyProtection="1">
      <alignment vertical="center"/>
    </xf>
    <xf numFmtId="4" fontId="12" fillId="2" borderId="71" xfId="0" applyNumberFormat="1" applyFont="1" applyFill="1" applyBorder="1" applyAlignment="1" applyProtection="1">
      <alignment vertical="center"/>
    </xf>
    <xf numFmtId="4" fontId="1" fillId="2" borderId="81" xfId="0" applyNumberFormat="1" applyFont="1" applyFill="1" applyBorder="1" applyAlignment="1" applyProtection="1">
      <alignment vertical="center"/>
      <protection locked="0"/>
    </xf>
    <xf numFmtId="4" fontId="1" fillId="2" borderId="191" xfId="0" applyNumberFormat="1" applyFont="1" applyFill="1" applyBorder="1" applyAlignment="1" applyProtection="1">
      <alignment vertical="center"/>
      <protection locked="0"/>
    </xf>
    <xf numFmtId="4" fontId="1" fillId="2" borderId="102" xfId="0" applyNumberFormat="1" applyFont="1" applyFill="1" applyBorder="1" applyAlignment="1" applyProtection="1">
      <alignment vertical="center"/>
      <protection locked="0"/>
    </xf>
    <xf numFmtId="4" fontId="1" fillId="2" borderId="192" xfId="0" applyNumberFormat="1" applyFont="1" applyFill="1" applyBorder="1" applyAlignment="1" applyProtection="1">
      <alignment vertical="center"/>
      <protection locked="0"/>
    </xf>
    <xf numFmtId="4" fontId="1" fillId="2" borderId="87" xfId="0" applyNumberFormat="1" applyFont="1" applyFill="1" applyBorder="1" applyAlignment="1" applyProtection="1">
      <alignment vertical="center"/>
      <protection locked="0"/>
    </xf>
    <xf numFmtId="4" fontId="1" fillId="2" borderId="193" xfId="0" applyNumberFormat="1" applyFont="1" applyFill="1" applyBorder="1" applyAlignment="1" applyProtection="1">
      <alignment vertical="center"/>
      <protection locked="0"/>
    </xf>
    <xf numFmtId="4" fontId="1" fillId="2" borderId="104" xfId="0" applyNumberFormat="1" applyFont="1" applyFill="1" applyBorder="1" applyAlignment="1" applyProtection="1">
      <alignment vertical="center"/>
      <protection locked="0"/>
    </xf>
    <xf numFmtId="4" fontId="1" fillId="2" borderId="196" xfId="0" applyNumberFormat="1" applyFont="1" applyFill="1" applyBorder="1" applyAlignment="1" applyProtection="1">
      <alignment vertical="center"/>
      <protection locked="0"/>
    </xf>
    <xf numFmtId="4" fontId="1" fillId="2" borderId="71" xfId="0" applyNumberFormat="1" applyFont="1" applyFill="1" applyBorder="1" applyAlignment="1" applyProtection="1">
      <alignment vertical="center"/>
      <protection locked="0"/>
    </xf>
    <xf numFmtId="4" fontId="1" fillId="2" borderId="197" xfId="0" applyNumberFormat="1" applyFont="1" applyFill="1" applyBorder="1" applyAlignment="1" applyProtection="1">
      <alignment vertical="center"/>
      <protection locked="0"/>
    </xf>
    <xf numFmtId="0" fontId="43" fillId="0" borderId="179" xfId="0" applyFont="1" applyBorder="1" applyAlignment="1" applyProtection="1">
      <alignment horizontal="left" vertical="center"/>
      <protection locked="0"/>
    </xf>
    <xf numFmtId="4" fontId="8" fillId="2" borderId="186" xfId="0" applyNumberFormat="1" applyFont="1" applyFill="1" applyBorder="1" applyAlignment="1" applyProtection="1">
      <alignment vertical="center"/>
    </xf>
    <xf numFmtId="4" fontId="8" fillId="2" borderId="187" xfId="0" applyNumberFormat="1" applyFont="1" applyFill="1" applyBorder="1" applyAlignment="1" applyProtection="1">
      <alignment vertical="center"/>
    </xf>
    <xf numFmtId="4" fontId="8" fillId="2" borderId="188" xfId="0" applyNumberFormat="1" applyFont="1" applyFill="1" applyBorder="1" applyAlignment="1" applyProtection="1">
      <alignment vertical="center"/>
    </xf>
    <xf numFmtId="4" fontId="8" fillId="2" borderId="104" xfId="0" applyNumberFormat="1" applyFont="1" applyFill="1" applyBorder="1" applyAlignment="1" applyProtection="1">
      <alignment vertical="center"/>
    </xf>
    <xf numFmtId="4" fontId="8" fillId="2" borderId="71" xfId="0" applyNumberFormat="1" applyFont="1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 applyProtection="1">
      <alignment vertical="center"/>
    </xf>
    <xf numFmtId="4" fontId="70" fillId="0" borderId="101" xfId="0" applyNumberFormat="1" applyFont="1" applyFill="1" applyBorder="1" applyAlignment="1" applyProtection="1">
      <alignment vertical="center"/>
    </xf>
    <xf numFmtId="4" fontId="70" fillId="0" borderId="79" xfId="0" applyNumberFormat="1" applyFont="1" applyFill="1" applyBorder="1" applyAlignment="1" applyProtection="1">
      <alignment vertical="center"/>
    </xf>
    <xf numFmtId="4" fontId="41" fillId="6" borderId="121" xfId="0" applyNumberFormat="1" applyFont="1" applyFill="1" applyBorder="1" applyProtection="1"/>
    <xf numFmtId="0" fontId="8" fillId="2" borderId="99" xfId="0" applyFont="1" applyFill="1" applyBorder="1" applyAlignment="1" applyProtection="1">
      <alignment horizontal="center" vertical="center"/>
    </xf>
    <xf numFmtId="0" fontId="8" fillId="2" borderId="104" xfId="0" applyFont="1" applyFill="1" applyBorder="1" applyAlignment="1" applyProtection="1">
      <alignment horizontal="left" vertical="center"/>
    </xf>
    <xf numFmtId="0" fontId="8" fillId="2" borderId="69" xfId="0" applyFont="1" applyFill="1" applyBorder="1" applyAlignment="1" applyProtection="1">
      <alignment horizontal="center" vertical="center"/>
    </xf>
    <xf numFmtId="0" fontId="8" fillId="2" borderId="71" xfId="0" applyFont="1" applyFill="1" applyBorder="1" applyAlignment="1" applyProtection="1">
      <alignment horizontal="left" vertical="center"/>
    </xf>
    <xf numFmtId="0" fontId="12" fillId="2" borderId="99" xfId="0" applyFont="1" applyFill="1" applyBorder="1" applyAlignment="1" applyProtection="1">
      <alignment horizontal="left" vertical="center"/>
    </xf>
    <xf numFmtId="0" fontId="12" fillId="2" borderId="104" xfId="0" applyFont="1" applyFill="1" applyBorder="1" applyAlignment="1" applyProtection="1">
      <alignment horizontal="left" vertical="center"/>
    </xf>
    <xf numFmtId="0" fontId="70" fillId="2" borderId="99" xfId="0" applyFont="1" applyFill="1" applyBorder="1" applyAlignment="1" applyProtection="1">
      <alignment horizontal="center" vertical="center"/>
    </xf>
    <xf numFmtId="0" fontId="70" fillId="2" borderId="104" xfId="0" applyFont="1" applyFill="1" applyBorder="1" applyAlignment="1" applyProtection="1">
      <alignment horizontal="left" vertical="center"/>
    </xf>
    <xf numFmtId="0" fontId="70" fillId="2" borderId="69" xfId="0" applyFont="1" applyFill="1" applyBorder="1" applyAlignment="1" applyProtection="1">
      <alignment horizontal="center" vertical="center"/>
    </xf>
    <xf numFmtId="0" fontId="70" fillId="2" borderId="71" xfId="0" applyFont="1" applyFill="1" applyBorder="1" applyAlignment="1" applyProtection="1">
      <alignment horizontal="left" vertical="center"/>
    </xf>
    <xf numFmtId="0" fontId="1" fillId="2" borderId="104" xfId="0" applyFont="1" applyFill="1" applyBorder="1" applyAlignment="1" applyProtection="1">
      <alignment horizontal="left" vertical="center"/>
    </xf>
    <xf numFmtId="0" fontId="31" fillId="2" borderId="0" xfId="0" applyFont="1" applyFill="1" applyAlignment="1">
      <alignment horizontal="left"/>
    </xf>
    <xf numFmtId="0" fontId="31" fillId="2" borderId="0" xfId="0" applyFont="1" applyFill="1" applyBorder="1" applyAlignment="1">
      <alignment horizontal="left"/>
    </xf>
    <xf numFmtId="4" fontId="31" fillId="2" borderId="0" xfId="0" applyNumberFormat="1" applyFont="1" applyFill="1" applyBorder="1" applyAlignment="1">
      <alignment horizontal="left"/>
    </xf>
    <xf numFmtId="4" fontId="31" fillId="2" borderId="0" xfId="0" applyNumberFormat="1" applyFont="1" applyFill="1" applyAlignment="1">
      <alignment horizontal="left"/>
    </xf>
    <xf numFmtId="0" fontId="19" fillId="2" borderId="104" xfId="0" applyFont="1" applyFill="1" applyBorder="1" applyAlignment="1" applyProtection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 applyProtection="1">
      <alignment horizontal="left"/>
    </xf>
    <xf numFmtId="0" fontId="20" fillId="0" borderId="179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180" xfId="0" applyFont="1" applyFill="1" applyBorder="1" applyAlignment="1" applyProtection="1">
      <alignment horizontal="left"/>
      <protection locked="0"/>
    </xf>
    <xf numFmtId="0" fontId="19" fillId="2" borderId="61" xfId="0" applyFont="1" applyFill="1" applyBorder="1" applyAlignment="1" applyProtection="1">
      <alignment vertical="center"/>
    </xf>
    <xf numFmtId="0" fontId="19" fillId="2" borderId="61" xfId="0" applyFont="1" applyFill="1" applyBorder="1" applyAlignment="1" applyProtection="1">
      <alignment horizontal="left" vertical="center"/>
    </xf>
    <xf numFmtId="0" fontId="23" fillId="0" borderId="0" xfId="0" applyFont="1" applyFill="1" applyAlignment="1">
      <alignment horizontal="left"/>
    </xf>
    <xf numFmtId="0" fontId="19" fillId="0" borderId="104" xfId="0" applyFont="1" applyFill="1" applyBorder="1" applyAlignment="1" applyProtection="1">
      <alignment horizontal="left" vertical="center"/>
    </xf>
    <xf numFmtId="0" fontId="19" fillId="0" borderId="60" xfId="0" applyFont="1" applyFill="1" applyBorder="1" applyAlignment="1" applyProtection="1">
      <alignment horizontal="left" vertical="center"/>
    </xf>
    <xf numFmtId="0" fontId="18" fillId="0" borderId="61" xfId="0" applyFont="1" applyFill="1" applyBorder="1" applyAlignment="1" applyProtection="1">
      <alignment horizontal="left" vertical="center"/>
    </xf>
    <xf numFmtId="0" fontId="36" fillId="2" borderId="0" xfId="0" applyFont="1" applyFill="1" applyAlignment="1" applyProtection="1">
      <alignment horizontal="left"/>
    </xf>
    <xf numFmtId="0" fontId="12" fillId="3" borderId="18" xfId="0" applyFont="1" applyFill="1" applyBorder="1" applyAlignment="1" applyProtection="1">
      <alignment horizontal="left" vertical="center"/>
    </xf>
    <xf numFmtId="0" fontId="19" fillId="2" borderId="77" xfId="0" applyFont="1" applyFill="1" applyBorder="1" applyAlignment="1" applyProtection="1">
      <alignment horizontal="left" vertical="center"/>
    </xf>
    <xf numFmtId="0" fontId="19" fillId="2" borderId="101" xfId="0" applyFont="1" applyFill="1" applyBorder="1" applyAlignment="1" applyProtection="1">
      <alignment horizontal="left" vertical="center"/>
    </xf>
    <xf numFmtId="0" fontId="19" fillId="2" borderId="66" xfId="0" applyFont="1" applyFill="1" applyBorder="1" applyAlignment="1" applyProtection="1">
      <alignment horizontal="left" vertical="center"/>
    </xf>
    <xf numFmtId="0" fontId="19" fillId="2" borderId="224" xfId="0" applyFont="1" applyFill="1" applyBorder="1" applyAlignment="1" applyProtection="1">
      <alignment horizontal="left" vertical="center"/>
    </xf>
    <xf numFmtId="0" fontId="19" fillId="2" borderId="227" xfId="0" applyFont="1" applyFill="1" applyBorder="1" applyAlignment="1" applyProtection="1">
      <alignment vertical="center"/>
    </xf>
    <xf numFmtId="0" fontId="19" fillId="2" borderId="229" xfId="0" applyFont="1" applyFill="1" applyBorder="1" applyAlignment="1" applyProtection="1">
      <alignment vertical="center"/>
    </xf>
    <xf numFmtId="0" fontId="1" fillId="0" borderId="61" xfId="0" applyFont="1" applyFill="1" applyBorder="1" applyAlignment="1" applyProtection="1">
      <alignment horizontal="left" vertical="center"/>
    </xf>
    <xf numFmtId="0" fontId="19" fillId="2" borderId="66" xfId="0" applyFont="1" applyFill="1" applyBorder="1" applyAlignment="1" applyProtection="1">
      <alignment vertical="center"/>
    </xf>
    <xf numFmtId="0" fontId="19" fillId="2" borderId="60" xfId="0" applyFont="1" applyFill="1" applyBorder="1" applyAlignment="1" applyProtection="1">
      <alignment vertical="center"/>
    </xf>
    <xf numFmtId="0" fontId="12" fillId="2" borderId="225" xfId="0" applyFont="1" applyFill="1" applyBorder="1" applyAlignment="1" applyProtection="1">
      <alignment horizontal="left" vertical="center"/>
    </xf>
    <xf numFmtId="0" fontId="19" fillId="0" borderId="61" xfId="0" applyFont="1" applyFill="1" applyBorder="1" applyAlignment="1" applyProtection="1">
      <alignment horizontal="left" vertical="center"/>
    </xf>
    <xf numFmtId="0" fontId="19" fillId="2" borderId="226" xfId="0" applyFont="1" applyFill="1" applyBorder="1" applyAlignment="1" applyProtection="1">
      <alignment horizontal="left" vertical="center"/>
    </xf>
    <xf numFmtId="0" fontId="18" fillId="2" borderId="227" xfId="0" applyFont="1" applyFill="1" applyBorder="1" applyAlignment="1" applyProtection="1">
      <alignment horizontal="left" vertical="center"/>
    </xf>
    <xf numFmtId="0" fontId="19" fillId="2" borderId="226" xfId="0" applyFont="1" applyFill="1" applyBorder="1" applyAlignment="1" applyProtection="1">
      <alignment vertical="center"/>
    </xf>
    <xf numFmtId="0" fontId="19" fillId="2" borderId="228" xfId="0" applyFont="1" applyFill="1" applyBorder="1" applyAlignment="1" applyProtection="1">
      <alignment vertical="center"/>
    </xf>
    <xf numFmtId="4" fontId="19" fillId="0" borderId="101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horizontal="left" vertical="center"/>
      <protection locked="0"/>
    </xf>
    <xf numFmtId="4" fontId="12" fillId="0" borderId="42" xfId="0" applyNumberFormat="1" applyFont="1" applyFill="1" applyBorder="1" applyAlignment="1" applyProtection="1">
      <alignment horizontal="right" vertical="center"/>
    </xf>
    <xf numFmtId="4" fontId="33" fillId="0" borderId="61" xfId="132" applyNumberFormat="1" applyFont="1" applyFill="1" applyBorder="1" applyAlignment="1" applyProtection="1">
      <alignment horizontal="right" vertical="center" wrapText="1"/>
    </xf>
    <xf numFmtId="4" fontId="19" fillId="0" borderId="101" xfId="0" applyNumberFormat="1" applyFont="1" applyFill="1" applyBorder="1" applyAlignment="1" applyProtection="1">
      <alignment horizontal="right" vertical="center"/>
      <protection locked="0"/>
    </xf>
    <xf numFmtId="4" fontId="19" fillId="2" borderId="101" xfId="0" applyNumberFormat="1" applyFont="1" applyFill="1" applyBorder="1" applyAlignment="1" applyProtection="1">
      <alignment horizontal="right" vertical="center"/>
      <protection locked="0"/>
    </xf>
    <xf numFmtId="4" fontId="12" fillId="3" borderId="15" xfId="0" applyNumberFormat="1" applyFont="1" applyFill="1" applyBorder="1" applyAlignment="1" applyProtection="1">
      <alignment horizontal="right" vertical="center"/>
    </xf>
    <xf numFmtId="4" fontId="33" fillId="3" borderId="107" xfId="132" applyNumberFormat="1" applyFont="1" applyFill="1" applyBorder="1" applyAlignment="1" applyProtection="1">
      <alignment horizontal="right" vertical="center" wrapText="1"/>
    </xf>
    <xf numFmtId="4" fontId="1" fillId="0" borderId="42" xfId="0" applyNumberFormat="1" applyFont="1" applyFill="1" applyBorder="1" applyAlignment="1" applyProtection="1">
      <alignment horizontal="left" vertical="center"/>
    </xf>
    <xf numFmtId="4" fontId="1" fillId="3" borderId="15" xfId="0" applyNumberFormat="1" applyFont="1" applyFill="1" applyBorder="1" applyAlignment="1" applyProtection="1">
      <alignment horizontal="left" vertical="center"/>
    </xf>
    <xf numFmtId="4" fontId="19" fillId="2" borderId="42" xfId="0" applyNumberFormat="1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 applyProtection="1">
      <alignment horizontal="left" vertical="center"/>
    </xf>
    <xf numFmtId="4" fontId="19" fillId="2" borderId="42" xfId="0" applyNumberFormat="1" applyFont="1" applyFill="1" applyBorder="1" applyAlignment="1" applyProtection="1">
      <alignment horizontal="right" vertical="center"/>
      <protection locked="0"/>
    </xf>
    <xf numFmtId="4" fontId="19" fillId="2" borderId="61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165" fontId="1" fillId="2" borderId="114" xfId="0" applyNumberFormat="1" applyFont="1" applyFill="1" applyBorder="1" applyAlignment="1" applyProtection="1">
      <alignment horizontal="righ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9" xfId="0" applyFont="1" applyBorder="1" applyAlignment="1" applyProtection="1">
      <alignment horizontal="left"/>
      <protection locked="0"/>
    </xf>
    <xf numFmtId="0" fontId="1" fillId="2" borderId="65" xfId="0" applyFont="1" applyFill="1" applyBorder="1" applyAlignment="1" applyProtection="1">
      <alignment vertical="center"/>
      <protection locked="0"/>
    </xf>
    <xf numFmtId="0" fontId="1" fillId="2" borderId="104" xfId="0" applyFont="1" applyFill="1" applyBorder="1" applyAlignment="1" applyProtection="1">
      <alignment vertical="center"/>
      <protection locked="0"/>
    </xf>
    <xf numFmtId="4" fontId="1" fillId="2" borderId="45" xfId="0" applyNumberFormat="1" applyFont="1" applyFill="1" applyBorder="1" applyProtection="1">
      <protection locked="0"/>
    </xf>
    <xf numFmtId="4" fontId="23" fillId="0" borderId="9" xfId="0" applyNumberFormat="1" applyFont="1" applyFill="1" applyBorder="1" applyAlignment="1" applyProtection="1">
      <alignment horizontal="left"/>
      <protection locked="0"/>
    </xf>
    <xf numFmtId="0" fontId="1" fillId="2" borderId="104" xfId="0" applyNumberFormat="1" applyFont="1" applyFill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horizontal="left"/>
      <protection locked="0"/>
    </xf>
    <xf numFmtId="4" fontId="23" fillId="0" borderId="12" xfId="0" applyNumberFormat="1" applyFont="1" applyFill="1" applyBorder="1" applyAlignment="1" applyProtection="1">
      <alignment horizontal="left"/>
      <protection locked="0"/>
    </xf>
    <xf numFmtId="4" fontId="24" fillId="0" borderId="9" xfId="0" applyNumberFormat="1" applyFont="1" applyFill="1" applyBorder="1" applyAlignment="1" applyProtection="1">
      <alignment horizontal="left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" fontId="71" fillId="2" borderId="0" xfId="0" applyNumberFormat="1" applyFont="1" applyFill="1" applyBorder="1" applyAlignment="1" applyProtection="1">
      <alignment horizontal="left" vertical="center"/>
    </xf>
    <xf numFmtId="4" fontId="49" fillId="2" borderId="102" xfId="0" applyNumberFormat="1" applyFont="1" applyFill="1" applyBorder="1" applyAlignment="1" applyProtection="1">
      <alignment vertical="center"/>
      <protection locked="0"/>
    </xf>
    <xf numFmtId="4" fontId="49" fillId="2" borderId="81" xfId="0" applyNumberFormat="1" applyFont="1" applyFill="1" applyBorder="1" applyAlignment="1" applyProtection="1">
      <alignment vertical="center"/>
      <protection locked="0"/>
    </xf>
    <xf numFmtId="4" fontId="49" fillId="2" borderId="95" xfId="0" applyNumberFormat="1" applyFont="1" applyFill="1" applyBorder="1" applyAlignment="1" applyProtection="1">
      <alignment vertical="center"/>
      <protection locked="0"/>
    </xf>
    <xf numFmtId="4" fontId="49" fillId="2" borderId="104" xfId="0" applyNumberFormat="1" applyFont="1" applyFill="1" applyBorder="1" applyAlignment="1" applyProtection="1">
      <alignment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0" fontId="8" fillId="2" borderId="95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04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06" xfId="0" applyNumberFormat="1" applyFont="1" applyFill="1" applyBorder="1" applyAlignment="1" applyProtection="1">
      <alignment horizontal="left"/>
      <protection locked="0"/>
    </xf>
    <xf numFmtId="4" fontId="12" fillId="2" borderId="207" xfId="0" applyNumberFormat="1" applyFont="1" applyFill="1" applyBorder="1" applyAlignment="1" applyProtection="1">
      <alignment horizontal="left"/>
      <protection locked="0"/>
    </xf>
    <xf numFmtId="4" fontId="12" fillId="2" borderId="208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09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0" xfId="0" applyNumberFormat="1" applyFont="1" applyFill="1" applyBorder="1" applyAlignment="1" applyProtection="1">
      <alignment horizontal="left"/>
      <protection locked="0"/>
    </xf>
    <xf numFmtId="4" fontId="12" fillId="2" borderId="211" xfId="0" applyNumberFormat="1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05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33" fillId="3" borderId="0" xfId="132" applyFont="1" applyFill="1" applyBorder="1" applyAlignment="1">
      <alignment horizontal="center" vertical="center" wrapText="1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0" fontId="33" fillId="3" borderId="22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10" xfId="132" applyFont="1" applyFill="1" applyBorder="1" applyAlignment="1">
      <alignment horizontal="center" vertical="center" wrapText="1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9" xfId="132" applyFont="1" applyFill="1" applyBorder="1" applyAlignment="1">
      <alignment horizontal="center" vertical="center" wrapText="1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33" fillId="3" borderId="16" xfId="132" applyFont="1" applyFill="1" applyBorder="1" applyAlignment="1">
      <alignment horizontal="left" vertical="center" wrapText="1"/>
    </xf>
    <xf numFmtId="0" fontId="33" fillId="3" borderId="18" xfId="132" applyFont="1" applyFill="1" applyBorder="1" applyAlignment="1">
      <alignment horizontal="left" vertical="center" wrapText="1"/>
    </xf>
    <xf numFmtId="0" fontId="33" fillId="3" borderId="200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0" xfId="132" applyFont="1" applyFill="1" applyBorder="1" applyAlignment="1">
      <alignment horizontal="center" vertical="center" wrapText="1"/>
    </xf>
    <xf numFmtId="0" fontId="33" fillId="3" borderId="223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221" xfId="132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left" vertical="center"/>
    </xf>
    <xf numFmtId="0" fontId="1" fillId="2" borderId="74" xfId="0" applyFont="1" applyFill="1" applyBorder="1" applyAlignment="1">
      <alignment horizontal="left" vertical="center"/>
    </xf>
    <xf numFmtId="0" fontId="1" fillId="2" borderId="75" xfId="0" applyFont="1" applyFill="1" applyBorder="1" applyAlignment="1">
      <alignment horizontal="left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12" fillId="3" borderId="60" xfId="0" applyFont="1" applyFill="1" applyBorder="1" applyAlignment="1" applyProtection="1">
      <alignment horizontal="center" vertical="center"/>
    </xf>
    <xf numFmtId="0" fontId="12" fillId="3" borderId="61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 vertical="center" wrapText="1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5" fillId="3" borderId="16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8" xfId="0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8" fillId="3" borderId="57" xfId="0" applyFont="1" applyFill="1" applyBorder="1" applyAlignment="1" applyProtection="1">
      <alignment horizontal="center" vertical="center"/>
    </xf>
    <xf numFmtId="0" fontId="8" fillId="3" borderId="59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32" fillId="3" borderId="76" xfId="132" applyFont="1" applyFill="1" applyBorder="1" applyAlignment="1" applyProtection="1">
      <alignment horizontal="center" wrapText="1"/>
    </xf>
    <xf numFmtId="0" fontId="32" fillId="3" borderId="80" xfId="132" applyFont="1" applyFill="1" applyBorder="1" applyAlignment="1" applyProtection="1">
      <alignment horizontal="center" wrapText="1"/>
    </xf>
    <xf numFmtId="0" fontId="12" fillId="2" borderId="16" xfId="0" applyFont="1" applyFill="1" applyBorder="1" applyAlignment="1" applyProtection="1">
      <alignment horizontal="left"/>
    </xf>
    <xf numFmtId="0" fontId="12" fillId="2" borderId="18" xfId="0" applyFont="1" applyFill="1" applyBorder="1" applyAlignment="1" applyProtection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0" fillId="6" borderId="120" xfId="0" applyFont="1" applyFill="1" applyBorder="1" applyAlignment="1">
      <alignment horizontal="left"/>
    </xf>
    <xf numFmtId="0" fontId="40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0" fillId="10" borderId="120" xfId="0" applyNumberFormat="1" applyFont="1" applyFill="1" applyBorder="1" applyAlignment="1" applyProtection="1">
      <alignment horizontal="left" vertical="center"/>
    </xf>
    <xf numFmtId="4" fontId="40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1" fillId="8" borderId="120" xfId="0" applyNumberFormat="1" applyFont="1" applyFill="1" applyBorder="1" applyAlignment="1" applyProtection="1">
      <alignment horizontal="left"/>
    </xf>
    <xf numFmtId="4" fontId="61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0" fillId="8" borderId="120" xfId="0" applyNumberFormat="1" applyFont="1" applyFill="1" applyBorder="1" applyAlignment="1" applyProtection="1">
      <alignment horizontal="left" vertical="center"/>
    </xf>
    <xf numFmtId="4" fontId="40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6" fillId="2" borderId="201" xfId="0" applyNumberFormat="1" applyFont="1" applyFill="1" applyBorder="1" applyAlignment="1" applyProtection="1">
      <alignment horizontal="right" vertical="center"/>
    </xf>
    <xf numFmtId="4" fontId="66" fillId="2" borderId="202" xfId="0" applyNumberFormat="1" applyFont="1" applyFill="1" applyBorder="1" applyAlignment="1" applyProtection="1">
      <alignment horizontal="right" vertical="center"/>
    </xf>
    <xf numFmtId="4" fontId="66" fillId="2" borderId="203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</cellXfs>
  <cellStyles count="11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Normal" xfId="0" builtinId="0"/>
    <cellStyle name="Normal 2" xfId="132" xr:uid="{00000000-0005-0000-0000-00008F040000}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295</xdr:colOff>
      <xdr:row>3</xdr:row>
      <xdr:rowOff>50800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200" y="203200"/>
          <a:ext cx="914695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117804</xdr:rowOff>
    </xdr:from>
    <xdr:to>
      <xdr:col>2</xdr:col>
      <xdr:colOff>1154766</xdr:colOff>
      <xdr:row>2</xdr:row>
      <xdr:rowOff>272144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117804"/>
          <a:ext cx="938866" cy="7288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1231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411" y="117803"/>
          <a:ext cx="957649" cy="773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215901</xdr:colOff>
      <xdr:row>0</xdr:row>
      <xdr:rowOff>117804</xdr:rowOff>
    </xdr:from>
    <xdr:to>
      <xdr:col>3</xdr:col>
      <xdr:colOff>2008</xdr:colOff>
      <xdr:row>2</xdr:row>
      <xdr:rowOff>282224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741" y="117804"/>
          <a:ext cx="942714" cy="7602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1126824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3"/>
          <a:ext cx="910924" cy="72547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215901</xdr:colOff>
      <xdr:row>0</xdr:row>
      <xdr:rowOff>117803</xdr:rowOff>
    </xdr:from>
    <xdr:to>
      <xdr:col>2</xdr:col>
      <xdr:colOff>1132847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446" y="117803"/>
          <a:ext cx="916946" cy="71347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7083</xdr:colOff>
      <xdr:row>3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3"/>
          <a:ext cx="1000223" cy="79659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117804</xdr:rowOff>
    </xdr:from>
    <xdr:to>
      <xdr:col>2</xdr:col>
      <xdr:colOff>1148080</xdr:colOff>
      <xdr:row>2</xdr:row>
      <xdr:rowOff>270930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4"/>
          <a:ext cx="932180" cy="74240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15953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1006553" cy="79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8179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58411" cy="75849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1126169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10269" cy="72039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1173549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B3C947-8F72-384F-9C26-20E64FC2E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57649" cy="75849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105103</xdr:rowOff>
    </xdr:from>
    <xdr:to>
      <xdr:col>2</xdr:col>
      <xdr:colOff>1117600</xdr:colOff>
      <xdr:row>3</xdr:row>
      <xdr:rowOff>113284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051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21958</xdr:colOff>
      <xdr:row>3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74458" cy="7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342901</xdr:rowOff>
    </xdr:from>
    <xdr:to>
      <xdr:col>3</xdr:col>
      <xdr:colOff>8368</xdr:colOff>
      <xdr:row>3</xdr:row>
      <xdr:rowOff>38101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1"/>
          <a:ext cx="1075168" cy="850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9135</xdr:colOff>
      <xdr:row>3</xdr:row>
      <xdr:rowOff>13655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728" y="117803"/>
          <a:ext cx="968892" cy="756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K164"/>
  <sheetViews>
    <sheetView tabSelected="1" zoomScale="86" zoomScaleNormal="100" workbookViewId="0">
      <selection activeCell="D28" sqref="D28:D32"/>
    </sheetView>
  </sheetViews>
  <sheetFormatPr baseColWidth="10" defaultColWidth="10.6640625" defaultRowHeight="15"/>
  <cols>
    <col min="1" max="1" width="3.109375" style="4" customWidth="1"/>
    <col min="2" max="2" width="3.44140625" style="2" customWidth="1"/>
    <col min="3" max="3" width="17.33203125" style="4" customWidth="1"/>
    <col min="4" max="13" width="10.6640625" style="4"/>
    <col min="14" max="14" width="3.109375" style="2" customWidth="1"/>
    <col min="15" max="17" width="10.6640625" style="2"/>
    <col min="18" max="16384" width="10.6640625" style="4"/>
  </cols>
  <sheetData>
    <row r="1" spans="2:37" s="2" customFormat="1" ht="23.1" customHeight="1">
      <c r="D1" s="3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</row>
    <row r="2" spans="2:37" s="2" customFormat="1" ht="23.1" customHeight="1">
      <c r="D2" s="1213" t="s">
        <v>950</v>
      </c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</row>
    <row r="3" spans="2:37" s="2" customFormat="1" ht="23.1" customHeight="1">
      <c r="D3" s="62" t="s">
        <v>31</v>
      </c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</row>
    <row r="4" spans="2:37" s="2" customFormat="1" ht="23.1" customHeight="1" thickBot="1">
      <c r="O4" s="928"/>
      <c r="P4" s="928"/>
      <c r="Q4" s="928"/>
      <c r="R4" s="928"/>
      <c r="S4" s="928"/>
      <c r="T4" s="928"/>
      <c r="U4" s="928"/>
      <c r="V4" s="928"/>
      <c r="W4" s="928"/>
      <c r="X4" s="928"/>
      <c r="Y4" s="928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28"/>
      <c r="P5" s="928"/>
      <c r="Q5" s="928"/>
      <c r="R5" s="928"/>
      <c r="S5" s="928"/>
      <c r="T5" s="928"/>
      <c r="U5" s="928"/>
      <c r="V5" s="928"/>
      <c r="W5" s="928"/>
      <c r="X5" s="928"/>
      <c r="Y5" s="928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489">
        <f>ejercicio</f>
        <v>2021</v>
      </c>
      <c r="N6" s="9"/>
      <c r="O6" s="928"/>
      <c r="P6" s="928"/>
      <c r="Q6" s="928"/>
      <c r="R6" s="928"/>
      <c r="S6" s="928"/>
      <c r="T6" s="928"/>
      <c r="U6" s="928"/>
      <c r="V6" s="928"/>
      <c r="W6" s="928"/>
      <c r="X6" s="928"/>
      <c r="Y6" s="928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489"/>
      <c r="N7" s="9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</row>
    <row r="8" spans="2:37" s="2" customFormat="1" ht="30" customHeight="1">
      <c r="B8" s="8"/>
      <c r="N8" s="9"/>
      <c r="O8" s="928"/>
      <c r="P8" s="928"/>
      <c r="Q8" s="928"/>
      <c r="R8" s="928"/>
      <c r="S8" s="928"/>
      <c r="T8" s="928"/>
      <c r="U8" s="928"/>
      <c r="V8" s="928"/>
      <c r="W8" s="928"/>
      <c r="X8" s="928"/>
      <c r="Y8" s="928"/>
    </row>
    <row r="9" spans="2:37" s="2" customFormat="1" ht="30" customHeight="1">
      <c r="B9" s="8"/>
      <c r="N9" s="9"/>
      <c r="O9" s="928"/>
      <c r="P9" s="928"/>
      <c r="Q9" s="929"/>
      <c r="R9" s="929"/>
      <c r="S9" s="929"/>
      <c r="T9" s="929"/>
      <c r="U9" s="928"/>
      <c r="V9" s="928"/>
      <c r="W9" s="928"/>
      <c r="X9" s="928"/>
      <c r="Y9" s="928"/>
    </row>
    <row r="10" spans="2:37" s="2" customFormat="1" ht="6.95" customHeight="1">
      <c r="B10" s="8"/>
      <c r="N10" s="9"/>
      <c r="O10" s="928"/>
      <c r="P10" s="928"/>
      <c r="Q10" s="929"/>
      <c r="R10" s="929"/>
      <c r="S10" s="929"/>
      <c r="T10" s="929"/>
      <c r="U10" s="928"/>
      <c r="V10" s="928"/>
      <c r="W10" s="928"/>
      <c r="X10" s="928"/>
      <c r="Y10" s="928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30"/>
      <c r="P11" s="928"/>
      <c r="Q11" s="929"/>
      <c r="R11" s="929"/>
      <c r="S11" s="929"/>
      <c r="T11" s="929"/>
      <c r="U11" s="928"/>
      <c r="V11" s="928"/>
      <c r="W11" s="928"/>
      <c r="X11" s="928"/>
      <c r="Y11" s="92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28"/>
      <c r="P12" s="928"/>
      <c r="Q12" s="929"/>
      <c r="R12" s="929"/>
      <c r="S12" s="929"/>
      <c r="T12" s="929"/>
      <c r="U12" s="928"/>
      <c r="V12" s="928"/>
      <c r="W12" s="928"/>
      <c r="X12" s="928"/>
      <c r="Y12" s="928"/>
    </row>
    <row r="13" spans="2:37" s="15" customFormat="1" ht="30" customHeight="1">
      <c r="B13" s="8"/>
      <c r="C13" s="273" t="s">
        <v>33</v>
      </c>
      <c r="D13" s="1490" t="s">
        <v>1170</v>
      </c>
      <c r="E13" s="1491"/>
      <c r="F13" s="1491"/>
      <c r="G13" s="1491"/>
      <c r="H13" s="1491"/>
      <c r="I13" s="1491"/>
      <c r="J13" s="1491"/>
      <c r="K13" s="1491"/>
      <c r="L13" s="1491"/>
      <c r="M13" s="1492"/>
      <c r="N13" s="9"/>
      <c r="O13" s="931"/>
      <c r="P13" s="931"/>
      <c r="Q13" s="932"/>
      <c r="R13" s="932"/>
      <c r="S13" s="932"/>
      <c r="T13" s="932"/>
      <c r="U13" s="931"/>
      <c r="V13" s="931"/>
      <c r="W13" s="931"/>
      <c r="X13" s="931"/>
      <c r="Y13" s="931"/>
    </row>
    <row r="14" spans="2:37" s="15" customFormat="1" ht="30" customHeight="1">
      <c r="B14" s="8"/>
      <c r="C14" s="273" t="s">
        <v>891</v>
      </c>
      <c r="D14" s="1490" t="s">
        <v>892</v>
      </c>
      <c r="E14" s="1491"/>
      <c r="F14" s="1492"/>
      <c r="G14" s="391"/>
      <c r="H14" s="391"/>
      <c r="I14" s="14"/>
      <c r="J14" s="14"/>
      <c r="K14" s="14"/>
      <c r="L14" s="14"/>
      <c r="M14" s="14"/>
      <c r="N14" s="9"/>
      <c r="O14" s="931"/>
      <c r="P14" s="931"/>
      <c r="Q14" s="932"/>
      <c r="R14" s="932"/>
      <c r="S14" s="933" t="s">
        <v>892</v>
      </c>
      <c r="T14" s="934" t="s">
        <v>893</v>
      </c>
      <c r="U14" s="931"/>
      <c r="V14" s="931"/>
      <c r="W14" s="931"/>
      <c r="X14" s="931"/>
      <c r="Y14" s="931"/>
    </row>
    <row r="15" spans="2:37" s="15" customFormat="1" ht="30" customHeight="1">
      <c r="B15" s="8"/>
      <c r="C15" s="273" t="s">
        <v>1023</v>
      </c>
      <c r="D15" s="1490" t="s">
        <v>1025</v>
      </c>
      <c r="E15" s="1491"/>
      <c r="F15" s="1492"/>
      <c r="G15" s="391"/>
      <c r="H15" s="391"/>
      <c r="I15" s="14"/>
      <c r="J15" s="14"/>
      <c r="K15" s="14"/>
      <c r="L15" s="14"/>
      <c r="M15" s="14"/>
      <c r="N15" s="9"/>
      <c r="O15" s="931"/>
      <c r="P15" s="931"/>
      <c r="Q15" s="932"/>
      <c r="R15" s="932"/>
      <c r="S15" s="933" t="s">
        <v>1025</v>
      </c>
      <c r="T15" s="934" t="s">
        <v>1026</v>
      </c>
      <c r="U15" s="931"/>
      <c r="V15" s="931"/>
      <c r="W15" s="931"/>
      <c r="X15" s="931"/>
      <c r="Y15" s="931"/>
    </row>
    <row r="16" spans="2:37" s="15" customFormat="1" ht="30" customHeight="1">
      <c r="B16" s="8"/>
      <c r="C16" s="273" t="s">
        <v>1024</v>
      </c>
      <c r="D16" s="1490" t="s">
        <v>1028</v>
      </c>
      <c r="E16" s="1491"/>
      <c r="F16" s="1492"/>
      <c r="G16" s="391"/>
      <c r="H16" s="391"/>
      <c r="I16" s="14"/>
      <c r="J16" s="14"/>
      <c r="K16" s="14"/>
      <c r="L16" s="14"/>
      <c r="M16" s="14"/>
      <c r="N16" s="9"/>
      <c r="O16" s="931"/>
      <c r="P16" s="931"/>
      <c r="Q16" s="932"/>
      <c r="R16" s="932"/>
      <c r="S16" s="933" t="s">
        <v>1027</v>
      </c>
      <c r="T16" s="934" t="s">
        <v>1028</v>
      </c>
      <c r="U16" s="931"/>
      <c r="V16" s="931"/>
      <c r="W16" s="931"/>
      <c r="X16" s="931"/>
      <c r="Y16" s="931"/>
    </row>
    <row r="17" spans="2:25" s="2" customFormat="1" ht="30" customHeight="1">
      <c r="B17" s="8"/>
      <c r="C17" s="273" t="s">
        <v>34</v>
      </c>
      <c r="D17" s="1320">
        <v>2021</v>
      </c>
      <c r="E17" s="14"/>
      <c r="F17" s="14"/>
      <c r="G17" s="391"/>
      <c r="H17" s="391"/>
      <c r="I17" s="14"/>
      <c r="J17" s="14"/>
      <c r="K17" s="14"/>
      <c r="L17" s="14"/>
      <c r="M17" s="14"/>
      <c r="N17" s="9"/>
      <c r="O17" s="928"/>
      <c r="P17" s="928"/>
      <c r="Q17" s="929"/>
      <c r="R17" s="929"/>
      <c r="T17" s="929"/>
      <c r="U17" s="928"/>
      <c r="V17" s="928"/>
      <c r="W17" s="928"/>
      <c r="X17" s="928"/>
      <c r="Y17" s="928"/>
    </row>
    <row r="18" spans="2:25" s="2" customFormat="1" ht="30" customHeight="1">
      <c r="B18" s="8"/>
      <c r="C18" s="12"/>
      <c r="D18" s="1493"/>
      <c r="E18" s="1493"/>
      <c r="F18" s="1493"/>
      <c r="G18" s="1493"/>
      <c r="H18" s="1493"/>
      <c r="I18" s="1493"/>
      <c r="J18" s="1493"/>
      <c r="K18" s="1493"/>
      <c r="L18" s="1493"/>
      <c r="M18" s="1493"/>
      <c r="N18" s="9"/>
      <c r="O18" s="928"/>
      <c r="P18" s="928"/>
      <c r="Q18" s="929"/>
      <c r="R18" s="929"/>
      <c r="S18" s="929"/>
      <c r="T18" s="929"/>
      <c r="U18" s="928"/>
      <c r="V18" s="928"/>
      <c r="W18" s="928"/>
      <c r="X18" s="928"/>
      <c r="Y18" s="928"/>
    </row>
    <row r="19" spans="2:25" s="2" customFormat="1" ht="30" customHeight="1">
      <c r="B19" s="8"/>
      <c r="C19" s="274" t="s">
        <v>65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9"/>
      <c r="O19" s="928"/>
      <c r="P19" s="928"/>
      <c r="Q19" s="929"/>
      <c r="R19" s="929"/>
      <c r="S19" s="929"/>
      <c r="T19" s="929"/>
      <c r="U19" s="928"/>
      <c r="V19" s="928"/>
      <c r="W19" s="928"/>
      <c r="X19" s="928"/>
      <c r="Y19" s="928"/>
    </row>
    <row r="20" spans="2:25" s="2" customFormat="1" ht="9" customHeight="1">
      <c r="B20" s="8"/>
      <c r="C20" s="1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9"/>
      <c r="O20" s="928"/>
      <c r="P20" s="928"/>
      <c r="Q20" s="929"/>
      <c r="R20" s="929"/>
      <c r="S20" s="929"/>
      <c r="T20" s="929"/>
      <c r="U20" s="928"/>
      <c r="V20" s="928"/>
      <c r="W20" s="928"/>
      <c r="X20" s="928"/>
      <c r="Y20" s="928"/>
    </row>
    <row r="21" spans="2:25" s="2" customFormat="1" ht="24.95" customHeight="1">
      <c r="B21" s="8"/>
      <c r="C21" s="2" t="s">
        <v>36</v>
      </c>
      <c r="D21" s="2" t="s">
        <v>37</v>
      </c>
      <c r="N21" s="9"/>
      <c r="O21" s="928"/>
      <c r="P21" s="928"/>
      <c r="Q21" s="929"/>
      <c r="R21" s="929"/>
      <c r="S21" s="929"/>
      <c r="T21" s="929"/>
      <c r="U21" s="928"/>
      <c r="V21" s="928"/>
      <c r="W21" s="928"/>
      <c r="X21" s="928"/>
      <c r="Y21" s="928"/>
    </row>
    <row r="22" spans="2:25" s="2" customFormat="1" ht="24.95" customHeight="1">
      <c r="B22" s="8"/>
      <c r="C22" s="2" t="s">
        <v>38</v>
      </c>
      <c r="D22" s="2" t="s">
        <v>39</v>
      </c>
      <c r="N22" s="9"/>
      <c r="O22" s="928"/>
      <c r="P22" s="928"/>
      <c r="Q22" s="929"/>
      <c r="R22" s="929"/>
      <c r="S22" s="929"/>
      <c r="T22" s="929"/>
      <c r="U22" s="928"/>
      <c r="V22" s="928"/>
      <c r="W22" s="928"/>
      <c r="X22" s="928"/>
      <c r="Y22" s="928"/>
    </row>
    <row r="23" spans="2:25" s="2" customFormat="1" ht="24.95" customHeight="1">
      <c r="B23" s="8"/>
      <c r="C23" s="2" t="s">
        <v>40</v>
      </c>
      <c r="D23" s="2" t="s">
        <v>41</v>
      </c>
      <c r="N23" s="9"/>
      <c r="O23" s="928"/>
      <c r="P23" s="928"/>
      <c r="Q23" s="929"/>
      <c r="R23" s="929"/>
      <c r="S23" s="929"/>
      <c r="T23" s="929"/>
      <c r="U23" s="928"/>
      <c r="V23" s="928"/>
      <c r="W23" s="928"/>
      <c r="X23" s="928"/>
      <c r="Y23" s="928"/>
    </row>
    <row r="24" spans="2:25" s="2" customFormat="1" ht="24.95" customHeight="1">
      <c r="B24" s="8"/>
      <c r="C24" s="2" t="s">
        <v>46</v>
      </c>
      <c r="D24" s="2" t="s">
        <v>47</v>
      </c>
      <c r="N24" s="9"/>
      <c r="O24" s="928"/>
      <c r="P24" s="928"/>
      <c r="Q24" s="929"/>
      <c r="R24" s="929"/>
      <c r="S24" s="929"/>
      <c r="T24" s="929"/>
      <c r="U24" s="928"/>
      <c r="V24" s="928"/>
      <c r="W24" s="928"/>
      <c r="X24" s="928"/>
      <c r="Y24" s="928"/>
    </row>
    <row r="25" spans="2:25" s="2" customFormat="1" ht="24.95" customHeight="1">
      <c r="B25" s="8"/>
      <c r="C25" s="2" t="s">
        <v>42</v>
      </c>
      <c r="D25" s="276" t="s">
        <v>599</v>
      </c>
      <c r="N25" s="9"/>
      <c r="O25" s="928"/>
      <c r="P25" s="928"/>
      <c r="Q25" s="929"/>
      <c r="R25" s="929"/>
      <c r="S25" s="929"/>
      <c r="T25" s="929"/>
      <c r="U25" s="928"/>
      <c r="V25" s="928"/>
      <c r="W25" s="928"/>
      <c r="X25" s="928"/>
      <c r="Y25" s="928"/>
    </row>
    <row r="26" spans="2:25" s="2" customFormat="1" ht="24.95" customHeight="1">
      <c r="B26" s="8"/>
      <c r="C26" s="2" t="s">
        <v>43</v>
      </c>
      <c r="D26" s="2" t="s">
        <v>44</v>
      </c>
      <c r="N26" s="9"/>
      <c r="O26" s="928"/>
      <c r="P26" s="928"/>
      <c r="Q26" s="928"/>
      <c r="R26" s="928"/>
      <c r="S26" s="928"/>
      <c r="T26" s="928"/>
      <c r="U26" s="928"/>
      <c r="V26" s="928"/>
      <c r="W26" s="928"/>
      <c r="X26" s="928"/>
      <c r="Y26" s="928"/>
    </row>
    <row r="27" spans="2:25" s="2" customFormat="1" ht="24.95" customHeight="1">
      <c r="B27" s="8"/>
      <c r="C27" s="2" t="s">
        <v>45</v>
      </c>
      <c r="D27" s="2" t="s">
        <v>48</v>
      </c>
      <c r="N27" s="9"/>
      <c r="O27" s="928"/>
      <c r="P27" s="928"/>
      <c r="Q27" s="928"/>
      <c r="R27" s="928"/>
      <c r="S27" s="928"/>
      <c r="T27" s="928"/>
      <c r="U27" s="928"/>
      <c r="V27" s="928"/>
      <c r="W27" s="928"/>
      <c r="X27" s="928"/>
      <c r="Y27" s="928"/>
    </row>
    <row r="28" spans="2:25" s="2" customFormat="1" ht="24.95" customHeight="1">
      <c r="B28" s="8"/>
      <c r="C28" s="2" t="s">
        <v>49</v>
      </c>
      <c r="D28" s="2" t="s">
        <v>50</v>
      </c>
      <c r="N28" s="9"/>
      <c r="O28" s="928"/>
      <c r="P28" s="928"/>
      <c r="Q28" s="928"/>
      <c r="R28" s="928"/>
      <c r="S28" s="928"/>
      <c r="T28" s="928"/>
      <c r="U28" s="928"/>
      <c r="V28" s="928"/>
      <c r="W28" s="928"/>
      <c r="X28" s="928"/>
      <c r="Y28" s="928"/>
    </row>
    <row r="29" spans="2:25" s="2" customFormat="1" ht="24.95" customHeight="1">
      <c r="B29" s="8"/>
      <c r="C29" s="2" t="s">
        <v>51</v>
      </c>
      <c r="D29" s="2" t="s">
        <v>52</v>
      </c>
      <c r="N29" s="9"/>
      <c r="O29" s="928"/>
      <c r="P29" s="928"/>
      <c r="Q29" s="928"/>
      <c r="R29" s="928"/>
      <c r="S29" s="928"/>
      <c r="T29" s="928"/>
      <c r="U29" s="928"/>
      <c r="V29" s="928"/>
      <c r="W29" s="928"/>
      <c r="X29" s="928"/>
      <c r="Y29" s="928"/>
    </row>
    <row r="30" spans="2:25" s="2" customFormat="1" ht="24.95" customHeight="1">
      <c r="B30" s="8"/>
      <c r="C30" s="2" t="s">
        <v>53</v>
      </c>
      <c r="D30" s="2" t="s">
        <v>54</v>
      </c>
      <c r="N30" s="9"/>
      <c r="O30" s="928"/>
      <c r="P30" s="928"/>
      <c r="Q30" s="928"/>
      <c r="R30" s="928"/>
      <c r="S30" s="928"/>
      <c r="T30" s="928"/>
      <c r="U30" s="928"/>
      <c r="V30" s="928"/>
      <c r="W30" s="928"/>
      <c r="X30" s="928"/>
      <c r="Y30" s="928"/>
    </row>
    <row r="31" spans="2:25" s="2" customFormat="1" ht="24.95" customHeight="1">
      <c r="B31" s="8"/>
      <c r="C31" s="2" t="s">
        <v>55</v>
      </c>
      <c r="D31" s="392" t="s">
        <v>625</v>
      </c>
      <c r="N31" s="9"/>
      <c r="O31" s="928"/>
      <c r="P31" s="928"/>
      <c r="Q31" s="928"/>
      <c r="R31" s="928"/>
      <c r="S31" s="928"/>
      <c r="T31" s="928"/>
      <c r="U31" s="928"/>
      <c r="V31" s="928"/>
      <c r="W31" s="928"/>
      <c r="X31" s="928"/>
      <c r="Y31" s="928"/>
    </row>
    <row r="32" spans="2:25" s="2" customFormat="1" ht="24.95" customHeight="1">
      <c r="B32" s="8"/>
      <c r="C32" s="2" t="s">
        <v>57</v>
      </c>
      <c r="D32" s="2" t="s">
        <v>56</v>
      </c>
      <c r="N32" s="9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</row>
    <row r="33" spans="2:25" s="2" customFormat="1" ht="24.95" customHeight="1">
      <c r="B33" s="8"/>
      <c r="C33" s="2" t="s">
        <v>59</v>
      </c>
      <c r="D33" s="2" t="s">
        <v>58</v>
      </c>
      <c r="N33" s="9"/>
      <c r="O33" s="928"/>
      <c r="P33" s="928"/>
      <c r="Q33" s="928"/>
      <c r="R33" s="928"/>
      <c r="S33" s="928"/>
      <c r="T33" s="928"/>
      <c r="U33" s="928"/>
      <c r="V33" s="928"/>
      <c r="W33" s="928"/>
      <c r="X33" s="928"/>
      <c r="Y33" s="928"/>
    </row>
    <row r="34" spans="2:25" s="2" customFormat="1" ht="24.95" customHeight="1">
      <c r="B34" s="8"/>
      <c r="C34" s="392" t="s">
        <v>60</v>
      </c>
      <c r="D34" s="2" t="s">
        <v>61</v>
      </c>
      <c r="N34" s="9"/>
      <c r="O34" s="928"/>
      <c r="P34" s="928"/>
      <c r="Q34" s="928"/>
      <c r="R34" s="928"/>
      <c r="S34" s="928"/>
      <c r="T34" s="928"/>
      <c r="U34" s="928"/>
      <c r="V34" s="928"/>
      <c r="W34" s="928"/>
      <c r="X34" s="928"/>
      <c r="Y34" s="928"/>
    </row>
    <row r="35" spans="2:25" s="2" customFormat="1" ht="24.95" customHeight="1">
      <c r="B35" s="8"/>
      <c r="C35" s="392" t="s">
        <v>621</v>
      </c>
      <c r="D35" s="2" t="s">
        <v>63</v>
      </c>
      <c r="N35" s="9"/>
      <c r="O35" s="928"/>
      <c r="P35" s="928"/>
      <c r="Q35" s="928"/>
      <c r="R35" s="928"/>
      <c r="S35" s="928"/>
      <c r="T35" s="928"/>
      <c r="U35" s="928"/>
      <c r="V35" s="928"/>
      <c r="W35" s="928"/>
      <c r="X35" s="928"/>
      <c r="Y35" s="928"/>
    </row>
    <row r="36" spans="2:25" s="2" customFormat="1" ht="24.95" customHeight="1">
      <c r="B36" s="8"/>
      <c r="C36" s="392" t="s">
        <v>622</v>
      </c>
      <c r="D36" s="926" t="s">
        <v>961</v>
      </c>
      <c r="N36" s="9"/>
      <c r="O36" s="928"/>
      <c r="P36" s="928"/>
      <c r="Q36" s="928"/>
      <c r="R36" s="928"/>
      <c r="S36" s="928"/>
      <c r="T36" s="928"/>
      <c r="U36" s="928"/>
      <c r="V36" s="928"/>
      <c r="W36" s="928"/>
      <c r="X36" s="928"/>
      <c r="Y36" s="928"/>
    </row>
    <row r="37" spans="2:25" s="2" customFormat="1" ht="24.95" customHeight="1">
      <c r="B37" s="8"/>
      <c r="C37" s="392" t="s">
        <v>623</v>
      </c>
      <c r="D37" s="2" t="s">
        <v>64</v>
      </c>
      <c r="N37" s="9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</row>
    <row r="38" spans="2:25" s="2" customFormat="1" ht="24.95" customHeight="1">
      <c r="B38" s="8"/>
      <c r="C38" s="392" t="s">
        <v>624</v>
      </c>
      <c r="D38" s="2" t="s">
        <v>67</v>
      </c>
      <c r="N38" s="9"/>
    </row>
    <row r="39" spans="2:25" s="2" customFormat="1" ht="24.95" customHeight="1">
      <c r="B39" s="8"/>
      <c r="N39" s="9"/>
    </row>
    <row r="40" spans="2:25" s="2" customFormat="1" ht="24.95" customHeight="1">
      <c r="B40" s="8"/>
      <c r="N40" s="9"/>
    </row>
    <row r="41" spans="2:25" s="2" customFormat="1" ht="24.95" customHeight="1">
      <c r="B41" s="8"/>
      <c r="C41" s="276" t="s">
        <v>66</v>
      </c>
      <c r="D41" s="926" t="s">
        <v>68</v>
      </c>
      <c r="N41" s="9"/>
    </row>
    <row r="42" spans="2:25" s="2" customFormat="1" ht="24.95" customHeight="1">
      <c r="B42" s="8"/>
      <c r="N42" s="9"/>
    </row>
    <row r="43" spans="2:25" s="2" customFormat="1" ht="24.95" customHeight="1">
      <c r="B43" s="8"/>
      <c r="C43" s="274" t="s">
        <v>509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9"/>
    </row>
    <row r="44" spans="2:25" s="2" customFormat="1" ht="24.95" customHeight="1">
      <c r="B44" s="8"/>
      <c r="N44" s="9"/>
    </row>
    <row r="45" spans="2:25" s="2" customFormat="1" ht="24.95" customHeight="1">
      <c r="B45" s="8"/>
      <c r="C45" s="276" t="s">
        <v>510</v>
      </c>
      <c r="N45" s="9"/>
    </row>
    <row r="46" spans="2:25" s="2" customFormat="1" ht="30" customHeight="1" thickBo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2:25" s="2" customFormat="1" ht="30" customHeight="1"/>
    <row r="48" spans="2:25" s="41" customFormat="1" ht="12.75">
      <c r="C48" s="36" t="s">
        <v>70</v>
      </c>
      <c r="G48" s="42"/>
      <c r="M48" s="40" t="s">
        <v>75</v>
      </c>
    </row>
    <row r="49" spans="3:7" s="41" customFormat="1" ht="12.75">
      <c r="C49" s="37" t="s">
        <v>71</v>
      </c>
      <c r="G49" s="42"/>
    </row>
    <row r="50" spans="3:7" s="41" customFormat="1" ht="12.75">
      <c r="C50" s="37" t="s">
        <v>72</v>
      </c>
      <c r="G50" s="42"/>
    </row>
    <row r="51" spans="3:7" s="41" customFormat="1" ht="12.75">
      <c r="C51" s="37" t="s">
        <v>73</v>
      </c>
      <c r="G51" s="42"/>
    </row>
    <row r="52" spans="3:7" s="41" customFormat="1" ht="12.75">
      <c r="C52" s="37" t="s">
        <v>74</v>
      </c>
      <c r="G52" s="42"/>
    </row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</sheetData>
  <sheetProtection algorithmName="SHA-512" hashValue="yJRVQpSOaGDMo6axFsUz5ZWrvcZoA87ra6hd+C4YTwgODdnhA4EkUi6rlDxc8OeGQ7FkSPAj67xWLfShKZ5eMg==" saltValue="16fB6fn/NEQdOX/wPTHssw==" spinCount="100000" sheet="1" objects="1" scenarios="1"/>
  <mergeCells count="6">
    <mergeCell ref="M6:M7"/>
    <mergeCell ref="D13:M13"/>
    <mergeCell ref="D18:M18"/>
    <mergeCell ref="D14:F14"/>
    <mergeCell ref="D15:F15"/>
    <mergeCell ref="D16:F16"/>
  </mergeCells>
  <phoneticPr fontId="21" type="noConversion"/>
  <dataValidations count="3">
    <dataValidation type="list" allowBlank="1" showInputMessage="1" showErrorMessage="1" sqref="D14:F14" xr:uid="{00000000-0002-0000-0000-000000000000}">
      <formula1>$S$14:$T$14</formula1>
    </dataValidation>
    <dataValidation type="list" allowBlank="1" showInputMessage="1" showErrorMessage="1" sqref="D15:F15" xr:uid="{00000000-0002-0000-0000-000001000000}">
      <formula1>$S$15:$T$15</formula1>
    </dataValidation>
    <dataValidation type="list" allowBlank="1" showInputMessage="1" showErrorMessage="1" sqref="D16:F16" xr:uid="{00000000-0002-0000-0000-000002000000}">
      <formula1>$S$16:$T$16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X111"/>
  <sheetViews>
    <sheetView topLeftCell="A10" zoomScale="85" zoomScaleNormal="85" workbookViewId="0">
      <selection activeCell="F24" sqref="F24"/>
    </sheetView>
  </sheetViews>
  <sheetFormatPr baseColWidth="10" defaultColWidth="10.6640625" defaultRowHeight="23.1" customHeight="1"/>
  <cols>
    <col min="1" max="1" width="4.109375" style="41" bestFit="1" customWidth="1"/>
    <col min="2" max="2" width="3.109375" style="41" customWidth="1"/>
    <col min="3" max="3" width="9.5546875" style="41" customWidth="1"/>
    <col min="4" max="4" width="5.5546875" style="41" customWidth="1"/>
    <col min="5" max="5" width="69.88671875" style="41" customWidth="1"/>
    <col min="6" max="8" width="18.33203125" style="87" customWidth="1"/>
    <col min="9" max="9" width="3.33203125" style="41" customWidth="1"/>
    <col min="10" max="16384" width="10.6640625" style="41"/>
  </cols>
  <sheetData>
    <row r="1" spans="1:24" ht="23.1" customHeight="1">
      <c r="D1" s="43"/>
    </row>
    <row r="2" spans="1:24" ht="23.1" customHeight="1">
      <c r="D2" s="215" t="str">
        <f>_GENERAL!D2</f>
        <v>Área de Presidencia, Hacienda y Modernización</v>
      </c>
    </row>
    <row r="3" spans="1:24" ht="23.1" customHeight="1">
      <c r="D3" s="215" t="str">
        <f>_GENERAL!D3</f>
        <v>Dirección Insular de Hacienda</v>
      </c>
    </row>
    <row r="4" spans="1:24" ht="23.1" customHeight="1" thickBot="1">
      <c r="A4" s="41" t="s">
        <v>884</v>
      </c>
    </row>
    <row r="5" spans="1:24" ht="9" customHeight="1">
      <c r="B5" s="44"/>
      <c r="C5" s="45"/>
      <c r="D5" s="45"/>
      <c r="E5" s="45"/>
      <c r="F5" s="88"/>
      <c r="G5" s="88"/>
      <c r="H5" s="88"/>
      <c r="I5" s="46"/>
      <c r="K5" s="393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5"/>
    </row>
    <row r="6" spans="1:24" ht="30" customHeight="1">
      <c r="B6" s="47"/>
      <c r="C6" s="1" t="s">
        <v>0</v>
      </c>
      <c r="D6" s="43"/>
      <c r="E6" s="43"/>
      <c r="F6" s="89"/>
      <c r="G6" s="89"/>
      <c r="H6" s="1489">
        <f>ejercicio</f>
        <v>2021</v>
      </c>
      <c r="I6" s="49"/>
      <c r="K6" s="396"/>
      <c r="L6" s="397" t="s">
        <v>628</v>
      </c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</row>
    <row r="7" spans="1:24" ht="30" customHeight="1">
      <c r="B7" s="47"/>
      <c r="C7" s="1" t="s">
        <v>1</v>
      </c>
      <c r="D7" s="43"/>
      <c r="E7" s="43"/>
      <c r="F7" s="89"/>
      <c r="G7" s="89"/>
      <c r="H7" s="1489"/>
      <c r="I7" s="49"/>
      <c r="K7" s="396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</row>
    <row r="8" spans="1:24" ht="30" customHeight="1">
      <c r="B8" s="47"/>
      <c r="C8" s="48"/>
      <c r="D8" s="43"/>
      <c r="E8" s="43"/>
      <c r="F8" s="89"/>
      <c r="G8" s="89"/>
      <c r="H8" s="90"/>
      <c r="I8" s="49"/>
      <c r="K8" s="396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</row>
    <row r="9" spans="1:24" s="59" customFormat="1" ht="30" customHeight="1">
      <c r="B9" s="57"/>
      <c r="C9" s="38" t="s">
        <v>2</v>
      </c>
      <c r="D9" s="1505" t="str">
        <f>Entidad</f>
        <v>Spet, turismo de Tenerife s.a</v>
      </c>
      <c r="E9" s="1505"/>
      <c r="F9" s="1505"/>
      <c r="G9" s="1505"/>
      <c r="H9" s="1505"/>
      <c r="I9" s="58"/>
      <c r="K9" s="400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2"/>
    </row>
    <row r="10" spans="1:24" ht="6.95" customHeight="1">
      <c r="B10" s="47"/>
      <c r="C10" s="43"/>
      <c r="D10" s="43"/>
      <c r="E10" s="43"/>
      <c r="F10" s="89"/>
      <c r="G10" s="89"/>
      <c r="H10" s="89"/>
      <c r="I10" s="49"/>
      <c r="K10" s="396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</row>
    <row r="11" spans="1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03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5"/>
    </row>
    <row r="12" spans="1:24" s="61" customFormat="1" ht="30" customHeight="1">
      <c r="B12" s="23"/>
      <c r="C12" s="927" t="str">
        <f>IF(_GENERAL!D14&lt;&gt;"Normal","No aplica a empresas que presentan cuentas en modelo abreviado o PyMES","")</f>
        <v/>
      </c>
      <c r="D12" s="65"/>
      <c r="E12" s="65"/>
      <c r="F12" s="92"/>
      <c r="G12" s="92"/>
      <c r="H12" s="92"/>
      <c r="I12" s="60"/>
      <c r="K12" s="403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</row>
    <row r="13" spans="1:24" ht="23.1" customHeight="1">
      <c r="B13" s="47"/>
      <c r="C13" s="372"/>
      <c r="D13" s="373"/>
      <c r="E13" s="373"/>
      <c r="F13" s="381" t="s">
        <v>176</v>
      </c>
      <c r="G13" s="381" t="s">
        <v>177</v>
      </c>
      <c r="H13" s="381" t="s">
        <v>178</v>
      </c>
      <c r="I13" s="49"/>
      <c r="K13" s="396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</row>
    <row r="14" spans="1:24" ht="23.1" customHeight="1">
      <c r="B14" s="47"/>
      <c r="C14" s="379"/>
      <c r="D14" s="380"/>
      <c r="E14" s="380"/>
      <c r="F14" s="382">
        <f>ejercicio-2</f>
        <v>2019</v>
      </c>
      <c r="G14" s="382">
        <f>ejercicio-1</f>
        <v>2020</v>
      </c>
      <c r="H14" s="382">
        <f>ejercicio</f>
        <v>2021</v>
      </c>
      <c r="I14" s="49"/>
      <c r="K14" s="396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</row>
    <row r="15" spans="1:24" ht="23.1" customHeight="1">
      <c r="B15" s="47"/>
      <c r="C15" s="374" t="s">
        <v>315</v>
      </c>
      <c r="D15" s="85"/>
      <c r="E15" s="84"/>
      <c r="F15" s="383"/>
      <c r="G15" s="383"/>
      <c r="H15" s="383"/>
      <c r="I15" s="49"/>
      <c r="K15" s="396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9"/>
    </row>
    <row r="16" spans="1:24" ht="23.1" customHeight="1">
      <c r="B16" s="47"/>
      <c r="C16" s="375" t="s">
        <v>316</v>
      </c>
      <c r="D16" s="69"/>
      <c r="E16" s="68"/>
      <c r="F16" s="538">
        <f>'FC-3_CPyG'!E87</f>
        <v>-2201792.4199999995</v>
      </c>
      <c r="G16" s="538">
        <f>'FC-3_CPyG'!F87</f>
        <v>-2019110.0200000007</v>
      </c>
      <c r="H16" s="538">
        <f>'FC-3_CPyG'!G87</f>
        <v>-2019110.0199999989</v>
      </c>
      <c r="I16" s="49"/>
      <c r="K16" s="396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9"/>
    </row>
    <row r="17" spans="2:24" ht="23.1" customHeight="1">
      <c r="B17" s="47"/>
      <c r="C17" s="375" t="s">
        <v>317</v>
      </c>
      <c r="D17" s="69"/>
      <c r="E17" s="68"/>
      <c r="F17" s="384">
        <f>SUM(F18:F28)</f>
        <v>44889.820000000007</v>
      </c>
      <c r="G17" s="384">
        <f>SUM(G18:G28)</f>
        <v>40296.700000000004</v>
      </c>
      <c r="H17" s="384">
        <f>SUM(H18:H28)</f>
        <v>47664.800000000003</v>
      </c>
      <c r="I17" s="49"/>
      <c r="K17" s="396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2:24" ht="23.1" customHeight="1">
      <c r="B18" s="47"/>
      <c r="C18" s="376"/>
      <c r="D18" s="71" t="s">
        <v>318</v>
      </c>
      <c r="E18" s="71"/>
      <c r="F18" s="458">
        <v>50094.23</v>
      </c>
      <c r="G18" s="458">
        <v>45797.58</v>
      </c>
      <c r="H18" s="458">
        <v>53489.33</v>
      </c>
      <c r="I18" s="49"/>
      <c r="K18" s="1477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9"/>
    </row>
    <row r="19" spans="2:24" ht="23.1" customHeight="1">
      <c r="B19" s="47"/>
      <c r="C19" s="376"/>
      <c r="D19" s="71" t="s">
        <v>319</v>
      </c>
      <c r="E19" s="71"/>
      <c r="F19" s="458"/>
      <c r="G19" s="458"/>
      <c r="H19" s="458"/>
      <c r="I19" s="49"/>
      <c r="K19" s="396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9"/>
    </row>
    <row r="20" spans="2:24" ht="23.1" customHeight="1">
      <c r="B20" s="47"/>
      <c r="C20" s="376"/>
      <c r="D20" s="71" t="s">
        <v>320</v>
      </c>
      <c r="E20" s="71"/>
      <c r="F20" s="458"/>
      <c r="G20" s="458"/>
      <c r="H20" s="458"/>
      <c r="I20" s="49"/>
      <c r="K20" s="396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9"/>
    </row>
    <row r="21" spans="2:24" ht="23.1" customHeight="1">
      <c r="B21" s="47"/>
      <c r="C21" s="376"/>
      <c r="D21" s="71" t="s">
        <v>321</v>
      </c>
      <c r="E21" s="71"/>
      <c r="F21" s="458">
        <v>-5824.53</v>
      </c>
      <c r="G21" s="458">
        <v>-5824.53</v>
      </c>
      <c r="H21" s="458">
        <v>-5824.53</v>
      </c>
      <c r="I21" s="49"/>
      <c r="K21" s="1477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2:24" ht="23.1" customHeight="1">
      <c r="B22" s="47"/>
      <c r="C22" s="376"/>
      <c r="D22" s="71" t="s">
        <v>322</v>
      </c>
      <c r="E22" s="71"/>
      <c r="F22" s="458"/>
      <c r="G22" s="458"/>
      <c r="H22" s="458"/>
      <c r="I22" s="49"/>
      <c r="K22" s="396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9"/>
    </row>
    <row r="23" spans="2:24" ht="23.1" customHeight="1">
      <c r="B23" s="47"/>
      <c r="C23" s="376"/>
      <c r="D23" s="71" t="s">
        <v>323</v>
      </c>
      <c r="E23" s="71"/>
      <c r="F23" s="458"/>
      <c r="G23" s="458"/>
      <c r="H23" s="458"/>
      <c r="I23" s="49"/>
      <c r="K23" s="396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9"/>
    </row>
    <row r="24" spans="2:24" ht="23.1" customHeight="1">
      <c r="B24" s="47"/>
      <c r="C24" s="376"/>
      <c r="D24" s="71" t="s">
        <v>324</v>
      </c>
      <c r="E24" s="71"/>
      <c r="F24" s="458">
        <v>-86.76</v>
      </c>
      <c r="G24" s="458">
        <v>-3000</v>
      </c>
      <c r="H24" s="458">
        <v>-3000</v>
      </c>
      <c r="I24" s="49"/>
      <c r="K24" s="396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9"/>
    </row>
    <row r="25" spans="2:24" ht="23.1" customHeight="1">
      <c r="B25" s="47"/>
      <c r="C25" s="376"/>
      <c r="D25" s="71" t="s">
        <v>325</v>
      </c>
      <c r="E25" s="71"/>
      <c r="F25" s="458">
        <v>142.22999999999999</v>
      </c>
      <c r="G25" s="458">
        <v>3000</v>
      </c>
      <c r="H25" s="458">
        <v>3000</v>
      </c>
      <c r="I25" s="49"/>
      <c r="K25" s="396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2:24" ht="23.1" customHeight="1">
      <c r="B26" s="47"/>
      <c r="C26" s="376"/>
      <c r="D26" s="71" t="s">
        <v>326</v>
      </c>
      <c r="E26" s="71"/>
      <c r="F26" s="458">
        <v>564.65</v>
      </c>
      <c r="G26" s="458">
        <v>323.64999999999998</v>
      </c>
      <c r="H26" s="458">
        <v>0</v>
      </c>
      <c r="I26" s="49"/>
      <c r="K26" s="396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9"/>
    </row>
    <row r="27" spans="2:24" ht="23.1" customHeight="1">
      <c r="B27" s="47"/>
      <c r="C27" s="376"/>
      <c r="D27" s="71" t="s">
        <v>327</v>
      </c>
      <c r="E27" s="71"/>
      <c r="F27" s="458"/>
      <c r="G27" s="458"/>
      <c r="H27" s="458"/>
      <c r="I27" s="49"/>
      <c r="K27" s="396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9"/>
    </row>
    <row r="28" spans="2:24" ht="23.1" customHeight="1">
      <c r="B28" s="47"/>
      <c r="C28" s="376"/>
      <c r="D28" s="71" t="s">
        <v>328</v>
      </c>
      <c r="E28" s="71"/>
      <c r="F28" s="458"/>
      <c r="G28" s="458"/>
      <c r="H28" s="458"/>
      <c r="I28" s="49"/>
      <c r="K28" s="396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9"/>
    </row>
    <row r="29" spans="2:24" ht="23.1" customHeight="1">
      <c r="B29" s="47"/>
      <c r="C29" s="375" t="s">
        <v>329</v>
      </c>
      <c r="D29" s="69"/>
      <c r="E29" s="68"/>
      <c r="F29" s="384">
        <f>SUM(F30:F35)</f>
        <v>2433293.9699999997</v>
      </c>
      <c r="G29" s="384">
        <f>SUM(G30:G35)</f>
        <v>-3222806.4899999998</v>
      </c>
      <c r="H29" s="384">
        <f>SUM(H30:H35)</f>
        <v>1923330.6500000001</v>
      </c>
      <c r="I29" s="49"/>
      <c r="K29" s="396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9"/>
    </row>
    <row r="30" spans="2:24" ht="23.1" customHeight="1">
      <c r="B30" s="47"/>
      <c r="C30" s="376"/>
      <c r="D30" s="71" t="s">
        <v>330</v>
      </c>
      <c r="E30" s="71"/>
      <c r="F30" s="458">
        <v>3640.01</v>
      </c>
      <c r="G30" s="458">
        <v>-3640.01</v>
      </c>
      <c r="H30" s="458">
        <v>0</v>
      </c>
      <c r="I30" s="49"/>
      <c r="K30" s="396"/>
      <c r="L30" s="398"/>
      <c r="M30" s="398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8"/>
    </row>
    <row r="31" spans="2:24" ht="23.1" customHeight="1">
      <c r="B31" s="47"/>
      <c r="C31" s="376"/>
      <c r="D31" s="71" t="s">
        <v>331</v>
      </c>
      <c r="E31" s="71"/>
      <c r="F31" s="458">
        <v>1246732.26</v>
      </c>
      <c r="G31" s="458">
        <v>540551.36</v>
      </c>
      <c r="H31" s="458">
        <v>3513102.81</v>
      </c>
      <c r="I31" s="49"/>
      <c r="K31" s="396"/>
      <c r="L31" s="398"/>
      <c r="M31" s="398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8"/>
    </row>
    <row r="32" spans="2:24" ht="23.1" customHeight="1">
      <c r="B32" s="47"/>
      <c r="C32" s="376"/>
      <c r="D32" s="71" t="s">
        <v>332</v>
      </c>
      <c r="E32" s="71"/>
      <c r="F32" s="458">
        <v>-31267.21</v>
      </c>
      <c r="G32" s="458">
        <v>28400.81</v>
      </c>
      <c r="H32" s="458">
        <v>0</v>
      </c>
      <c r="I32" s="49"/>
      <c r="K32" s="396" t="s">
        <v>1229</v>
      </c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9"/>
    </row>
    <row r="33" spans="2:24" ht="23.1" customHeight="1">
      <c r="B33" s="47"/>
      <c r="C33" s="376"/>
      <c r="D33" s="71" t="s">
        <v>333</v>
      </c>
      <c r="E33" s="71"/>
      <c r="F33" s="458">
        <v>1214188.9099999999</v>
      </c>
      <c r="G33" s="458">
        <v>-3788118.65</v>
      </c>
      <c r="H33" s="458">
        <v>-1589772.16</v>
      </c>
      <c r="I33" s="49"/>
      <c r="K33" s="396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9"/>
    </row>
    <row r="34" spans="2:24" ht="23.1" customHeight="1">
      <c r="B34" s="47"/>
      <c r="C34" s="376"/>
      <c r="D34" s="71" t="s">
        <v>334</v>
      </c>
      <c r="E34" s="71"/>
      <c r="F34" s="458"/>
      <c r="G34" s="458"/>
      <c r="H34" s="458"/>
      <c r="I34" s="49"/>
      <c r="K34" s="396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9"/>
    </row>
    <row r="35" spans="2:24" ht="23.1" customHeight="1">
      <c r="B35" s="47"/>
      <c r="C35" s="376"/>
      <c r="D35" s="71" t="s">
        <v>335</v>
      </c>
      <c r="E35" s="71"/>
      <c r="F35" s="458"/>
      <c r="G35" s="458"/>
      <c r="H35" s="458"/>
      <c r="I35" s="49"/>
      <c r="K35" s="396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9"/>
    </row>
    <row r="36" spans="2:24" ht="23.1" customHeight="1">
      <c r="B36" s="47"/>
      <c r="C36" s="375" t="s">
        <v>336</v>
      </c>
      <c r="D36" s="69"/>
      <c r="E36" s="68"/>
      <c r="F36" s="384">
        <f>SUM(F37:F41)</f>
        <v>-2744.4399999999996</v>
      </c>
      <c r="G36" s="384">
        <f>SUM(G37:G41)</f>
        <v>0</v>
      </c>
      <c r="H36" s="384">
        <f>SUM(H37:H41)</f>
        <v>0</v>
      </c>
      <c r="I36" s="49"/>
      <c r="K36" s="409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1"/>
    </row>
    <row r="37" spans="2:24" ht="23.1" customHeight="1">
      <c r="B37" s="47"/>
      <c r="C37" s="376"/>
      <c r="D37" s="71" t="s">
        <v>337</v>
      </c>
      <c r="E37" s="71"/>
      <c r="F37" s="458">
        <v>-142.22999999999999</v>
      </c>
      <c r="G37" s="458">
        <v>-3000</v>
      </c>
      <c r="H37" s="458">
        <v>-3000</v>
      </c>
      <c r="I37" s="49"/>
      <c r="K37" s="409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1"/>
    </row>
    <row r="38" spans="2:24" ht="23.1" customHeight="1">
      <c r="B38" s="47"/>
      <c r="C38" s="376"/>
      <c r="D38" s="71" t="s">
        <v>338</v>
      </c>
      <c r="E38" s="71"/>
      <c r="F38" s="458"/>
      <c r="G38" s="458"/>
      <c r="H38" s="458"/>
      <c r="I38" s="49"/>
      <c r="K38" s="409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1"/>
    </row>
    <row r="39" spans="2:24" ht="23.1" customHeight="1">
      <c r="B39" s="47"/>
      <c r="C39" s="376"/>
      <c r="D39" s="71" t="s">
        <v>339</v>
      </c>
      <c r="E39" s="71"/>
      <c r="F39" s="458">
        <v>86.76</v>
      </c>
      <c r="G39" s="458">
        <v>3000</v>
      </c>
      <c r="H39" s="458">
        <v>3000</v>
      </c>
      <c r="I39" s="49"/>
      <c r="K39" s="409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1"/>
    </row>
    <row r="40" spans="2:24" ht="23.1" customHeight="1">
      <c r="B40" s="47"/>
      <c r="C40" s="376"/>
      <c r="D40" s="71" t="s">
        <v>340</v>
      </c>
      <c r="E40" s="71"/>
      <c r="F40" s="458">
        <v>-2688.97</v>
      </c>
      <c r="G40" s="458">
        <v>0</v>
      </c>
      <c r="H40" s="458">
        <v>0</v>
      </c>
      <c r="I40" s="49"/>
      <c r="K40" s="409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1"/>
    </row>
    <row r="41" spans="2:24" ht="23.1" customHeight="1">
      <c r="B41" s="47"/>
      <c r="C41" s="376"/>
      <c r="D41" s="71" t="s">
        <v>341</v>
      </c>
      <c r="E41" s="71"/>
      <c r="F41" s="458"/>
      <c r="G41" s="458"/>
      <c r="H41" s="458"/>
      <c r="I41" s="49"/>
      <c r="K41" s="409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1"/>
    </row>
    <row r="42" spans="2:24" ht="23.1" customHeight="1" thickBot="1">
      <c r="B42" s="47"/>
      <c r="C42" s="377" t="s">
        <v>342</v>
      </c>
      <c r="D42" s="82"/>
      <c r="E42" s="82"/>
      <c r="F42" s="386">
        <f>F16+F17+F29+F36</f>
        <v>273646.93000000011</v>
      </c>
      <c r="G42" s="386">
        <f>G16+G17+G29+G36</f>
        <v>-5201619.8100000005</v>
      </c>
      <c r="H42" s="386">
        <f>H16+H17+H29+H36</f>
        <v>-48114.569999998668</v>
      </c>
      <c r="I42" s="49"/>
      <c r="K42" s="409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1"/>
    </row>
    <row r="43" spans="2:24" ht="23.1" customHeight="1">
      <c r="B43" s="47"/>
      <c r="C43" s="376"/>
      <c r="D43" s="63"/>
      <c r="E43" s="63"/>
      <c r="F43" s="383"/>
      <c r="G43" s="383"/>
      <c r="H43" s="383"/>
      <c r="I43" s="49"/>
      <c r="K43" s="409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1"/>
    </row>
    <row r="44" spans="2:24" ht="23.1" customHeight="1">
      <c r="B44" s="47"/>
      <c r="C44" s="374" t="s">
        <v>343</v>
      </c>
      <c r="D44" s="85"/>
      <c r="E44" s="84"/>
      <c r="F44" s="383"/>
      <c r="G44" s="383"/>
      <c r="H44" s="383"/>
      <c r="I44" s="49"/>
      <c r="K44" s="409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1"/>
    </row>
    <row r="45" spans="2:24" ht="23.1" customHeight="1">
      <c r="B45" s="47"/>
      <c r="C45" s="375" t="s">
        <v>344</v>
      </c>
      <c r="D45" s="69"/>
      <c r="E45" s="68"/>
      <c r="F45" s="384">
        <f>SUM(F46:F53)</f>
        <v>-51600.770000000004</v>
      </c>
      <c r="G45" s="384">
        <f>SUM(G46:G53)</f>
        <v>-5318.08</v>
      </c>
      <c r="H45" s="384">
        <f>SUM(H46:H53)</f>
        <v>0</v>
      </c>
      <c r="I45" s="49"/>
      <c r="K45" s="409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1"/>
    </row>
    <row r="46" spans="2:24" ht="23.1" customHeight="1">
      <c r="B46" s="47"/>
      <c r="C46" s="376"/>
      <c r="D46" s="71" t="s">
        <v>345</v>
      </c>
      <c r="E46" s="71"/>
      <c r="F46" s="458"/>
      <c r="G46" s="458"/>
      <c r="H46" s="458"/>
      <c r="I46" s="49"/>
      <c r="K46" s="409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1"/>
    </row>
    <row r="47" spans="2:24" ht="23.1" customHeight="1">
      <c r="B47" s="47"/>
      <c r="C47" s="376"/>
      <c r="D47" s="71" t="s">
        <v>346</v>
      </c>
      <c r="E47" s="71"/>
      <c r="F47" s="458">
        <v>-28371.47</v>
      </c>
      <c r="G47" s="458">
        <v>-3397.5</v>
      </c>
      <c r="H47" s="458">
        <v>0</v>
      </c>
      <c r="I47" s="49"/>
      <c r="K47" s="409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1"/>
    </row>
    <row r="48" spans="2:24" ht="23.1" customHeight="1">
      <c r="B48" s="47"/>
      <c r="C48" s="376"/>
      <c r="D48" s="71" t="s">
        <v>347</v>
      </c>
      <c r="E48" s="71"/>
      <c r="F48" s="458">
        <v>-23229.3</v>
      </c>
      <c r="G48" s="458">
        <v>-1920.58</v>
      </c>
      <c r="H48" s="458">
        <v>0</v>
      </c>
      <c r="I48" s="49"/>
      <c r="K48" s="409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1"/>
    </row>
    <row r="49" spans="2:24" ht="23.1" customHeight="1">
      <c r="B49" s="47"/>
      <c r="C49" s="376"/>
      <c r="D49" s="71" t="s">
        <v>348</v>
      </c>
      <c r="E49" s="71"/>
      <c r="F49" s="458"/>
      <c r="G49" s="458"/>
      <c r="H49" s="458"/>
      <c r="I49" s="49"/>
      <c r="K49" s="409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1"/>
    </row>
    <row r="50" spans="2:24" ht="23.1" customHeight="1">
      <c r="B50" s="47"/>
      <c r="C50" s="376"/>
      <c r="D50" s="71" t="s">
        <v>349</v>
      </c>
      <c r="E50" s="71"/>
      <c r="F50" s="458"/>
      <c r="G50" s="458"/>
      <c r="H50" s="458"/>
      <c r="I50" s="49"/>
      <c r="K50" s="409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1"/>
    </row>
    <row r="51" spans="2:24" ht="23.1" customHeight="1">
      <c r="B51" s="47"/>
      <c r="C51" s="376"/>
      <c r="D51" s="71" t="s">
        <v>350</v>
      </c>
      <c r="E51" s="71"/>
      <c r="F51" s="458"/>
      <c r="G51" s="458"/>
      <c r="H51" s="458"/>
      <c r="I51" s="49"/>
      <c r="K51" s="409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1"/>
    </row>
    <row r="52" spans="2:24" s="74" customFormat="1" ht="23.1" customHeight="1">
      <c r="B52" s="23"/>
      <c r="C52" s="376"/>
      <c r="D52" s="71" t="s">
        <v>374</v>
      </c>
      <c r="E52" s="71"/>
      <c r="F52" s="458"/>
      <c r="G52" s="458"/>
      <c r="H52" s="458"/>
      <c r="I52" s="60"/>
      <c r="K52" s="409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1"/>
    </row>
    <row r="53" spans="2:24" ht="23.1" customHeight="1">
      <c r="B53" s="47"/>
      <c r="C53" s="376"/>
      <c r="D53" s="71" t="s">
        <v>375</v>
      </c>
      <c r="E53" s="71"/>
      <c r="F53" s="458"/>
      <c r="G53" s="458"/>
      <c r="H53" s="458"/>
      <c r="I53" s="49"/>
      <c r="K53" s="409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1"/>
    </row>
    <row r="54" spans="2:24" ht="23.1" customHeight="1">
      <c r="B54" s="47"/>
      <c r="C54" s="375" t="s">
        <v>351</v>
      </c>
      <c r="D54" s="69"/>
      <c r="E54" s="68"/>
      <c r="F54" s="384">
        <f>SUM(F55:F62)</f>
        <v>0</v>
      </c>
      <c r="G54" s="384">
        <f>SUM(G55:G62)</f>
        <v>0</v>
      </c>
      <c r="H54" s="384">
        <f>SUM(H55:H62)</f>
        <v>0</v>
      </c>
      <c r="I54" s="49"/>
      <c r="K54" s="409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1"/>
    </row>
    <row r="55" spans="2:24" ht="23.1" customHeight="1">
      <c r="B55" s="47"/>
      <c r="C55" s="376"/>
      <c r="D55" s="71" t="s">
        <v>345</v>
      </c>
      <c r="E55" s="71"/>
      <c r="F55" s="458"/>
      <c r="G55" s="458"/>
      <c r="H55" s="458"/>
      <c r="I55" s="49"/>
      <c r="K55" s="409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1"/>
    </row>
    <row r="56" spans="2:24" ht="23.1" customHeight="1">
      <c r="B56" s="47"/>
      <c r="C56" s="376"/>
      <c r="D56" s="71" t="s">
        <v>346</v>
      </c>
      <c r="E56" s="71"/>
      <c r="F56" s="458"/>
      <c r="G56" s="458"/>
      <c r="H56" s="458"/>
      <c r="I56" s="49"/>
      <c r="K56" s="409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1"/>
    </row>
    <row r="57" spans="2:24" ht="23.1" customHeight="1">
      <c r="B57" s="47"/>
      <c r="C57" s="376"/>
      <c r="D57" s="71" t="s">
        <v>347</v>
      </c>
      <c r="E57" s="71"/>
      <c r="F57" s="458"/>
      <c r="G57" s="458"/>
      <c r="H57" s="458"/>
      <c r="I57" s="49"/>
      <c r="K57" s="409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1"/>
    </row>
    <row r="58" spans="2:24" ht="23.1" customHeight="1">
      <c r="B58" s="47"/>
      <c r="C58" s="376"/>
      <c r="D58" s="71" t="s">
        <v>348</v>
      </c>
      <c r="E58" s="71"/>
      <c r="F58" s="458"/>
      <c r="G58" s="458"/>
      <c r="H58" s="458"/>
      <c r="I58" s="49"/>
      <c r="K58" s="409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1"/>
    </row>
    <row r="59" spans="2:24" ht="23.1" customHeight="1">
      <c r="B59" s="47"/>
      <c r="C59" s="376"/>
      <c r="D59" s="71" t="s">
        <v>349</v>
      </c>
      <c r="E59" s="71"/>
      <c r="F59" s="458"/>
      <c r="G59" s="458"/>
      <c r="H59" s="458"/>
      <c r="I59" s="49"/>
      <c r="K59" s="409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1"/>
    </row>
    <row r="60" spans="2:24" ht="23.1" customHeight="1">
      <c r="B60" s="47"/>
      <c r="C60" s="376"/>
      <c r="D60" s="71" t="s">
        <v>350</v>
      </c>
      <c r="E60" s="71"/>
      <c r="F60" s="458"/>
      <c r="G60" s="458"/>
      <c r="H60" s="458"/>
      <c r="I60" s="49"/>
      <c r="K60" s="409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1"/>
    </row>
    <row r="61" spans="2:24" ht="23.1" customHeight="1">
      <c r="B61" s="47"/>
      <c r="C61" s="376"/>
      <c r="D61" s="71" t="s">
        <v>374</v>
      </c>
      <c r="E61" s="71"/>
      <c r="F61" s="458"/>
      <c r="G61" s="458"/>
      <c r="H61" s="458"/>
      <c r="I61" s="49"/>
      <c r="K61" s="409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1"/>
    </row>
    <row r="62" spans="2:24" ht="23.1" customHeight="1">
      <c r="B62" s="47"/>
      <c r="C62" s="376"/>
      <c r="D62" s="71" t="s">
        <v>375</v>
      </c>
      <c r="E62" s="71"/>
      <c r="F62" s="458"/>
      <c r="G62" s="458"/>
      <c r="H62" s="458"/>
      <c r="I62" s="49"/>
      <c r="K62" s="409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1"/>
    </row>
    <row r="63" spans="2:24" ht="23.1" customHeight="1" thickBot="1">
      <c r="B63" s="47"/>
      <c r="C63" s="377" t="s">
        <v>352</v>
      </c>
      <c r="D63" s="82"/>
      <c r="E63" s="82"/>
      <c r="F63" s="386">
        <f>F45+F54</f>
        <v>-51600.770000000004</v>
      </c>
      <c r="G63" s="386">
        <f>G45+G54</f>
        <v>-5318.08</v>
      </c>
      <c r="H63" s="386">
        <f>H45+H54</f>
        <v>0</v>
      </c>
      <c r="I63" s="49"/>
      <c r="K63" s="409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1"/>
    </row>
    <row r="64" spans="2:24" ht="23.1" customHeight="1">
      <c r="B64" s="47"/>
      <c r="C64" s="376"/>
      <c r="D64" s="63"/>
      <c r="E64" s="63"/>
      <c r="F64" s="383"/>
      <c r="G64" s="383"/>
      <c r="H64" s="383"/>
      <c r="I64" s="49"/>
      <c r="K64" s="409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1"/>
    </row>
    <row r="65" spans="2:24" ht="23.1" customHeight="1">
      <c r="B65" s="47"/>
      <c r="C65" s="374" t="s">
        <v>353</v>
      </c>
      <c r="D65" s="85"/>
      <c r="E65" s="84"/>
      <c r="F65" s="383"/>
      <c r="G65" s="383"/>
      <c r="H65" s="383"/>
      <c r="I65" s="49"/>
      <c r="K65" s="409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1"/>
    </row>
    <row r="66" spans="2:24" ht="23.1" customHeight="1">
      <c r="B66" s="47"/>
      <c r="C66" s="375" t="s">
        <v>354</v>
      </c>
      <c r="D66" s="69"/>
      <c r="E66" s="68"/>
      <c r="F66" s="384">
        <f>SUM(F67:F71)</f>
        <v>2212967.65</v>
      </c>
      <c r="G66" s="384">
        <f>SUM(G67:G71)</f>
        <v>2020566.15</v>
      </c>
      <c r="H66" s="384">
        <f>SUM(H67:H71)</f>
        <v>2019110.02</v>
      </c>
      <c r="I66" s="49"/>
      <c r="K66" s="409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1"/>
    </row>
    <row r="67" spans="2:24" ht="23.1" customHeight="1">
      <c r="B67" s="47"/>
      <c r="C67" s="376"/>
      <c r="D67" s="71" t="s">
        <v>355</v>
      </c>
      <c r="E67" s="71"/>
      <c r="F67" s="458">
        <v>2211511.52</v>
      </c>
      <c r="G67" s="458">
        <v>2019110.02</v>
      </c>
      <c r="H67" s="458">
        <v>2019110.02</v>
      </c>
      <c r="I67" s="49"/>
      <c r="K67" s="409" t="s">
        <v>933</v>
      </c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1"/>
    </row>
    <row r="68" spans="2:24" ht="23.1" customHeight="1">
      <c r="B68" s="47"/>
      <c r="C68" s="376"/>
      <c r="D68" s="71" t="s">
        <v>356</v>
      </c>
      <c r="E68" s="71"/>
      <c r="F68" s="458"/>
      <c r="G68" s="458"/>
      <c r="H68" s="458"/>
      <c r="I68" s="49"/>
      <c r="K68" s="409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1"/>
    </row>
    <row r="69" spans="2:24" ht="23.1" customHeight="1">
      <c r="B69" s="47"/>
      <c r="C69" s="376"/>
      <c r="D69" s="539" t="s">
        <v>646</v>
      </c>
      <c r="E69" s="71"/>
      <c r="F69" s="458"/>
      <c r="G69" s="458"/>
      <c r="H69" s="458"/>
      <c r="I69" s="49"/>
      <c r="K69" s="409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1"/>
    </row>
    <row r="70" spans="2:24" ht="23.1" customHeight="1">
      <c r="B70" s="47"/>
      <c r="C70" s="376"/>
      <c r="D70" s="71" t="s">
        <v>357</v>
      </c>
      <c r="E70" s="71"/>
      <c r="F70" s="458"/>
      <c r="G70" s="458"/>
      <c r="H70" s="458"/>
      <c r="I70" s="49"/>
      <c r="K70" s="409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1"/>
    </row>
    <row r="71" spans="2:24" ht="23.1" customHeight="1">
      <c r="B71" s="47"/>
      <c r="C71" s="376"/>
      <c r="D71" s="71" t="s">
        <v>358</v>
      </c>
      <c r="E71" s="71"/>
      <c r="F71" s="458">
        <v>1456.13</v>
      </c>
      <c r="G71" s="458">
        <v>1456.13</v>
      </c>
      <c r="H71" s="458">
        <v>0</v>
      </c>
      <c r="I71" s="49"/>
      <c r="K71" s="409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1"/>
    </row>
    <row r="72" spans="2:24" ht="23.1" customHeight="1">
      <c r="B72" s="47"/>
      <c r="C72" s="375" t="s">
        <v>359</v>
      </c>
      <c r="D72" s="69"/>
      <c r="E72" s="68"/>
      <c r="F72" s="384">
        <f>+F73+F79</f>
        <v>-3865.75</v>
      </c>
      <c r="G72" s="384">
        <f>+G73+G79</f>
        <v>-197.73</v>
      </c>
      <c r="H72" s="384">
        <f>+H73+H79</f>
        <v>0</v>
      </c>
      <c r="I72" s="49"/>
      <c r="K72" s="409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1"/>
    </row>
    <row r="73" spans="2:24" ht="23.1" customHeight="1">
      <c r="B73" s="47"/>
      <c r="C73" s="376"/>
      <c r="D73" s="71" t="s">
        <v>360</v>
      </c>
      <c r="E73" s="71"/>
      <c r="F73" s="385">
        <f>SUM(F74:F78)</f>
        <v>9293.5300000000007</v>
      </c>
      <c r="G73" s="385">
        <f>SUM(G74:G78)</f>
        <v>0</v>
      </c>
      <c r="H73" s="385">
        <f>SUM(H74:H78)</f>
        <v>0</v>
      </c>
      <c r="I73" s="49"/>
      <c r="K73" s="409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1"/>
    </row>
    <row r="74" spans="2:24" ht="23.1" customHeight="1">
      <c r="B74" s="47"/>
      <c r="C74" s="378"/>
      <c r="D74" s="86"/>
      <c r="E74" s="86" t="s">
        <v>361</v>
      </c>
      <c r="F74" s="459"/>
      <c r="G74" s="459"/>
      <c r="H74" s="459"/>
      <c r="I74" s="49"/>
      <c r="K74" s="409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1"/>
    </row>
    <row r="75" spans="2:24" ht="23.1" customHeight="1">
      <c r="B75" s="47"/>
      <c r="C75" s="378"/>
      <c r="D75" s="86"/>
      <c r="E75" s="86" t="s">
        <v>362</v>
      </c>
      <c r="F75" s="459"/>
      <c r="G75" s="459"/>
      <c r="H75" s="459"/>
      <c r="I75" s="49"/>
      <c r="K75" s="409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1"/>
    </row>
    <row r="76" spans="2:24" ht="23.1" customHeight="1">
      <c r="B76" s="47"/>
      <c r="C76" s="378"/>
      <c r="D76" s="86"/>
      <c r="E76" s="86" t="s">
        <v>363</v>
      </c>
      <c r="F76" s="459"/>
      <c r="G76" s="459"/>
      <c r="H76" s="459"/>
      <c r="I76" s="49"/>
      <c r="K76" s="409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1"/>
    </row>
    <row r="77" spans="2:24" ht="23.1" customHeight="1">
      <c r="B77" s="47"/>
      <c r="C77" s="378"/>
      <c r="D77" s="86"/>
      <c r="E77" s="86" t="s">
        <v>364</v>
      </c>
      <c r="F77" s="459"/>
      <c r="G77" s="459"/>
      <c r="H77" s="459"/>
      <c r="I77" s="49"/>
      <c r="K77" s="409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1"/>
    </row>
    <row r="78" spans="2:24" ht="23.1" customHeight="1">
      <c r="B78" s="47"/>
      <c r="C78" s="378"/>
      <c r="D78" s="86"/>
      <c r="E78" s="86" t="s">
        <v>365</v>
      </c>
      <c r="F78" s="459">
        <v>9293.5300000000007</v>
      </c>
      <c r="G78" s="459">
        <v>0</v>
      </c>
      <c r="H78" s="459">
        <v>0</v>
      </c>
      <c r="I78" s="49"/>
      <c r="K78" s="409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1"/>
    </row>
    <row r="79" spans="2:24" ht="23.1" customHeight="1">
      <c r="B79" s="47"/>
      <c r="C79" s="376"/>
      <c r="D79" s="72" t="s">
        <v>366</v>
      </c>
      <c r="E79" s="72"/>
      <c r="F79" s="387">
        <f>SUM(F80:F84)</f>
        <v>-13159.28</v>
      </c>
      <c r="G79" s="387">
        <f>SUM(G80:G84)</f>
        <v>-197.73</v>
      </c>
      <c r="H79" s="387">
        <f>SUM(H80:H84)</f>
        <v>0</v>
      </c>
      <c r="I79" s="49"/>
      <c r="K79" s="409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1"/>
    </row>
    <row r="80" spans="2:24" ht="23.1" customHeight="1">
      <c r="B80" s="47"/>
      <c r="C80" s="378"/>
      <c r="D80" s="86"/>
      <c r="E80" s="86" t="s">
        <v>641</v>
      </c>
      <c r="F80" s="459"/>
      <c r="G80" s="459"/>
      <c r="H80" s="459"/>
      <c r="I80" s="49"/>
      <c r="K80" s="409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1"/>
    </row>
    <row r="81" spans="2:24" ht="23.1" customHeight="1">
      <c r="B81" s="47"/>
      <c r="C81" s="378"/>
      <c r="D81" s="86"/>
      <c r="E81" s="86" t="s">
        <v>642</v>
      </c>
      <c r="F81" s="459">
        <v>-13159.28</v>
      </c>
      <c r="G81" s="459">
        <v>-197.73</v>
      </c>
      <c r="H81" s="459">
        <v>0</v>
      </c>
      <c r="I81" s="49"/>
      <c r="K81" s="409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1"/>
    </row>
    <row r="82" spans="2:24" ht="23.1" customHeight="1">
      <c r="B82" s="47"/>
      <c r="C82" s="378"/>
      <c r="D82" s="86"/>
      <c r="E82" s="86" t="s">
        <v>643</v>
      </c>
      <c r="F82" s="459"/>
      <c r="G82" s="459"/>
      <c r="H82" s="459"/>
      <c r="I82" s="49"/>
      <c r="K82" s="409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1"/>
    </row>
    <row r="83" spans="2:24" ht="23.1" customHeight="1">
      <c r="B83" s="47"/>
      <c r="C83" s="378"/>
      <c r="D83" s="86"/>
      <c r="E83" s="86" t="s">
        <v>644</v>
      </c>
      <c r="F83" s="459"/>
      <c r="G83" s="459"/>
      <c r="H83" s="459"/>
      <c r="I83" s="49"/>
      <c r="K83" s="409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1"/>
    </row>
    <row r="84" spans="2:24" ht="23.1" customHeight="1">
      <c r="B84" s="47"/>
      <c r="C84" s="378"/>
      <c r="D84" s="86"/>
      <c r="E84" s="86" t="s">
        <v>645</v>
      </c>
      <c r="F84" s="459"/>
      <c r="G84" s="459"/>
      <c r="H84" s="459"/>
      <c r="I84" s="49"/>
      <c r="K84" s="409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1"/>
    </row>
    <row r="85" spans="2:24" ht="23.1" customHeight="1">
      <c r="B85" s="47"/>
      <c r="C85" s="375" t="s">
        <v>367</v>
      </c>
      <c r="D85" s="69"/>
      <c r="E85" s="68"/>
      <c r="F85" s="384">
        <f>+SUM(F86:F87)</f>
        <v>0</v>
      </c>
      <c r="G85" s="384">
        <f>+SUM(G86:G87)</f>
        <v>0</v>
      </c>
      <c r="H85" s="384">
        <f>+SUM(H86:H87)</f>
        <v>0</v>
      </c>
      <c r="I85" s="49"/>
      <c r="K85" s="409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1"/>
    </row>
    <row r="86" spans="2:24" ht="23.1" customHeight="1">
      <c r="B86" s="47"/>
      <c r="C86" s="376"/>
      <c r="D86" s="71" t="s">
        <v>368</v>
      </c>
      <c r="E86" s="71"/>
      <c r="F86" s="458"/>
      <c r="G86" s="458"/>
      <c r="H86" s="458"/>
      <c r="I86" s="49"/>
      <c r="K86" s="409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1"/>
    </row>
    <row r="87" spans="2:24" ht="23.1" customHeight="1">
      <c r="B87" s="47"/>
      <c r="C87" s="376"/>
      <c r="D87" s="71" t="s">
        <v>369</v>
      </c>
      <c r="E87" s="71"/>
      <c r="F87" s="458"/>
      <c r="G87" s="458"/>
      <c r="H87" s="458"/>
      <c r="I87" s="49"/>
      <c r="K87" s="409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1"/>
    </row>
    <row r="88" spans="2:24" ht="23.1" customHeight="1" thickBot="1">
      <c r="B88" s="47"/>
      <c r="C88" s="377" t="s">
        <v>372</v>
      </c>
      <c r="D88" s="82"/>
      <c r="E88" s="82"/>
      <c r="F88" s="386">
        <f>+F66+F72+F85</f>
        <v>2209101.9</v>
      </c>
      <c r="G88" s="386">
        <f>+G66+G72+G85</f>
        <v>2020368.42</v>
      </c>
      <c r="H88" s="386">
        <f>+H66+H72+H85</f>
        <v>2019110.02</v>
      </c>
      <c r="I88" s="49"/>
      <c r="K88" s="409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1"/>
    </row>
    <row r="89" spans="2:24" ht="23.1" customHeight="1">
      <c r="B89" s="47"/>
      <c r="C89" s="376"/>
      <c r="D89" s="63"/>
      <c r="E89" s="63"/>
      <c r="F89" s="383"/>
      <c r="G89" s="383"/>
      <c r="H89" s="383"/>
      <c r="I89" s="49"/>
      <c r="K89" s="409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1"/>
    </row>
    <row r="90" spans="2:24" ht="23.1" customHeight="1" thickBot="1">
      <c r="B90" s="47"/>
      <c r="C90" s="377" t="s">
        <v>370</v>
      </c>
      <c r="D90" s="82"/>
      <c r="E90" s="82"/>
      <c r="F90" s="386">
        <v>0</v>
      </c>
      <c r="G90" s="386">
        <v>0</v>
      </c>
      <c r="H90" s="386">
        <v>0</v>
      </c>
      <c r="I90" s="49"/>
      <c r="K90" s="409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1"/>
    </row>
    <row r="91" spans="2:24" ht="23.1" customHeight="1">
      <c r="B91" s="47"/>
      <c r="C91" s="376"/>
      <c r="D91" s="63"/>
      <c r="E91" s="63"/>
      <c r="F91" s="383"/>
      <c r="G91" s="383"/>
      <c r="H91" s="383"/>
      <c r="I91" s="49"/>
      <c r="K91" s="409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1"/>
    </row>
    <row r="92" spans="2:24" ht="23.1" customHeight="1" thickBot="1">
      <c r="B92" s="47"/>
      <c r="C92" s="377" t="s">
        <v>373</v>
      </c>
      <c r="D92" s="82"/>
      <c r="E92" s="82"/>
      <c r="F92" s="386">
        <f>+F42+F63+F88+F90</f>
        <v>2431148.06</v>
      </c>
      <c r="G92" s="386">
        <f>+G42+G63+G88+G90</f>
        <v>-3186569.4700000007</v>
      </c>
      <c r="H92" s="386">
        <f>+H42+H63+H88+H90</f>
        <v>1970995.4500000014</v>
      </c>
      <c r="I92" s="49"/>
      <c r="K92" s="409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1"/>
    </row>
    <row r="93" spans="2:24" ht="23.1" customHeight="1">
      <c r="B93" s="47"/>
      <c r="C93" s="59"/>
      <c r="D93" s="59"/>
      <c r="E93" s="59"/>
      <c r="F93" s="59"/>
      <c r="G93" s="59"/>
      <c r="H93" s="59"/>
      <c r="I93" s="49"/>
      <c r="K93" s="409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1"/>
    </row>
    <row r="94" spans="2:24" ht="23.1" customHeight="1" thickBot="1">
      <c r="B94" s="47"/>
      <c r="C94" s="388" t="s">
        <v>719</v>
      </c>
      <c r="D94" s="389"/>
      <c r="E94" s="389"/>
      <c r="F94" s="460">
        <v>3018287.34</v>
      </c>
      <c r="G94" s="390">
        <f>+F95</f>
        <v>5449435.4000000004</v>
      </c>
      <c r="H94" s="390">
        <f>+G95</f>
        <v>2262865.9300000002</v>
      </c>
      <c r="I94" s="49"/>
      <c r="K94" s="1203"/>
      <c r="L94" s="1204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1"/>
    </row>
    <row r="95" spans="2:24" ht="23.1" customHeight="1" thickBot="1">
      <c r="B95" s="47"/>
      <c r="C95" s="377" t="s">
        <v>371</v>
      </c>
      <c r="D95" s="82"/>
      <c r="E95" s="82"/>
      <c r="F95" s="386">
        <f>'FC-4_ACTIVO'!E90</f>
        <v>5449435.4000000004</v>
      </c>
      <c r="G95" s="386">
        <f>+'FC-4_ACTIVO'!F90</f>
        <v>2262865.9300000002</v>
      </c>
      <c r="H95" s="386">
        <f>+'FC-4_ACTIVO'!G90</f>
        <v>4233861.38</v>
      </c>
      <c r="I95" s="49"/>
      <c r="K95" s="1203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1"/>
    </row>
    <row r="96" spans="2:24" ht="23.1" customHeight="1">
      <c r="B96" s="47"/>
      <c r="C96" s="802"/>
      <c r="D96" s="803"/>
      <c r="E96" s="803"/>
      <c r="F96" s="804"/>
      <c r="G96" s="804"/>
      <c r="H96" s="804"/>
      <c r="I96" s="49"/>
      <c r="K96" s="409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1"/>
    </row>
    <row r="97" spans="2:24" ht="23.1" customHeight="1">
      <c r="B97" s="47"/>
      <c r="C97" s="106" t="s">
        <v>680</v>
      </c>
      <c r="D97" s="803"/>
      <c r="E97" s="803"/>
      <c r="F97" s="804"/>
      <c r="G97" s="804"/>
      <c r="H97" s="804"/>
      <c r="I97" s="49"/>
      <c r="K97" s="409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1"/>
    </row>
    <row r="98" spans="2:24" ht="23.1" customHeight="1">
      <c r="B98" s="47"/>
      <c r="C98" s="805" t="s">
        <v>720</v>
      </c>
      <c r="D98" s="803"/>
      <c r="E98" s="803"/>
      <c r="F98" s="804"/>
      <c r="G98" s="804"/>
      <c r="H98" s="804"/>
      <c r="I98" s="49"/>
      <c r="K98" s="1203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1"/>
    </row>
    <row r="99" spans="2:24" ht="23.1" customHeight="1">
      <c r="B99" s="47"/>
      <c r="C99" s="802"/>
      <c r="D99" s="803"/>
      <c r="E99" s="803"/>
      <c r="F99" s="804"/>
      <c r="G99" s="804"/>
      <c r="H99" s="804"/>
      <c r="I99" s="49"/>
      <c r="K99" s="1203">
        <f>(G95-G94)</f>
        <v>-3186569.47</v>
      </c>
      <c r="L99" s="1204">
        <f>(G92-K99)</f>
        <v>-4.6566128730773926E-10</v>
      </c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1"/>
    </row>
    <row r="100" spans="2:24" ht="23.1" customHeight="1" thickBot="1">
      <c r="B100" s="51"/>
      <c r="C100" s="1504"/>
      <c r="D100" s="1504"/>
      <c r="E100" s="1504"/>
      <c r="F100" s="1504"/>
      <c r="G100" s="1504"/>
      <c r="H100" s="93"/>
      <c r="I100" s="54"/>
      <c r="K100" s="1479">
        <f>(H95-H94)</f>
        <v>1970995.4499999997</v>
      </c>
      <c r="L100" s="1480">
        <f>(H92-K100)</f>
        <v>1.6298145055770874E-9</v>
      </c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4"/>
    </row>
    <row r="101" spans="2:24" ht="23.1" customHeight="1">
      <c r="C101" s="43"/>
      <c r="D101" s="43"/>
      <c r="E101" s="43"/>
      <c r="F101" s="89"/>
      <c r="G101" s="89"/>
      <c r="H101" s="89"/>
      <c r="J101" s="41" t="s">
        <v>885</v>
      </c>
    </row>
    <row r="102" spans="2:24" ht="12.75">
      <c r="C102" s="36" t="s">
        <v>70</v>
      </c>
      <c r="D102" s="43"/>
      <c r="E102" s="43"/>
      <c r="F102" s="89"/>
      <c r="G102" s="89"/>
      <c r="H102" s="94" t="s">
        <v>43</v>
      </c>
    </row>
    <row r="103" spans="2:24" ht="12.75">
      <c r="C103" s="37" t="s">
        <v>71</v>
      </c>
      <c r="D103" s="43"/>
      <c r="E103" s="43"/>
      <c r="F103" s="89"/>
      <c r="G103" s="89"/>
      <c r="H103" s="89"/>
    </row>
    <row r="104" spans="2:24" ht="12.75">
      <c r="C104" s="37" t="s">
        <v>72</v>
      </c>
      <c r="D104" s="43"/>
      <c r="E104" s="43"/>
      <c r="F104" s="89"/>
      <c r="G104" s="89"/>
      <c r="H104" s="89"/>
    </row>
    <row r="105" spans="2:24" ht="12.75">
      <c r="C105" s="37" t="s">
        <v>73</v>
      </c>
      <c r="D105" s="43"/>
      <c r="E105" s="43"/>
      <c r="F105" s="89"/>
      <c r="G105" s="89"/>
      <c r="H105" s="89"/>
    </row>
    <row r="106" spans="2:24" ht="12.75">
      <c r="C106" s="37" t="s">
        <v>74</v>
      </c>
      <c r="D106" s="43"/>
      <c r="E106" s="43"/>
      <c r="F106" s="89"/>
      <c r="G106" s="89"/>
      <c r="H106" s="89"/>
    </row>
    <row r="107" spans="2:24" ht="23.1" customHeight="1">
      <c r="C107" s="43"/>
      <c r="D107" s="43"/>
      <c r="E107" s="43"/>
      <c r="F107" s="89"/>
      <c r="G107" s="89"/>
      <c r="H107" s="89"/>
    </row>
    <row r="108" spans="2:24" ht="23.1" customHeight="1">
      <c r="C108" s="43"/>
      <c r="D108" s="43"/>
      <c r="E108" s="43"/>
      <c r="F108" s="89"/>
      <c r="G108" s="89"/>
      <c r="H108" s="89"/>
    </row>
    <row r="109" spans="2:24" ht="23.1" customHeight="1">
      <c r="C109" s="43"/>
      <c r="D109" s="43"/>
      <c r="E109" s="43"/>
      <c r="F109" s="89"/>
      <c r="G109" s="89"/>
      <c r="H109" s="89"/>
    </row>
    <row r="110" spans="2:24" ht="23.1" customHeight="1">
      <c r="C110" s="43"/>
      <c r="D110" s="43"/>
      <c r="E110" s="43"/>
      <c r="F110" s="89"/>
      <c r="G110" s="89"/>
      <c r="H110" s="89"/>
    </row>
    <row r="111" spans="2:24" ht="23.1" customHeight="1">
      <c r="G111" s="89"/>
      <c r="H111" s="89"/>
    </row>
  </sheetData>
  <sheetProtection algorithmName="SHA-512" hashValue="DbEasDP2DqumFWLQkkq7sW7A6tF/kCFOUSkUJ1dY9JyNvslQkVkgFHgIVFuMo452qOzml3/Kei3U0MhHWEcf9g==" saltValue="DCI6zx0Y0+PWrEVC6gVQlA==" spinCount="100000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2:AH66"/>
  <sheetViews>
    <sheetView zoomScale="61" zoomScaleNormal="70" workbookViewId="0">
      <selection activeCell="G52" sqref="G52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5546875" style="96" customWidth="1"/>
    <col min="4" max="4" width="42.6640625" style="96" customWidth="1"/>
    <col min="5" max="5" width="12.6640625" style="97" customWidth="1"/>
    <col min="6" max="6" width="17.109375" style="97" customWidth="1"/>
    <col min="7" max="8" width="15.6640625" style="97" customWidth="1"/>
    <col min="9" max="18" width="12.6640625" style="97" customWidth="1"/>
    <col min="19" max="19" width="3.33203125" style="96" customWidth="1"/>
    <col min="20" max="16384" width="10.6640625" style="96"/>
  </cols>
  <sheetData>
    <row r="2" spans="1:34" ht="23.1" customHeight="1">
      <c r="D2" s="298" t="str">
        <f>_GENERAL!D2</f>
        <v>Área de Presidencia, Hacienda y Modernización</v>
      </c>
    </row>
    <row r="3" spans="1:34" ht="23.1" customHeight="1">
      <c r="D3" s="298" t="str">
        <f>_GENERAL!D3</f>
        <v>Dirección Insular de Hacienda</v>
      </c>
    </row>
    <row r="4" spans="1:34" ht="23.1" customHeight="1" thickBot="1">
      <c r="A4" s="96" t="s">
        <v>884</v>
      </c>
    </row>
    <row r="5" spans="1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393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5"/>
    </row>
    <row r="6" spans="1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489">
        <f>ejercicio</f>
        <v>2021</v>
      </c>
      <c r="S6" s="105"/>
      <c r="U6" s="396"/>
      <c r="V6" s="397" t="s">
        <v>628</v>
      </c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9"/>
    </row>
    <row r="7" spans="1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489"/>
      <c r="S7" s="105"/>
      <c r="U7" s="396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9"/>
    </row>
    <row r="8" spans="1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396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9"/>
    </row>
    <row r="9" spans="1:34" s="64" customFormat="1" ht="30" customHeight="1">
      <c r="B9" s="108"/>
      <c r="C9" s="39" t="s">
        <v>2</v>
      </c>
      <c r="D9" s="1505" t="str">
        <f>Entidad</f>
        <v>Spet, turismo de Tenerife s.a</v>
      </c>
      <c r="E9" s="1505"/>
      <c r="F9" s="1505"/>
      <c r="G9" s="1505"/>
      <c r="H9" s="1505"/>
      <c r="I9" s="1505"/>
      <c r="J9" s="1505"/>
      <c r="K9" s="1505"/>
      <c r="L9" s="1505"/>
      <c r="M9" s="1505"/>
      <c r="N9" s="1505"/>
      <c r="O9" s="1505"/>
      <c r="P9" s="1505"/>
      <c r="Q9" s="1505"/>
      <c r="R9" s="1505"/>
      <c r="S9" s="109"/>
      <c r="U9" s="400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2"/>
    </row>
    <row r="10" spans="1:34" ht="6.9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396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9"/>
    </row>
    <row r="11" spans="1:34" s="114" customFormat="1" ht="30" customHeight="1">
      <c r="B11" s="110"/>
      <c r="C11" s="111" t="s">
        <v>684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03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5"/>
    </row>
    <row r="12" spans="1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03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5"/>
    </row>
    <row r="13" spans="1:34" s="118" customFormat="1" ht="18.95" customHeight="1">
      <c r="B13" s="116"/>
      <c r="C13" s="360"/>
      <c r="D13" s="360"/>
      <c r="E13" s="360"/>
      <c r="F13" s="360"/>
      <c r="G13" s="360"/>
      <c r="H13" s="361" t="s">
        <v>380</v>
      </c>
      <c r="I13" s="1555" t="s">
        <v>689</v>
      </c>
      <c r="J13" s="1556"/>
      <c r="K13" s="1556"/>
      <c r="L13" s="1556"/>
      <c r="M13" s="1557"/>
      <c r="N13" s="362"/>
      <c r="O13" s="363"/>
      <c r="P13" s="364" t="s">
        <v>383</v>
      </c>
      <c r="Q13" s="365">
        <f>ejercicio-1</f>
        <v>2020</v>
      </c>
      <c r="R13" s="769" t="s">
        <v>690</v>
      </c>
      <c r="S13" s="117"/>
      <c r="U13" s="396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9"/>
    </row>
    <row r="14" spans="1:34" s="119" customFormat="1" ht="18.95" customHeight="1">
      <c r="B14" s="116"/>
      <c r="C14" s="366"/>
      <c r="D14" s="366"/>
      <c r="E14" s="366"/>
      <c r="F14" s="366"/>
      <c r="G14" s="366"/>
      <c r="H14" s="367" t="s">
        <v>381</v>
      </c>
      <c r="I14" s="368"/>
      <c r="J14" s="369"/>
      <c r="K14" s="369"/>
      <c r="L14" s="369"/>
      <c r="M14" s="370"/>
      <c r="N14" s="368"/>
      <c r="O14" s="369"/>
      <c r="P14" s="369"/>
      <c r="Q14" s="369"/>
      <c r="R14" s="370"/>
      <c r="S14" s="117"/>
      <c r="U14" s="396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9"/>
    </row>
    <row r="15" spans="1:34" s="119" customFormat="1" ht="18.95" customHeight="1">
      <c r="B15" s="116"/>
      <c r="C15" s="371" t="s">
        <v>376</v>
      </c>
      <c r="D15" s="371" t="s">
        <v>377</v>
      </c>
      <c r="E15" s="371" t="s">
        <v>378</v>
      </c>
      <c r="F15" s="371" t="s">
        <v>379</v>
      </c>
      <c r="G15" s="371" t="s">
        <v>685</v>
      </c>
      <c r="H15" s="371">
        <f>ejercicio-1</f>
        <v>2020</v>
      </c>
      <c r="I15" s="371">
        <f>+ejercicio</f>
        <v>2021</v>
      </c>
      <c r="J15" s="371">
        <f>ejercicio+1</f>
        <v>2022</v>
      </c>
      <c r="K15" s="371">
        <f>ejercicio+2</f>
        <v>2023</v>
      </c>
      <c r="L15" s="371">
        <f>ejercicio+3</f>
        <v>2024</v>
      </c>
      <c r="M15" s="371" t="s">
        <v>382</v>
      </c>
      <c r="N15" s="371">
        <f>+ejercicio</f>
        <v>2021</v>
      </c>
      <c r="O15" s="371">
        <f>ejercicio+1</f>
        <v>2022</v>
      </c>
      <c r="P15" s="371">
        <f>ejercicio+2</f>
        <v>2023</v>
      </c>
      <c r="Q15" s="371">
        <f>ejercicio+3</f>
        <v>2024</v>
      </c>
      <c r="R15" s="371" t="s">
        <v>382</v>
      </c>
      <c r="S15" s="117"/>
      <c r="U15" s="396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9"/>
    </row>
    <row r="16" spans="1:34" ht="23.1" customHeight="1">
      <c r="B16" s="116"/>
      <c r="C16" s="461"/>
      <c r="D16" s="1191"/>
      <c r="E16" s="462"/>
      <c r="F16" s="462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105"/>
      <c r="U16" s="396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9"/>
    </row>
    <row r="17" spans="2:34" ht="23.1" customHeight="1">
      <c r="B17" s="116"/>
      <c r="C17" s="464"/>
      <c r="D17" s="1192"/>
      <c r="E17" s="466"/>
      <c r="F17" s="466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105"/>
      <c r="U17" s="396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9"/>
    </row>
    <row r="18" spans="2:34" ht="23.1" customHeight="1">
      <c r="B18" s="116"/>
      <c r="C18" s="464"/>
      <c r="D18" s="1192"/>
      <c r="E18" s="466"/>
      <c r="F18" s="466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105"/>
      <c r="U18" s="396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9"/>
    </row>
    <row r="19" spans="2:34" ht="23.1" customHeight="1">
      <c r="B19" s="116"/>
      <c r="C19" s="464"/>
      <c r="D19" s="1192"/>
      <c r="E19" s="466"/>
      <c r="F19" s="466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105"/>
      <c r="U19" s="396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9"/>
    </row>
    <row r="20" spans="2:34" ht="23.1" customHeight="1">
      <c r="B20" s="116"/>
      <c r="C20" s="464"/>
      <c r="D20" s="1192"/>
      <c r="E20" s="466"/>
      <c r="F20" s="466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105"/>
      <c r="U20" s="396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9"/>
    </row>
    <row r="21" spans="2:34" ht="23.1" customHeight="1">
      <c r="B21" s="116"/>
      <c r="C21" s="464"/>
      <c r="D21" s="465"/>
      <c r="E21" s="466"/>
      <c r="F21" s="466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105"/>
      <c r="U21" s="396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9"/>
    </row>
    <row r="22" spans="2:34" ht="23.1" customHeight="1">
      <c r="B22" s="116"/>
      <c r="C22" s="464"/>
      <c r="D22" s="465"/>
      <c r="E22" s="466"/>
      <c r="F22" s="466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105"/>
      <c r="U22" s="396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9"/>
    </row>
    <row r="23" spans="2:34" ht="23.1" customHeight="1">
      <c r="B23" s="116"/>
      <c r="C23" s="464"/>
      <c r="D23" s="465"/>
      <c r="E23" s="466"/>
      <c r="F23" s="466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105"/>
      <c r="U23" s="396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9"/>
    </row>
    <row r="24" spans="2:34" ht="23.1" customHeight="1">
      <c r="B24" s="116"/>
      <c r="C24" s="464"/>
      <c r="D24" s="465"/>
      <c r="E24" s="466"/>
      <c r="F24" s="466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105"/>
      <c r="U24" s="396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9"/>
    </row>
    <row r="25" spans="2:34" ht="23.1" customHeight="1">
      <c r="B25" s="116"/>
      <c r="C25" s="464"/>
      <c r="D25" s="465"/>
      <c r="E25" s="466"/>
      <c r="F25" s="466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105"/>
      <c r="U25" s="396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9"/>
    </row>
    <row r="26" spans="2:34" ht="23.1" customHeight="1">
      <c r="B26" s="116"/>
      <c r="C26" s="464"/>
      <c r="D26" s="465"/>
      <c r="E26" s="466"/>
      <c r="F26" s="466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105"/>
      <c r="U26" s="396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9"/>
    </row>
    <row r="27" spans="2:34" ht="23.1" customHeight="1">
      <c r="B27" s="116"/>
      <c r="C27" s="464"/>
      <c r="D27" s="465"/>
      <c r="E27" s="466"/>
      <c r="F27" s="466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105"/>
      <c r="U27" s="396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9"/>
    </row>
    <row r="28" spans="2:34" ht="23.1" customHeight="1">
      <c r="B28" s="116"/>
      <c r="C28" s="464"/>
      <c r="D28" s="465"/>
      <c r="E28" s="466"/>
      <c r="F28" s="466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105"/>
      <c r="U28" s="396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9"/>
    </row>
    <row r="29" spans="2:34" ht="23.1" customHeight="1">
      <c r="B29" s="116"/>
      <c r="C29" s="464"/>
      <c r="D29" s="465"/>
      <c r="E29" s="466"/>
      <c r="F29" s="466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105"/>
      <c r="U29" s="396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9"/>
    </row>
    <row r="30" spans="2:34" ht="23.1" customHeight="1">
      <c r="B30" s="116"/>
      <c r="C30" s="464"/>
      <c r="D30" s="465"/>
      <c r="E30" s="466"/>
      <c r="F30" s="466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105"/>
      <c r="U30" s="406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8"/>
    </row>
    <row r="31" spans="2:34" ht="23.1" customHeight="1">
      <c r="B31" s="116"/>
      <c r="C31" s="464"/>
      <c r="D31" s="465"/>
      <c r="E31" s="466"/>
      <c r="F31" s="466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105"/>
      <c r="U31" s="406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8"/>
    </row>
    <row r="32" spans="2:34" ht="23.1" customHeight="1">
      <c r="B32" s="116"/>
      <c r="C32" s="464"/>
      <c r="D32" s="465"/>
      <c r="E32" s="466"/>
      <c r="F32" s="466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105"/>
      <c r="U32" s="396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9"/>
    </row>
    <row r="33" spans="2:34" ht="23.1" customHeight="1">
      <c r="B33" s="116"/>
      <c r="C33" s="464"/>
      <c r="D33" s="465"/>
      <c r="E33" s="466"/>
      <c r="F33" s="466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105"/>
      <c r="U33" s="396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9"/>
    </row>
    <row r="34" spans="2:34" ht="23.1" customHeight="1">
      <c r="B34" s="116"/>
      <c r="C34" s="464"/>
      <c r="D34" s="465"/>
      <c r="E34" s="466"/>
      <c r="F34" s="466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105"/>
      <c r="U34" s="396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9"/>
    </row>
    <row r="35" spans="2:34" ht="23.1" customHeight="1">
      <c r="B35" s="116"/>
      <c r="C35" s="464"/>
      <c r="D35" s="465"/>
      <c r="E35" s="466"/>
      <c r="F35" s="466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105"/>
      <c r="U35" s="396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9"/>
    </row>
    <row r="36" spans="2:34" ht="23.1" customHeight="1">
      <c r="B36" s="116"/>
      <c r="C36" s="464"/>
      <c r="D36" s="465"/>
      <c r="E36" s="466"/>
      <c r="F36" s="466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105"/>
      <c r="U36" s="409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1"/>
    </row>
    <row r="37" spans="2:34" ht="23.1" customHeight="1">
      <c r="B37" s="116"/>
      <c r="C37" s="464"/>
      <c r="D37" s="465"/>
      <c r="E37" s="466"/>
      <c r="F37" s="466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105"/>
      <c r="U37" s="409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1"/>
    </row>
    <row r="38" spans="2:34" ht="23.1" customHeight="1">
      <c r="B38" s="116"/>
      <c r="C38" s="464"/>
      <c r="D38" s="465"/>
      <c r="E38" s="466"/>
      <c r="F38" s="466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105"/>
      <c r="U38" s="409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1"/>
    </row>
    <row r="39" spans="2:34" ht="23.1" customHeight="1">
      <c r="B39" s="116"/>
      <c r="C39" s="464"/>
      <c r="D39" s="465"/>
      <c r="E39" s="466"/>
      <c r="F39" s="466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105"/>
      <c r="U39" s="409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1"/>
    </row>
    <row r="40" spans="2:34" ht="23.1" customHeight="1">
      <c r="B40" s="116"/>
      <c r="C40" s="464"/>
      <c r="D40" s="465"/>
      <c r="E40" s="466"/>
      <c r="F40" s="466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105"/>
      <c r="U40" s="409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1"/>
    </row>
    <row r="41" spans="2:34" ht="23.1" customHeight="1">
      <c r="B41" s="116"/>
      <c r="C41" s="464"/>
      <c r="D41" s="465"/>
      <c r="E41" s="466"/>
      <c r="F41" s="466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105"/>
      <c r="U41" s="409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1"/>
    </row>
    <row r="42" spans="2:34" ht="23.1" customHeight="1">
      <c r="B42" s="116"/>
      <c r="C42" s="464"/>
      <c r="D42" s="465"/>
      <c r="E42" s="466"/>
      <c r="F42" s="466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105"/>
      <c r="U42" s="409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1"/>
    </row>
    <row r="43" spans="2:34" ht="23.1" customHeight="1">
      <c r="B43" s="116"/>
      <c r="C43" s="464"/>
      <c r="D43" s="465"/>
      <c r="E43" s="466"/>
      <c r="F43" s="466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105"/>
      <c r="U43" s="409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1"/>
    </row>
    <row r="44" spans="2:34" ht="23.1" customHeight="1">
      <c r="B44" s="116"/>
      <c r="C44" s="464"/>
      <c r="D44" s="465"/>
      <c r="E44" s="466"/>
      <c r="F44" s="466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105"/>
      <c r="U44" s="409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1"/>
    </row>
    <row r="45" spans="2:34" ht="23.1" customHeight="1">
      <c r="B45" s="116"/>
      <c r="C45" s="464"/>
      <c r="D45" s="465"/>
      <c r="E45" s="466"/>
      <c r="F45" s="466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105"/>
      <c r="U45" s="409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1"/>
    </row>
    <row r="46" spans="2:34" s="128" customFormat="1" ht="23.1" customHeight="1" thickBot="1">
      <c r="B46" s="116"/>
      <c r="C46" s="1558" t="s">
        <v>384</v>
      </c>
      <c r="D46" s="1559"/>
      <c r="E46" s="125">
        <f>MIN(E16:E45)</f>
        <v>0</v>
      </c>
      <c r="F46" s="125">
        <f>MAX(F16:F45)</f>
        <v>0</v>
      </c>
      <c r="G46" s="126">
        <f t="shared" ref="G46:R46" si="0">SUM(G16:G45)</f>
        <v>0</v>
      </c>
      <c r="H46" s="126">
        <f t="shared" si="0"/>
        <v>0</v>
      </c>
      <c r="I46" s="126">
        <f t="shared" si="0"/>
        <v>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09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1"/>
    </row>
    <row r="47" spans="2:34" s="128" customFormat="1" ht="23.1" customHeight="1">
      <c r="B47" s="116"/>
      <c r="C47" s="762"/>
      <c r="D47" s="762"/>
      <c r="E47" s="763"/>
      <c r="F47" s="763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127"/>
      <c r="U47" s="409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1"/>
    </row>
    <row r="48" spans="2:34" s="128" customFormat="1" ht="23.1" customHeight="1">
      <c r="B48" s="116"/>
      <c r="C48" s="764" t="s">
        <v>680</v>
      </c>
      <c r="D48" s="762"/>
      <c r="E48" s="763"/>
      <c r="F48" s="763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127"/>
      <c r="U48" s="409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1"/>
    </row>
    <row r="49" spans="2:34" s="128" customFormat="1" ht="23.1" customHeight="1">
      <c r="B49" s="116"/>
      <c r="C49" s="765" t="s">
        <v>681</v>
      </c>
      <c r="D49" s="762"/>
      <c r="E49" s="763"/>
      <c r="F49" s="766">
        <f>ejercicio-1</f>
        <v>2020</v>
      </c>
      <c r="G49" s="767" t="s">
        <v>682</v>
      </c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127"/>
      <c r="U49" s="409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1"/>
    </row>
    <row r="50" spans="2:34" s="128" customFormat="1" ht="23.1" customHeight="1">
      <c r="B50" s="116"/>
      <c r="C50" s="768" t="s">
        <v>683</v>
      </c>
      <c r="D50" s="762"/>
      <c r="E50" s="763"/>
      <c r="F50" s="763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127"/>
      <c r="U50" s="409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1"/>
    </row>
    <row r="51" spans="2:34" s="128" customFormat="1" ht="23.1" customHeight="1">
      <c r="B51" s="116"/>
      <c r="C51" s="765" t="s">
        <v>686</v>
      </c>
      <c r="D51" s="762"/>
      <c r="E51" s="763"/>
      <c r="F51" s="763"/>
      <c r="G51" s="766">
        <f>ejercicio-1</f>
        <v>2020</v>
      </c>
      <c r="H51" s="767" t="s">
        <v>687</v>
      </c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127"/>
      <c r="U51" s="409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1"/>
    </row>
    <row r="52" spans="2:34" s="128" customFormat="1" ht="23.1" customHeight="1">
      <c r="B52" s="116"/>
      <c r="C52" s="765" t="s">
        <v>688</v>
      </c>
      <c r="D52" s="762"/>
      <c r="E52" s="763"/>
      <c r="F52" s="763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127"/>
      <c r="U52" s="409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1"/>
    </row>
    <row r="53" spans="2:34" s="128" customFormat="1" ht="23.1" customHeight="1">
      <c r="B53" s="116"/>
      <c r="C53" s="765" t="s">
        <v>692</v>
      </c>
      <c r="D53" s="762"/>
      <c r="E53" s="763"/>
      <c r="F53" s="763"/>
      <c r="G53" s="766">
        <f>ejercicio-1</f>
        <v>2020</v>
      </c>
      <c r="H53" s="767" t="s">
        <v>691</v>
      </c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127"/>
      <c r="U53" s="409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1"/>
    </row>
    <row r="54" spans="2:34" s="128" customFormat="1" ht="23.1" customHeight="1">
      <c r="B54" s="116"/>
      <c r="C54" s="762"/>
      <c r="D54" s="762"/>
      <c r="E54" s="763"/>
      <c r="F54" s="763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127"/>
      <c r="U54" s="409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1"/>
    </row>
    <row r="55" spans="2:34" ht="23.1" customHeight="1" thickBot="1">
      <c r="B55" s="120"/>
      <c r="C55" s="1504"/>
      <c r="D55" s="1504"/>
      <c r="E55" s="1504"/>
      <c r="F55" s="1504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12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3"/>
      <c r="AG55" s="413"/>
      <c r="AH55" s="414"/>
    </row>
    <row r="56" spans="2:34" ht="23.1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885</v>
      </c>
    </row>
    <row r="57" spans="2:34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2:34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2:34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2:34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2:34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2:34" ht="23.1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2:34" ht="23.1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2:34" ht="23.1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3.1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3:18" ht="23.1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algorithmName="SHA-512" hashValue="s0VwTPoNsSLsEeUlHagRuoT17WG5FUvY6yng1UfUsRrTeZp/emWdcrCOfbXRK8oWAv6OuMECZ387ISYFw1+qOQ==" saltValue="6C4QWu86dzqQamJ0R+hyHw==" spinCount="100000" sheet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2:AE58"/>
  <sheetViews>
    <sheetView topLeftCell="A12" zoomScale="77" zoomScaleNormal="125" zoomScalePageLayoutView="125" workbookViewId="0">
      <selection activeCell="I28" sqref="I28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5546875" style="96" customWidth="1"/>
    <col min="4" max="4" width="23.109375" style="96" customWidth="1"/>
    <col min="5" max="14" width="13.44140625" style="97" customWidth="1"/>
    <col min="15" max="15" width="40.6640625" style="97" customWidth="1"/>
    <col min="16" max="16" width="3.33203125" style="96" customWidth="1"/>
    <col min="17" max="16384" width="10.6640625" style="96"/>
  </cols>
  <sheetData>
    <row r="2" spans="1:31" ht="23.1" customHeight="1">
      <c r="D2" s="298" t="str">
        <f>_GENERAL!D2</f>
        <v>Área de Presidencia, Hacienda y Modernización</v>
      </c>
    </row>
    <row r="3" spans="1:31" ht="23.1" customHeight="1">
      <c r="D3" s="298" t="str">
        <f>_GENERAL!D3</f>
        <v>Dirección Insular de Hacienda</v>
      </c>
    </row>
    <row r="4" spans="1:31" ht="23.1" customHeight="1" thickBot="1">
      <c r="A4" s="96" t="s">
        <v>884</v>
      </c>
    </row>
    <row r="5" spans="1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393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5"/>
    </row>
    <row r="6" spans="1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489">
        <f>ejercicio</f>
        <v>2021</v>
      </c>
      <c r="P6" s="105"/>
      <c r="R6" s="396"/>
      <c r="S6" s="397" t="s">
        <v>628</v>
      </c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9"/>
    </row>
    <row r="7" spans="1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489"/>
      <c r="P7" s="105"/>
      <c r="R7" s="396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9"/>
    </row>
    <row r="8" spans="1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396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9"/>
    </row>
    <row r="9" spans="1:31" s="64" customFormat="1" ht="30" customHeight="1">
      <c r="B9" s="108"/>
      <c r="C9" s="55" t="s">
        <v>2</v>
      </c>
      <c r="D9" s="1505" t="str">
        <f>Entidad</f>
        <v>Spet, turismo de Tenerife s.a</v>
      </c>
      <c r="E9" s="1505"/>
      <c r="F9" s="1505"/>
      <c r="G9" s="1505"/>
      <c r="H9" s="1505"/>
      <c r="I9" s="1505"/>
      <c r="J9" s="1505"/>
      <c r="K9" s="1505"/>
      <c r="L9" s="1505"/>
      <c r="M9" s="1505"/>
      <c r="N9" s="1505"/>
      <c r="O9" s="1505"/>
      <c r="P9" s="109"/>
      <c r="R9" s="400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2"/>
    </row>
    <row r="10" spans="1:31" ht="6.9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396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9"/>
    </row>
    <row r="11" spans="1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03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5"/>
    </row>
    <row r="12" spans="1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03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5"/>
    </row>
    <row r="13" spans="1:31" s="118" customFormat="1" ht="23.1" customHeight="1">
      <c r="B13" s="116"/>
      <c r="C13" s="1560"/>
      <c r="D13" s="1561"/>
      <c r="E13" s="196" t="s">
        <v>406</v>
      </c>
      <c r="F13" s="1564" t="s">
        <v>396</v>
      </c>
      <c r="G13" s="1565"/>
      <c r="H13" s="1565"/>
      <c r="I13" s="1565"/>
      <c r="J13" s="1565"/>
      <c r="K13" s="1565"/>
      <c r="L13" s="1566"/>
      <c r="M13" s="196" t="s">
        <v>407</v>
      </c>
      <c r="N13" s="196"/>
      <c r="O13" s="1562" t="s">
        <v>968</v>
      </c>
      <c r="P13" s="117"/>
      <c r="R13" s="396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9"/>
    </row>
    <row r="14" spans="1:31" ht="48.95" customHeight="1">
      <c r="B14" s="102"/>
      <c r="C14" s="205" t="s">
        <v>403</v>
      </c>
      <c r="D14" s="203">
        <f>ejercicio-1</f>
        <v>2020</v>
      </c>
      <c r="E14" s="204">
        <f>ejercicio-1</f>
        <v>2020</v>
      </c>
      <c r="F14" s="200" t="s">
        <v>398</v>
      </c>
      <c r="G14" s="201" t="s">
        <v>397</v>
      </c>
      <c r="H14" s="201" t="s">
        <v>399</v>
      </c>
      <c r="I14" s="201" t="s">
        <v>400</v>
      </c>
      <c r="J14" s="201" t="s">
        <v>401</v>
      </c>
      <c r="K14" s="201" t="s">
        <v>402</v>
      </c>
      <c r="L14" s="202" t="s">
        <v>387</v>
      </c>
      <c r="M14" s="204">
        <f>ejercicio-1</f>
        <v>2020</v>
      </c>
      <c r="N14" s="1260" t="s">
        <v>967</v>
      </c>
      <c r="O14" s="1563"/>
      <c r="P14" s="105"/>
      <c r="R14" s="396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9"/>
    </row>
    <row r="15" spans="1:31" s="119" customFormat="1" ht="23.1" customHeight="1">
      <c r="B15" s="116"/>
      <c r="C15" s="156" t="s">
        <v>389</v>
      </c>
      <c r="D15" s="157"/>
      <c r="E15" s="468">
        <v>38420.800000000003</v>
      </c>
      <c r="F15" s="469">
        <v>3397.5</v>
      </c>
      <c r="G15" s="470"/>
      <c r="H15" s="470"/>
      <c r="I15" s="470">
        <v>-11340.01</v>
      </c>
      <c r="J15" s="470"/>
      <c r="K15" s="470"/>
      <c r="L15" s="471"/>
      <c r="M15" s="171">
        <f>SUM(E15:L15)</f>
        <v>30478.29</v>
      </c>
      <c r="N15" s="1261"/>
      <c r="O15" s="499"/>
      <c r="P15" s="117"/>
      <c r="R15" s="396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9"/>
    </row>
    <row r="16" spans="1:31" ht="23.1" customHeight="1">
      <c r="B16" s="116"/>
      <c r="C16" s="158" t="s">
        <v>392</v>
      </c>
      <c r="D16" s="159"/>
      <c r="E16" s="472"/>
      <c r="F16" s="473"/>
      <c r="G16" s="474"/>
      <c r="H16" s="474"/>
      <c r="I16" s="474"/>
      <c r="J16" s="474"/>
      <c r="K16" s="474"/>
      <c r="L16" s="475"/>
      <c r="M16" s="175">
        <f t="shared" ref="M16:M19" si="0">SUM(E16:L16)</f>
        <v>0</v>
      </c>
      <c r="N16" s="1262"/>
      <c r="O16" s="773"/>
      <c r="P16" s="105"/>
      <c r="R16" s="396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9"/>
    </row>
    <row r="17" spans="2:31" ht="23.1" customHeight="1">
      <c r="B17" s="116"/>
      <c r="C17" s="158" t="s">
        <v>390</v>
      </c>
      <c r="D17" s="159"/>
      <c r="E17" s="472">
        <v>734984.89</v>
      </c>
      <c r="F17" s="473">
        <v>1920.58</v>
      </c>
      <c r="G17" s="474"/>
      <c r="H17" s="474"/>
      <c r="I17" s="474">
        <v>-34457.57</v>
      </c>
      <c r="J17" s="474"/>
      <c r="K17" s="474"/>
      <c r="L17" s="475"/>
      <c r="M17" s="175">
        <f t="shared" si="0"/>
        <v>702447.9</v>
      </c>
      <c r="N17" s="1262"/>
      <c r="O17" s="773"/>
      <c r="P17" s="105"/>
      <c r="R17" s="396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9"/>
    </row>
    <row r="18" spans="2:31" ht="23.1" customHeight="1">
      <c r="B18" s="116"/>
      <c r="C18" s="158" t="s">
        <v>393</v>
      </c>
      <c r="D18" s="159"/>
      <c r="E18" s="472"/>
      <c r="F18" s="473"/>
      <c r="G18" s="474"/>
      <c r="H18" s="474"/>
      <c r="I18" s="474"/>
      <c r="J18" s="474"/>
      <c r="K18" s="474"/>
      <c r="L18" s="475"/>
      <c r="M18" s="175">
        <f t="shared" si="0"/>
        <v>0</v>
      </c>
      <c r="N18" s="1262"/>
      <c r="O18" s="773"/>
      <c r="P18" s="105"/>
      <c r="R18" s="396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9"/>
    </row>
    <row r="19" spans="2:31" ht="23.1" customHeight="1">
      <c r="B19" s="116"/>
      <c r="C19" s="160" t="s">
        <v>391</v>
      </c>
      <c r="D19" s="161"/>
      <c r="E19" s="476"/>
      <c r="F19" s="477"/>
      <c r="G19" s="478"/>
      <c r="H19" s="478"/>
      <c r="I19" s="478"/>
      <c r="J19" s="478"/>
      <c r="K19" s="478"/>
      <c r="L19" s="479"/>
      <c r="M19" s="176">
        <f t="shared" si="0"/>
        <v>0</v>
      </c>
      <c r="N19" s="1263"/>
      <c r="O19" s="774"/>
      <c r="P19" s="105"/>
      <c r="R19" s="396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9"/>
    </row>
    <row r="20" spans="2:31" ht="23.1" customHeight="1" thickBot="1">
      <c r="B20" s="116"/>
      <c r="C20" s="162" t="s">
        <v>394</v>
      </c>
      <c r="D20" s="163"/>
      <c r="E20" s="174">
        <f>SUM(E15:E19)</f>
        <v>773405.69000000006</v>
      </c>
      <c r="F20" s="174">
        <f t="shared" ref="F20:N20" si="1">SUM(F15:F19)</f>
        <v>5318.08</v>
      </c>
      <c r="G20" s="174">
        <f t="shared" si="1"/>
        <v>0</v>
      </c>
      <c r="H20" s="174">
        <f t="shared" si="1"/>
        <v>0</v>
      </c>
      <c r="I20" s="174">
        <f t="shared" si="1"/>
        <v>-45797.58</v>
      </c>
      <c r="J20" s="174">
        <f t="shared" si="1"/>
        <v>0</v>
      </c>
      <c r="K20" s="174">
        <f t="shared" si="1"/>
        <v>0</v>
      </c>
      <c r="L20" s="174">
        <f t="shared" si="1"/>
        <v>0</v>
      </c>
      <c r="M20" s="174">
        <f t="shared" si="1"/>
        <v>732926.19000000006</v>
      </c>
      <c r="N20" s="174">
        <f t="shared" si="1"/>
        <v>0</v>
      </c>
      <c r="O20" s="164"/>
      <c r="P20" s="105"/>
      <c r="R20" s="396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9"/>
    </row>
    <row r="21" spans="2:31" ht="8.1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396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9"/>
    </row>
    <row r="22" spans="2:31" ht="23.1" customHeight="1" thickBot="1">
      <c r="B22" s="116"/>
      <c r="C22" s="166" t="s">
        <v>395</v>
      </c>
      <c r="D22" s="167"/>
      <c r="E22" s="691">
        <v>49969.85</v>
      </c>
      <c r="F22" s="540"/>
      <c r="G22" s="541"/>
      <c r="H22" s="541"/>
      <c r="I22" s="541"/>
      <c r="J22" s="541"/>
      <c r="K22" s="541"/>
      <c r="L22" s="542"/>
      <c r="M22" s="174">
        <f>SUM(E22:L22)</f>
        <v>49969.85</v>
      </c>
      <c r="N22" s="1259"/>
      <c r="O22" s="806"/>
      <c r="P22" s="105"/>
      <c r="R22" s="396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9"/>
    </row>
    <row r="23" spans="2:31" ht="23.1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396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9"/>
    </row>
    <row r="24" spans="2:31" ht="23.1" customHeight="1">
      <c r="B24" s="116"/>
      <c r="C24" s="1560"/>
      <c r="D24" s="1561"/>
      <c r="E24" s="196" t="s">
        <v>406</v>
      </c>
      <c r="F24" s="1564" t="s">
        <v>396</v>
      </c>
      <c r="G24" s="1565"/>
      <c r="H24" s="1565"/>
      <c r="I24" s="1565"/>
      <c r="J24" s="1565"/>
      <c r="K24" s="1565"/>
      <c r="L24" s="1566"/>
      <c r="M24" s="196" t="s">
        <v>407</v>
      </c>
      <c r="N24" s="196"/>
      <c r="O24" s="1562" t="s">
        <v>968</v>
      </c>
      <c r="P24" s="105"/>
      <c r="R24" s="396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9"/>
    </row>
    <row r="25" spans="2:31" ht="48.95" customHeight="1">
      <c r="B25" s="116"/>
      <c r="C25" s="205" t="s">
        <v>404</v>
      </c>
      <c r="D25" s="203">
        <f>ejercicio</f>
        <v>2021</v>
      </c>
      <c r="E25" s="204">
        <f>ejercicio</f>
        <v>2021</v>
      </c>
      <c r="F25" s="200" t="s">
        <v>398</v>
      </c>
      <c r="G25" s="201" t="s">
        <v>397</v>
      </c>
      <c r="H25" s="201" t="s">
        <v>399</v>
      </c>
      <c r="I25" s="201" t="s">
        <v>400</v>
      </c>
      <c r="J25" s="201" t="s">
        <v>401</v>
      </c>
      <c r="K25" s="201" t="s">
        <v>402</v>
      </c>
      <c r="L25" s="202" t="s">
        <v>387</v>
      </c>
      <c r="M25" s="204">
        <f>ejercicio</f>
        <v>2021</v>
      </c>
      <c r="N25" s="1260" t="s">
        <v>967</v>
      </c>
      <c r="O25" s="1563"/>
      <c r="P25" s="105"/>
      <c r="R25" s="396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9"/>
    </row>
    <row r="26" spans="2:31" ht="23.1" customHeight="1">
      <c r="B26" s="116"/>
      <c r="C26" s="156" t="s">
        <v>389</v>
      </c>
      <c r="D26" s="157"/>
      <c r="E26" s="171">
        <f>+M15</f>
        <v>30478.29</v>
      </c>
      <c r="F26" s="469"/>
      <c r="G26" s="470"/>
      <c r="H26" s="470"/>
      <c r="I26" s="470">
        <v>-12596.33</v>
      </c>
      <c r="J26" s="470"/>
      <c r="K26" s="470"/>
      <c r="L26" s="471"/>
      <c r="M26" s="171">
        <f>SUM(E26:L26)</f>
        <v>17881.96</v>
      </c>
      <c r="N26" s="1261"/>
      <c r="O26" s="499"/>
      <c r="P26" s="105"/>
      <c r="R26" s="396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9"/>
    </row>
    <row r="27" spans="2:31" ht="23.1" customHeight="1">
      <c r="B27" s="116"/>
      <c r="C27" s="158" t="s">
        <v>392</v>
      </c>
      <c r="D27" s="159"/>
      <c r="E27" s="175">
        <f>+M16</f>
        <v>0</v>
      </c>
      <c r="F27" s="473"/>
      <c r="G27" s="474"/>
      <c r="H27" s="474"/>
      <c r="I27" s="474"/>
      <c r="J27" s="474"/>
      <c r="K27" s="474"/>
      <c r="L27" s="475"/>
      <c r="M27" s="175">
        <f t="shared" ref="M27:M30" si="2">SUM(E27:L27)</f>
        <v>0</v>
      </c>
      <c r="N27" s="1262"/>
      <c r="O27" s="773"/>
      <c r="P27" s="105"/>
      <c r="R27" s="396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9"/>
    </row>
    <row r="28" spans="2:31" ht="23.1" customHeight="1">
      <c r="B28" s="116"/>
      <c r="C28" s="158" t="s">
        <v>390</v>
      </c>
      <c r="D28" s="159"/>
      <c r="E28" s="175">
        <f>+M17</f>
        <v>702447.9</v>
      </c>
      <c r="F28" s="473"/>
      <c r="G28" s="474"/>
      <c r="H28" s="474"/>
      <c r="I28" s="474">
        <v>-40893</v>
      </c>
      <c r="J28" s="474"/>
      <c r="K28" s="474"/>
      <c r="L28" s="475"/>
      <c r="M28" s="175">
        <f t="shared" si="2"/>
        <v>661554.9</v>
      </c>
      <c r="N28" s="1262"/>
      <c r="O28" s="1193"/>
      <c r="P28" s="105"/>
      <c r="R28" s="396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9"/>
    </row>
    <row r="29" spans="2:31" ht="23.1" customHeight="1">
      <c r="B29" s="116"/>
      <c r="C29" s="158" t="s">
        <v>393</v>
      </c>
      <c r="D29" s="159"/>
      <c r="E29" s="175">
        <f>+M18</f>
        <v>0</v>
      </c>
      <c r="F29" s="473"/>
      <c r="G29" s="474"/>
      <c r="H29" s="474"/>
      <c r="I29" s="474"/>
      <c r="J29" s="474"/>
      <c r="K29" s="474"/>
      <c r="L29" s="475"/>
      <c r="M29" s="175">
        <f t="shared" si="2"/>
        <v>0</v>
      </c>
      <c r="N29" s="1262"/>
      <c r="O29" s="773"/>
      <c r="P29" s="105"/>
      <c r="R29" s="396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9"/>
    </row>
    <row r="30" spans="2:31" ht="23.1" customHeight="1">
      <c r="B30" s="116"/>
      <c r="C30" s="160" t="s">
        <v>391</v>
      </c>
      <c r="D30" s="161"/>
      <c r="E30" s="176">
        <f>+M19</f>
        <v>0</v>
      </c>
      <c r="F30" s="477"/>
      <c r="G30" s="478"/>
      <c r="H30" s="478"/>
      <c r="I30" s="478"/>
      <c r="J30" s="478"/>
      <c r="K30" s="478"/>
      <c r="L30" s="479"/>
      <c r="M30" s="176">
        <f t="shared" si="2"/>
        <v>0</v>
      </c>
      <c r="N30" s="1263"/>
      <c r="O30" s="774"/>
      <c r="P30" s="105"/>
      <c r="R30" s="406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8"/>
    </row>
    <row r="31" spans="2:31" ht="23.1" customHeight="1" thickBot="1">
      <c r="B31" s="116"/>
      <c r="C31" s="162" t="s">
        <v>394</v>
      </c>
      <c r="D31" s="163"/>
      <c r="E31" s="174">
        <f>SUM(E26:E30)</f>
        <v>732926.19000000006</v>
      </c>
      <c r="F31" s="174">
        <f t="shared" ref="F31" si="3">SUM(F26:F30)</f>
        <v>0</v>
      </c>
      <c r="G31" s="174">
        <f t="shared" ref="G31" si="4">SUM(G26:G30)</f>
        <v>0</v>
      </c>
      <c r="H31" s="174">
        <f t="shared" ref="H31" si="5">SUM(H26:H30)</f>
        <v>0</v>
      </c>
      <c r="I31" s="174">
        <f t="shared" ref="I31" si="6">SUM(I26:I30)</f>
        <v>-53489.33</v>
      </c>
      <c r="J31" s="174">
        <f t="shared" ref="J31" si="7">SUM(J26:J30)</f>
        <v>0</v>
      </c>
      <c r="K31" s="174">
        <f t="shared" ref="K31" si="8">SUM(K26:K30)</f>
        <v>0</v>
      </c>
      <c r="L31" s="174">
        <f t="shared" ref="L31:N31" si="9">SUM(L26:L30)</f>
        <v>0</v>
      </c>
      <c r="M31" s="174">
        <f>SUM(M26:M30)</f>
        <v>679436.86</v>
      </c>
      <c r="N31" s="174">
        <f t="shared" si="9"/>
        <v>0</v>
      </c>
      <c r="O31" s="164"/>
      <c r="P31" s="105"/>
      <c r="R31" s="406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8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396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9"/>
    </row>
    <row r="33" spans="2:31" ht="23.1" customHeight="1" thickBot="1">
      <c r="B33" s="116"/>
      <c r="C33" s="166" t="s">
        <v>395</v>
      </c>
      <c r="D33" s="167"/>
      <c r="E33" s="174">
        <f>+M22</f>
        <v>49969.85</v>
      </c>
      <c r="F33" s="540"/>
      <c r="G33" s="541"/>
      <c r="H33" s="541"/>
      <c r="I33" s="541"/>
      <c r="J33" s="541"/>
      <c r="K33" s="541"/>
      <c r="L33" s="542"/>
      <c r="M33" s="174">
        <f>SUM(E33:L33)</f>
        <v>49969.85</v>
      </c>
      <c r="N33" s="1259"/>
      <c r="O33" s="806"/>
      <c r="P33" s="105"/>
      <c r="R33" s="396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9"/>
    </row>
    <row r="34" spans="2:31" ht="23.1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396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9"/>
    </row>
    <row r="35" spans="2:31" ht="23.1" customHeight="1">
      <c r="B35" s="116"/>
      <c r="C35" s="170" t="s">
        <v>405</v>
      </c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95"/>
      <c r="P35" s="105"/>
      <c r="R35" s="396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9"/>
    </row>
    <row r="36" spans="2:31" ht="18">
      <c r="B36" s="116"/>
      <c r="C36" s="168" t="s">
        <v>699</v>
      </c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95"/>
      <c r="P36" s="105"/>
      <c r="R36" s="409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1"/>
    </row>
    <row r="37" spans="2:31" ht="18">
      <c r="B37" s="116"/>
      <c r="C37" s="168" t="s">
        <v>700</v>
      </c>
      <c r="D37" s="168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95"/>
      <c r="P37" s="105"/>
      <c r="R37" s="409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1"/>
    </row>
    <row r="38" spans="2:31" ht="18">
      <c r="B38" s="116"/>
      <c r="C38" s="168" t="s">
        <v>701</v>
      </c>
      <c r="D38" s="168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95"/>
      <c r="P38" s="105"/>
      <c r="R38" s="409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1"/>
    </row>
    <row r="39" spans="2:31" ht="18">
      <c r="B39" s="116"/>
      <c r="C39" s="168" t="s">
        <v>702</v>
      </c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95"/>
      <c r="P39" s="105"/>
      <c r="R39" s="409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1"/>
    </row>
    <row r="40" spans="2:31" ht="18">
      <c r="B40" s="116"/>
      <c r="C40" s="168" t="s">
        <v>707</v>
      </c>
      <c r="D40" s="168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95"/>
      <c r="P40" s="105"/>
      <c r="R40" s="409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1"/>
    </row>
    <row r="41" spans="2:31" ht="18">
      <c r="B41" s="116"/>
      <c r="C41" s="168" t="s">
        <v>703</v>
      </c>
      <c r="D41" s="168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95"/>
      <c r="P41" s="105"/>
      <c r="R41" s="409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1"/>
    </row>
    <row r="42" spans="2:31" ht="18">
      <c r="B42" s="116"/>
      <c r="C42" s="168" t="s">
        <v>704</v>
      </c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95"/>
      <c r="P42" s="105"/>
      <c r="R42" s="409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1"/>
    </row>
    <row r="43" spans="2:31" ht="18">
      <c r="B43" s="116"/>
      <c r="C43" s="168" t="s">
        <v>705</v>
      </c>
      <c r="D43" s="168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95"/>
      <c r="P43" s="105"/>
      <c r="R43" s="409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1"/>
    </row>
    <row r="44" spans="2:31" ht="18">
      <c r="B44" s="116"/>
      <c r="C44" s="168" t="s">
        <v>706</v>
      </c>
      <c r="D44" s="168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95"/>
      <c r="P44" s="105"/>
      <c r="R44" s="409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1"/>
    </row>
    <row r="45" spans="2:31" ht="18">
      <c r="B45" s="116"/>
      <c r="C45" s="168" t="s">
        <v>970</v>
      </c>
      <c r="D45" s="168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95"/>
      <c r="P45" s="105"/>
      <c r="R45" s="409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1"/>
    </row>
    <row r="46" spans="2:31" ht="18">
      <c r="B46" s="116"/>
      <c r="C46" s="168" t="s">
        <v>969</v>
      </c>
      <c r="D46" s="168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95"/>
      <c r="P46" s="105"/>
      <c r="R46" s="409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1"/>
    </row>
    <row r="47" spans="2:31" ht="23.1" customHeight="1" thickBot="1">
      <c r="B47" s="120"/>
      <c r="C47" s="1504"/>
      <c r="D47" s="1504"/>
      <c r="E47" s="1504"/>
      <c r="F47" s="1504"/>
      <c r="G47" s="56"/>
      <c r="H47" s="56"/>
      <c r="I47" s="56"/>
      <c r="J47" s="56"/>
      <c r="K47" s="56"/>
      <c r="L47" s="56"/>
      <c r="M47" s="56"/>
      <c r="N47" s="1257"/>
      <c r="O47" s="121"/>
      <c r="P47" s="122"/>
      <c r="R47" s="412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4"/>
    </row>
    <row r="48" spans="2:31" ht="23.1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885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3.1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3.1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3.1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3.1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3:15" ht="23.1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algorithmName="SHA-512" hashValue="M9H9gtvwJBuCNX0Sox0/CmcLf6mO3fYSUJH1GMdlm77PwFFpQTj+lu0PyNKDQH3UZCKEP/YUdOosBEglq1iZ2Q==" saltValue="Hwmq6fqhEpMNeCXdvLhAjg==" spinCount="100000"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2:AC82"/>
  <sheetViews>
    <sheetView topLeftCell="A40" zoomScale="70" zoomScaleNormal="70" zoomScalePageLayoutView="125" workbookViewId="0">
      <selection activeCell="G22" sqref="G22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5546875" style="96" customWidth="1"/>
    <col min="4" max="4" width="23.109375" style="96" customWidth="1"/>
    <col min="5" max="12" width="13.44140625" style="97" customWidth="1"/>
    <col min="13" max="13" width="25.88671875" style="97" customWidth="1"/>
    <col min="14" max="14" width="3.33203125" style="96" customWidth="1"/>
    <col min="15" max="16384" width="10.6640625" style="96"/>
  </cols>
  <sheetData>
    <row r="2" spans="1:29" ht="23.1" customHeight="1">
      <c r="D2" s="298" t="str">
        <f>_GENERAL!D2</f>
        <v>Área de Presidencia, Hacienda y Modernización</v>
      </c>
    </row>
    <row r="3" spans="1:29" ht="23.1" customHeight="1">
      <c r="D3" s="298" t="str">
        <f>_GENERAL!D3</f>
        <v>Dirección Insular de Hacienda</v>
      </c>
    </row>
    <row r="4" spans="1:29" ht="23.1" customHeight="1" thickBot="1">
      <c r="A4" s="96" t="s">
        <v>884</v>
      </c>
    </row>
    <row r="5" spans="1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393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5"/>
    </row>
    <row r="6" spans="1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489">
        <f>ejercicio</f>
        <v>2021</v>
      </c>
      <c r="N6" s="105"/>
      <c r="P6" s="396"/>
      <c r="Q6" s="397" t="s">
        <v>628</v>
      </c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9"/>
    </row>
    <row r="7" spans="1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489"/>
      <c r="N7" s="105"/>
      <c r="P7" s="396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9"/>
    </row>
    <row r="8" spans="1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396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9"/>
    </row>
    <row r="9" spans="1:29" s="64" customFormat="1" ht="30" customHeight="1">
      <c r="B9" s="108"/>
      <c r="C9" s="55" t="s">
        <v>2</v>
      </c>
      <c r="D9" s="1505" t="str">
        <f>Entidad</f>
        <v>Spet, turismo de Tenerife s.a</v>
      </c>
      <c r="E9" s="1505"/>
      <c r="F9" s="1505"/>
      <c r="G9" s="1505"/>
      <c r="H9" s="1505"/>
      <c r="I9" s="1505"/>
      <c r="J9" s="1505"/>
      <c r="K9" s="1505"/>
      <c r="L9" s="1505"/>
      <c r="M9" s="1505"/>
      <c r="N9" s="109"/>
      <c r="P9" s="400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2"/>
    </row>
    <row r="10" spans="1:29" ht="6.9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396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9"/>
    </row>
    <row r="11" spans="1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03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5"/>
    </row>
    <row r="12" spans="1:29" s="114" customFormat="1" ht="30" customHeight="1">
      <c r="B12" s="110"/>
      <c r="C12" s="1576"/>
      <c r="D12" s="1576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03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5"/>
    </row>
    <row r="13" spans="1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396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9"/>
    </row>
    <row r="14" spans="1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396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9"/>
    </row>
    <row r="15" spans="1:29" s="118" customFormat="1" ht="23.1" customHeight="1">
      <c r="B15" s="116"/>
      <c r="C15" s="194"/>
      <c r="D15" s="195"/>
      <c r="E15" s="196" t="s">
        <v>411</v>
      </c>
      <c r="F15" s="196" t="s">
        <v>388</v>
      </c>
      <c r="G15" s="1564" t="s">
        <v>396</v>
      </c>
      <c r="H15" s="1565"/>
      <c r="I15" s="1565"/>
      <c r="J15" s="196" t="s">
        <v>407</v>
      </c>
      <c r="K15" s="196" t="s">
        <v>416</v>
      </c>
      <c r="L15" s="196" t="s">
        <v>417</v>
      </c>
      <c r="M15" s="1562" t="s">
        <v>709</v>
      </c>
      <c r="N15" s="117"/>
      <c r="P15" s="396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9"/>
    </row>
    <row r="16" spans="1:29" ht="48.95" customHeight="1">
      <c r="B16" s="102"/>
      <c r="C16" s="197" t="s">
        <v>410</v>
      </c>
      <c r="D16" s="198"/>
      <c r="E16" s="199" t="s">
        <v>412</v>
      </c>
      <c r="F16" s="199">
        <f>ejercicio</f>
        <v>2021</v>
      </c>
      <c r="G16" s="200" t="s">
        <v>413</v>
      </c>
      <c r="H16" s="201" t="s">
        <v>414</v>
      </c>
      <c r="I16" s="202" t="s">
        <v>415</v>
      </c>
      <c r="J16" s="199">
        <f>ejercicio</f>
        <v>2021</v>
      </c>
      <c r="K16" s="199" t="s">
        <v>708</v>
      </c>
      <c r="L16" s="199">
        <f>ejercicio</f>
        <v>2021</v>
      </c>
      <c r="M16" s="1563"/>
      <c r="N16" s="105"/>
      <c r="P16" s="396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9"/>
    </row>
    <row r="17" spans="2:29" ht="30" customHeight="1" thickBot="1">
      <c r="B17" s="102"/>
      <c r="C17" s="1567" t="s">
        <v>418</v>
      </c>
      <c r="D17" s="1567"/>
      <c r="E17" s="1567"/>
      <c r="F17" s="1567"/>
      <c r="G17" s="1567"/>
      <c r="H17" s="1567"/>
      <c r="I17" s="1567"/>
      <c r="J17" s="1567"/>
      <c r="K17" s="1567"/>
      <c r="L17" s="1567"/>
      <c r="M17" s="1567"/>
      <c r="N17" s="105"/>
      <c r="P17" s="396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9"/>
    </row>
    <row r="18" spans="2:29" s="119" customFormat="1" ht="23.1" customHeight="1">
      <c r="B18" s="116"/>
      <c r="C18" s="1569"/>
      <c r="D18" s="1570"/>
      <c r="E18" s="815"/>
      <c r="F18" s="480"/>
      <c r="G18" s="481"/>
      <c r="H18" s="481"/>
      <c r="I18" s="481"/>
      <c r="J18" s="183">
        <f t="shared" ref="J18:J24" si="0">SUM(F18:I18)</f>
        <v>0</v>
      </c>
      <c r="K18" s="488"/>
      <c r="L18" s="489"/>
      <c r="M18" s="811"/>
      <c r="N18" s="117"/>
      <c r="P18" s="396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9"/>
    </row>
    <row r="19" spans="2:29" ht="23.1" customHeight="1">
      <c r="B19" s="116"/>
      <c r="C19" s="1571"/>
      <c r="D19" s="1572"/>
      <c r="E19" s="816"/>
      <c r="F19" s="473"/>
      <c r="G19" s="474"/>
      <c r="H19" s="474"/>
      <c r="I19" s="474"/>
      <c r="J19" s="175">
        <f t="shared" si="0"/>
        <v>0</v>
      </c>
      <c r="K19" s="490"/>
      <c r="L19" s="491"/>
      <c r="M19" s="812"/>
      <c r="N19" s="105"/>
      <c r="P19" s="396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9"/>
    </row>
    <row r="20" spans="2:29" ht="23.1" customHeight="1">
      <c r="B20" s="116"/>
      <c r="C20" s="1571"/>
      <c r="D20" s="1572"/>
      <c r="E20" s="816"/>
      <c r="F20" s="473"/>
      <c r="G20" s="474"/>
      <c r="H20" s="474"/>
      <c r="I20" s="474"/>
      <c r="J20" s="175">
        <f t="shared" si="0"/>
        <v>0</v>
      </c>
      <c r="K20" s="490"/>
      <c r="L20" s="491"/>
      <c r="M20" s="812"/>
      <c r="N20" s="105"/>
      <c r="P20" s="396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9"/>
    </row>
    <row r="21" spans="2:29" ht="23.1" customHeight="1">
      <c r="B21" s="116"/>
      <c r="C21" s="1571"/>
      <c r="D21" s="1572"/>
      <c r="E21" s="816"/>
      <c r="F21" s="473"/>
      <c r="G21" s="474"/>
      <c r="H21" s="474"/>
      <c r="I21" s="474"/>
      <c r="J21" s="175">
        <f t="shared" si="0"/>
        <v>0</v>
      </c>
      <c r="K21" s="490"/>
      <c r="L21" s="491"/>
      <c r="M21" s="812"/>
      <c r="N21" s="105"/>
      <c r="P21" s="396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9"/>
    </row>
    <row r="22" spans="2:29" ht="23.1" customHeight="1">
      <c r="B22" s="116"/>
      <c r="C22" s="1571"/>
      <c r="D22" s="1572"/>
      <c r="E22" s="817"/>
      <c r="F22" s="482"/>
      <c r="G22" s="483"/>
      <c r="H22" s="483"/>
      <c r="I22" s="483"/>
      <c r="J22" s="175">
        <f t="shared" si="0"/>
        <v>0</v>
      </c>
      <c r="K22" s="492"/>
      <c r="L22" s="493"/>
      <c r="M22" s="813"/>
      <c r="N22" s="105"/>
      <c r="P22" s="396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9"/>
    </row>
    <row r="23" spans="2:29" ht="23.1" customHeight="1">
      <c r="B23" s="116"/>
      <c r="C23" s="1571"/>
      <c r="D23" s="1572"/>
      <c r="E23" s="817"/>
      <c r="F23" s="482"/>
      <c r="G23" s="483"/>
      <c r="H23" s="483"/>
      <c r="I23" s="483"/>
      <c r="J23" s="175">
        <f t="shared" si="0"/>
        <v>0</v>
      </c>
      <c r="K23" s="492"/>
      <c r="L23" s="493"/>
      <c r="M23" s="813"/>
      <c r="N23" s="105"/>
      <c r="P23" s="396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9"/>
    </row>
    <row r="24" spans="2:29" ht="23.1" customHeight="1">
      <c r="B24" s="116"/>
      <c r="C24" s="484"/>
      <c r="D24" s="485"/>
      <c r="E24" s="818"/>
      <c r="F24" s="477"/>
      <c r="G24" s="478"/>
      <c r="H24" s="478"/>
      <c r="I24" s="478"/>
      <c r="J24" s="176">
        <f t="shared" si="0"/>
        <v>0</v>
      </c>
      <c r="K24" s="494"/>
      <c r="L24" s="495"/>
      <c r="M24" s="814"/>
      <c r="N24" s="105"/>
      <c r="P24" s="396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9"/>
    </row>
    <row r="25" spans="2:29" ht="23.1" customHeight="1" thickBot="1">
      <c r="B25" s="116"/>
      <c r="C25" s="162" t="s">
        <v>394</v>
      </c>
      <c r="D25" s="163"/>
      <c r="E25" s="174"/>
      <c r="F25" s="174">
        <f>SUM(F18:F24)</f>
        <v>0</v>
      </c>
      <c r="G25" s="174">
        <f>SUM(G18:G24)</f>
        <v>0</v>
      </c>
      <c r="H25" s="174">
        <f>SUM(H18:H24)</f>
        <v>0</v>
      </c>
      <c r="I25" s="174">
        <f>SUM(I18:I24)</f>
        <v>0</v>
      </c>
      <c r="J25" s="174">
        <f>SUM(J18:J24)</f>
        <v>0</v>
      </c>
      <c r="K25" s="179"/>
      <c r="L25" s="174">
        <f>SUM(L18:L24)</f>
        <v>0</v>
      </c>
      <c r="M25" s="164"/>
      <c r="N25" s="105"/>
      <c r="P25" s="396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9"/>
    </row>
    <row r="26" spans="2:29" ht="30" customHeight="1" thickBot="1">
      <c r="B26" s="102"/>
      <c r="C26" s="1568" t="s">
        <v>419</v>
      </c>
      <c r="D26" s="1568"/>
      <c r="E26" s="1568"/>
      <c r="F26" s="1568"/>
      <c r="G26" s="1568"/>
      <c r="H26" s="1568"/>
      <c r="I26" s="1568"/>
      <c r="J26" s="1568"/>
      <c r="K26" s="1568"/>
      <c r="L26" s="1568"/>
      <c r="M26" s="1568"/>
      <c r="N26" s="105"/>
      <c r="P26" s="396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9"/>
    </row>
    <row r="27" spans="2:29" ht="23.1" customHeight="1">
      <c r="B27" s="116"/>
      <c r="C27" s="1569"/>
      <c r="D27" s="1573"/>
      <c r="E27" s="815"/>
      <c r="F27" s="480"/>
      <c r="G27" s="481"/>
      <c r="H27" s="481"/>
      <c r="I27" s="481"/>
      <c r="J27" s="183">
        <f t="shared" ref="J27:J33" si="1">SUM(F27:I27)</f>
        <v>0</v>
      </c>
      <c r="K27" s="488"/>
      <c r="L27" s="489"/>
      <c r="M27" s="811"/>
      <c r="N27" s="117"/>
      <c r="P27" s="396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9"/>
    </row>
    <row r="28" spans="2:29" ht="23.1" customHeight="1">
      <c r="B28" s="116"/>
      <c r="C28" s="1574"/>
      <c r="D28" s="1575"/>
      <c r="E28" s="816"/>
      <c r="F28" s="473"/>
      <c r="G28" s="474"/>
      <c r="H28" s="474"/>
      <c r="I28" s="474"/>
      <c r="J28" s="175">
        <f t="shared" si="1"/>
        <v>0</v>
      </c>
      <c r="K28" s="490"/>
      <c r="L28" s="491"/>
      <c r="M28" s="812"/>
      <c r="N28" s="105"/>
      <c r="P28" s="396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9"/>
    </row>
    <row r="29" spans="2:29" ht="23.1" customHeight="1">
      <c r="B29" s="116"/>
      <c r="C29" s="1574"/>
      <c r="D29" s="1575"/>
      <c r="E29" s="816"/>
      <c r="F29" s="473"/>
      <c r="G29" s="474"/>
      <c r="H29" s="474"/>
      <c r="I29" s="474"/>
      <c r="J29" s="175">
        <f t="shared" si="1"/>
        <v>0</v>
      </c>
      <c r="K29" s="490"/>
      <c r="L29" s="491"/>
      <c r="M29" s="812"/>
      <c r="N29" s="105"/>
      <c r="P29" s="396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</row>
    <row r="30" spans="2:29" ht="23.1" customHeight="1">
      <c r="B30" s="116"/>
      <c r="C30" s="1574"/>
      <c r="D30" s="1575"/>
      <c r="E30" s="816"/>
      <c r="F30" s="473"/>
      <c r="G30" s="474"/>
      <c r="H30" s="474"/>
      <c r="I30" s="474"/>
      <c r="J30" s="175">
        <f t="shared" si="1"/>
        <v>0</v>
      </c>
      <c r="K30" s="490"/>
      <c r="L30" s="491"/>
      <c r="M30" s="812"/>
      <c r="N30" s="105"/>
      <c r="P30" s="406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8"/>
    </row>
    <row r="31" spans="2:29" ht="23.1" customHeight="1">
      <c r="B31" s="116"/>
      <c r="C31" s="1571"/>
      <c r="D31" s="1572"/>
      <c r="E31" s="817"/>
      <c r="F31" s="482"/>
      <c r="G31" s="483"/>
      <c r="H31" s="483"/>
      <c r="I31" s="483"/>
      <c r="J31" s="175">
        <f t="shared" si="1"/>
        <v>0</v>
      </c>
      <c r="K31" s="492"/>
      <c r="L31" s="493"/>
      <c r="M31" s="813"/>
      <c r="N31" s="105"/>
      <c r="P31" s="406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8"/>
    </row>
    <row r="32" spans="2:29" ht="23.1" customHeight="1">
      <c r="B32" s="116"/>
      <c r="C32" s="1571"/>
      <c r="D32" s="1572"/>
      <c r="E32" s="817"/>
      <c r="F32" s="482"/>
      <c r="G32" s="483"/>
      <c r="H32" s="483"/>
      <c r="I32" s="483"/>
      <c r="J32" s="175">
        <f t="shared" si="1"/>
        <v>0</v>
      </c>
      <c r="K32" s="492"/>
      <c r="L32" s="493"/>
      <c r="M32" s="813"/>
      <c r="N32" s="105"/>
      <c r="P32" s="396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9"/>
    </row>
    <row r="33" spans="2:29" ht="23.1" customHeight="1">
      <c r="B33" s="116"/>
      <c r="C33" s="1577"/>
      <c r="D33" s="1578"/>
      <c r="E33" s="818"/>
      <c r="F33" s="477"/>
      <c r="G33" s="478"/>
      <c r="H33" s="478"/>
      <c r="I33" s="478"/>
      <c r="J33" s="176">
        <f t="shared" si="1"/>
        <v>0</v>
      </c>
      <c r="K33" s="494"/>
      <c r="L33" s="495"/>
      <c r="M33" s="814"/>
      <c r="N33" s="105"/>
      <c r="P33" s="396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9"/>
    </row>
    <row r="34" spans="2:29" ht="23.1" customHeight="1" thickBot="1">
      <c r="B34" s="116"/>
      <c r="C34" s="162" t="s">
        <v>394</v>
      </c>
      <c r="D34" s="163"/>
      <c r="E34" s="174"/>
      <c r="F34" s="174">
        <f>SUM(F27:F33)</f>
        <v>0</v>
      </c>
      <c r="G34" s="174">
        <f>SUM(G27:G33)</f>
        <v>0</v>
      </c>
      <c r="H34" s="174">
        <f>SUM(H27:H33)</f>
        <v>0</v>
      </c>
      <c r="I34" s="174">
        <f>SUM(I27:I33)</f>
        <v>0</v>
      </c>
      <c r="J34" s="174">
        <f>SUM(J27:J33)</f>
        <v>0</v>
      </c>
      <c r="K34" s="179"/>
      <c r="L34" s="174">
        <f>SUM(L27:L33)</f>
        <v>0</v>
      </c>
      <c r="M34" s="164"/>
      <c r="N34" s="105"/>
      <c r="P34" s="396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9"/>
    </row>
    <row r="35" spans="2:29" ht="23.1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396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9"/>
    </row>
    <row r="36" spans="2:29" ht="23.1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09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1"/>
    </row>
    <row r="37" spans="2:29" ht="23.1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09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1"/>
    </row>
    <row r="38" spans="2:29" ht="23.1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09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1"/>
    </row>
    <row r="39" spans="2:29" ht="23.1" customHeight="1">
      <c r="B39" s="116"/>
      <c r="C39" s="194"/>
      <c r="D39" s="195"/>
      <c r="E39" s="196" t="s">
        <v>411</v>
      </c>
      <c r="F39" s="196" t="s">
        <v>388</v>
      </c>
      <c r="G39" s="1564" t="s">
        <v>396</v>
      </c>
      <c r="H39" s="1565"/>
      <c r="I39" s="1565"/>
      <c r="J39" s="196" t="s">
        <v>407</v>
      </c>
      <c r="K39" s="196" t="s">
        <v>416</v>
      </c>
      <c r="L39" s="196" t="s">
        <v>417</v>
      </c>
      <c r="M39" s="1562" t="s">
        <v>712</v>
      </c>
      <c r="N39" s="105"/>
      <c r="P39" s="409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1"/>
    </row>
    <row r="40" spans="2:29" ht="48.95" customHeight="1">
      <c r="B40" s="116"/>
      <c r="C40" s="197" t="s">
        <v>410</v>
      </c>
      <c r="D40" s="198"/>
      <c r="E40" s="199" t="s">
        <v>412</v>
      </c>
      <c r="F40" s="199">
        <f>ejercicio</f>
        <v>2021</v>
      </c>
      <c r="G40" s="200" t="s">
        <v>413</v>
      </c>
      <c r="H40" s="201" t="s">
        <v>414</v>
      </c>
      <c r="I40" s="202" t="s">
        <v>415</v>
      </c>
      <c r="J40" s="199">
        <f>ejercicio</f>
        <v>2021</v>
      </c>
      <c r="K40" s="199" t="s">
        <v>711</v>
      </c>
      <c r="L40" s="199">
        <f>ejercicio</f>
        <v>2021</v>
      </c>
      <c r="M40" s="1563"/>
      <c r="N40" s="105"/>
      <c r="P40" s="409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1"/>
    </row>
    <row r="41" spans="2:29" ht="30" customHeight="1" thickBot="1">
      <c r="B41" s="116"/>
      <c r="C41" s="1567" t="s">
        <v>422</v>
      </c>
      <c r="D41" s="1567"/>
      <c r="E41" s="1567"/>
      <c r="F41" s="1567"/>
      <c r="G41" s="1567"/>
      <c r="H41" s="1567"/>
      <c r="I41" s="1567"/>
      <c r="J41" s="1567"/>
      <c r="K41" s="1567"/>
      <c r="L41" s="1567"/>
      <c r="M41" s="1567"/>
      <c r="N41" s="105"/>
      <c r="P41" s="409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1"/>
    </row>
    <row r="42" spans="2:29" ht="23.1" customHeight="1">
      <c r="B42" s="116"/>
      <c r="C42" s="1569"/>
      <c r="D42" s="1570"/>
      <c r="E42" s="815"/>
      <c r="F42" s="480"/>
      <c r="G42" s="481"/>
      <c r="H42" s="481"/>
      <c r="I42" s="481"/>
      <c r="J42" s="183">
        <f t="shared" ref="J42:J48" si="2">SUM(F42:I42)</f>
        <v>0</v>
      </c>
      <c r="K42" s="488"/>
      <c r="L42" s="807"/>
      <c r="M42" s="811"/>
      <c r="N42" s="105"/>
      <c r="P42" s="409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1"/>
    </row>
    <row r="43" spans="2:29" ht="23.1" customHeight="1">
      <c r="B43" s="116"/>
      <c r="C43" s="1571"/>
      <c r="D43" s="1572"/>
      <c r="E43" s="816"/>
      <c r="F43" s="473"/>
      <c r="G43" s="474"/>
      <c r="H43" s="474"/>
      <c r="I43" s="474"/>
      <c r="J43" s="175">
        <f t="shared" si="2"/>
        <v>0</v>
      </c>
      <c r="K43" s="490"/>
      <c r="L43" s="808"/>
      <c r="M43" s="812"/>
      <c r="N43" s="105"/>
      <c r="P43" s="409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1"/>
    </row>
    <row r="44" spans="2:29" ht="23.1" customHeight="1">
      <c r="B44" s="116"/>
      <c r="C44" s="1571"/>
      <c r="D44" s="1572"/>
      <c r="E44" s="816"/>
      <c r="F44" s="473"/>
      <c r="G44" s="474"/>
      <c r="H44" s="474"/>
      <c r="I44" s="474"/>
      <c r="J44" s="175">
        <f t="shared" si="2"/>
        <v>0</v>
      </c>
      <c r="K44" s="490"/>
      <c r="L44" s="808"/>
      <c r="M44" s="812"/>
      <c r="N44" s="105"/>
      <c r="P44" s="409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1"/>
    </row>
    <row r="45" spans="2:29" ht="23.1" customHeight="1">
      <c r="B45" s="116"/>
      <c r="C45" s="1571"/>
      <c r="D45" s="1572"/>
      <c r="E45" s="816"/>
      <c r="F45" s="473"/>
      <c r="G45" s="474"/>
      <c r="H45" s="474"/>
      <c r="I45" s="474"/>
      <c r="J45" s="175">
        <f t="shared" si="2"/>
        <v>0</v>
      </c>
      <c r="K45" s="490"/>
      <c r="L45" s="808"/>
      <c r="M45" s="812"/>
      <c r="N45" s="105"/>
      <c r="P45" s="409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1"/>
    </row>
    <row r="46" spans="2:29" ht="23.1" customHeight="1">
      <c r="B46" s="116"/>
      <c r="C46" s="1571"/>
      <c r="D46" s="1572"/>
      <c r="E46" s="817"/>
      <c r="F46" s="482"/>
      <c r="G46" s="483"/>
      <c r="H46" s="483"/>
      <c r="I46" s="483"/>
      <c r="J46" s="175">
        <f t="shared" si="2"/>
        <v>0</v>
      </c>
      <c r="K46" s="492"/>
      <c r="L46" s="809"/>
      <c r="M46" s="813"/>
      <c r="N46" s="105"/>
      <c r="P46" s="409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1"/>
    </row>
    <row r="47" spans="2:29" ht="23.1" customHeight="1">
      <c r="B47" s="116"/>
      <c r="C47" s="1571"/>
      <c r="D47" s="1572"/>
      <c r="E47" s="817"/>
      <c r="F47" s="482"/>
      <c r="G47" s="483"/>
      <c r="H47" s="483"/>
      <c r="I47" s="483"/>
      <c r="J47" s="175">
        <f t="shared" si="2"/>
        <v>0</v>
      </c>
      <c r="K47" s="492"/>
      <c r="L47" s="809"/>
      <c r="M47" s="813"/>
      <c r="N47" s="105"/>
      <c r="P47" s="409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1"/>
    </row>
    <row r="48" spans="2:29" ht="23.1" customHeight="1">
      <c r="B48" s="116"/>
      <c r="C48" s="1577"/>
      <c r="D48" s="1578"/>
      <c r="E48" s="818"/>
      <c r="F48" s="477"/>
      <c r="G48" s="478"/>
      <c r="H48" s="478"/>
      <c r="I48" s="478"/>
      <c r="J48" s="176">
        <f t="shared" si="2"/>
        <v>0</v>
      </c>
      <c r="K48" s="494"/>
      <c r="L48" s="810"/>
      <c r="M48" s="814"/>
      <c r="N48" s="105"/>
      <c r="P48" s="409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1"/>
    </row>
    <row r="49" spans="2:29" ht="23.1" customHeight="1" thickBot="1">
      <c r="B49" s="116"/>
      <c r="C49" s="162" t="s">
        <v>394</v>
      </c>
      <c r="D49" s="163"/>
      <c r="E49" s="174"/>
      <c r="F49" s="174">
        <f>SUM(F42:F48)</f>
        <v>0</v>
      </c>
      <c r="G49" s="174">
        <f>SUM(G42:G48)</f>
        <v>0</v>
      </c>
      <c r="H49" s="174">
        <f>SUM(H42:H48)</f>
        <v>0</v>
      </c>
      <c r="I49" s="174">
        <f>SUM(I42:I48)</f>
        <v>0</v>
      </c>
      <c r="J49" s="174">
        <f>SUM(J42:J48)</f>
        <v>0</v>
      </c>
      <c r="K49" s="496"/>
      <c r="L49" s="174">
        <f>SUM(L42:L48)</f>
        <v>0</v>
      </c>
      <c r="M49" s="164"/>
      <c r="N49" s="105"/>
      <c r="P49" s="409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1"/>
    </row>
    <row r="50" spans="2:29" ht="29.1" customHeight="1" thickBot="1">
      <c r="B50" s="116"/>
      <c r="C50" s="1568" t="s">
        <v>423</v>
      </c>
      <c r="D50" s="1568"/>
      <c r="E50" s="1568"/>
      <c r="F50" s="1568"/>
      <c r="G50" s="1568"/>
      <c r="H50" s="1568"/>
      <c r="I50" s="1568"/>
      <c r="J50" s="1568"/>
      <c r="K50" s="1568"/>
      <c r="L50" s="1568"/>
      <c r="M50" s="1568"/>
      <c r="N50" s="105"/>
      <c r="P50" s="409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1"/>
    </row>
    <row r="51" spans="2:29" ht="23.1" customHeight="1">
      <c r="B51" s="116"/>
      <c r="C51" s="1569" t="s">
        <v>1217</v>
      </c>
      <c r="D51" s="1573"/>
      <c r="E51" s="815">
        <v>2600001</v>
      </c>
      <c r="F51" s="480">
        <v>1782.06</v>
      </c>
      <c r="G51" s="481"/>
      <c r="H51" s="481"/>
      <c r="I51" s="481"/>
      <c r="J51" s="183">
        <f t="shared" ref="J51:J57" si="3">SUM(F51:I51)</f>
        <v>1782.06</v>
      </c>
      <c r="K51" s="488"/>
      <c r="L51" s="489"/>
      <c r="M51" s="1478" t="s">
        <v>1220</v>
      </c>
      <c r="N51" s="105"/>
      <c r="P51" s="409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1"/>
    </row>
    <row r="52" spans="2:29" ht="23.1" customHeight="1">
      <c r="B52" s="116"/>
      <c r="C52" s="1574" t="s">
        <v>1218</v>
      </c>
      <c r="D52" s="1575"/>
      <c r="E52" s="816">
        <v>2600004</v>
      </c>
      <c r="F52" s="473">
        <v>300</v>
      </c>
      <c r="G52" s="474"/>
      <c r="H52" s="474"/>
      <c r="I52" s="474"/>
      <c r="J52" s="175">
        <f t="shared" si="3"/>
        <v>300</v>
      </c>
      <c r="K52" s="490"/>
      <c r="L52" s="491"/>
      <c r="M52" s="1478" t="s">
        <v>1220</v>
      </c>
      <c r="N52" s="105"/>
      <c r="P52" s="409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1"/>
    </row>
    <row r="53" spans="2:29" ht="23.1" customHeight="1">
      <c r="B53" s="116"/>
      <c r="C53" s="1574" t="s">
        <v>1219</v>
      </c>
      <c r="D53" s="1575"/>
      <c r="E53" s="816">
        <v>2600005</v>
      </c>
      <c r="F53" s="473">
        <v>600</v>
      </c>
      <c r="G53" s="474"/>
      <c r="H53" s="474"/>
      <c r="I53" s="474"/>
      <c r="J53" s="175">
        <f t="shared" si="3"/>
        <v>600</v>
      </c>
      <c r="K53" s="490"/>
      <c r="L53" s="491"/>
      <c r="M53" s="1478" t="s">
        <v>1220</v>
      </c>
      <c r="N53" s="105"/>
      <c r="P53" s="409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1"/>
    </row>
    <row r="54" spans="2:29" ht="23.1" customHeight="1">
      <c r="B54" s="116"/>
      <c r="C54" s="1571"/>
      <c r="D54" s="1572"/>
      <c r="E54" s="816"/>
      <c r="F54" s="473"/>
      <c r="G54" s="474"/>
      <c r="H54" s="474"/>
      <c r="I54" s="474"/>
      <c r="J54" s="175">
        <f t="shared" si="3"/>
        <v>0</v>
      </c>
      <c r="K54" s="490"/>
      <c r="L54" s="491"/>
      <c r="M54" s="812"/>
      <c r="N54" s="105"/>
      <c r="P54" s="409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1"/>
    </row>
    <row r="55" spans="2:29" ht="23.1" customHeight="1">
      <c r="B55" s="116"/>
      <c r="C55" s="1571"/>
      <c r="D55" s="1572"/>
      <c r="E55" s="817"/>
      <c r="F55" s="482"/>
      <c r="G55" s="483"/>
      <c r="H55" s="483"/>
      <c r="I55" s="483"/>
      <c r="J55" s="175">
        <f t="shared" si="3"/>
        <v>0</v>
      </c>
      <c r="K55" s="492"/>
      <c r="L55" s="493"/>
      <c r="M55" s="813"/>
      <c r="N55" s="105"/>
      <c r="P55" s="409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1"/>
    </row>
    <row r="56" spans="2:29" ht="23.1" customHeight="1">
      <c r="B56" s="116"/>
      <c r="C56" s="1571"/>
      <c r="D56" s="1572"/>
      <c r="E56" s="817"/>
      <c r="F56" s="482"/>
      <c r="G56" s="483"/>
      <c r="H56" s="483"/>
      <c r="I56" s="483"/>
      <c r="J56" s="175">
        <f t="shared" si="3"/>
        <v>0</v>
      </c>
      <c r="K56" s="492"/>
      <c r="L56" s="493"/>
      <c r="M56" s="813"/>
      <c r="N56" s="105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1"/>
    </row>
    <row r="57" spans="2:29" ht="23.1" customHeight="1">
      <c r="B57" s="116"/>
      <c r="C57" s="1577"/>
      <c r="D57" s="1578"/>
      <c r="E57" s="818"/>
      <c r="F57" s="477"/>
      <c r="G57" s="478"/>
      <c r="H57" s="478"/>
      <c r="I57" s="478"/>
      <c r="J57" s="176">
        <f t="shared" si="3"/>
        <v>0</v>
      </c>
      <c r="K57" s="494"/>
      <c r="L57" s="495"/>
      <c r="M57" s="814"/>
      <c r="N57" s="105"/>
      <c r="P57" s="409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1"/>
    </row>
    <row r="58" spans="2:29" ht="23.1" customHeight="1" thickBot="1">
      <c r="B58" s="116"/>
      <c r="C58" s="162" t="s">
        <v>394</v>
      </c>
      <c r="D58" s="163"/>
      <c r="E58" s="174"/>
      <c r="F58" s="174">
        <f>SUM(F51:F57)</f>
        <v>2682.06</v>
      </c>
      <c r="G58" s="174">
        <f>SUM(G51:G57)</f>
        <v>0</v>
      </c>
      <c r="H58" s="174">
        <f>SUM(H51:H57)</f>
        <v>0</v>
      </c>
      <c r="I58" s="174">
        <f>SUM(I51:I57)</f>
        <v>0</v>
      </c>
      <c r="J58" s="174">
        <f>SUM(J51:J57)</f>
        <v>2682.06</v>
      </c>
      <c r="K58" s="179"/>
      <c r="L58" s="174">
        <f>SUM(L51:L57)</f>
        <v>0</v>
      </c>
      <c r="M58" s="164"/>
      <c r="N58" s="105"/>
      <c r="P58" s="409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1"/>
    </row>
    <row r="59" spans="2:29" ht="23.1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09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1"/>
    </row>
    <row r="60" spans="2:29" ht="23.1" customHeight="1">
      <c r="B60" s="116"/>
      <c r="C60" s="170" t="s">
        <v>405</v>
      </c>
      <c r="D60" s="168"/>
      <c r="E60" s="169"/>
      <c r="F60" s="169"/>
      <c r="G60" s="169"/>
      <c r="H60" s="169"/>
      <c r="I60" s="169"/>
      <c r="J60" s="169"/>
      <c r="K60" s="169"/>
      <c r="L60" s="169"/>
      <c r="M60" s="95"/>
      <c r="N60" s="105"/>
      <c r="P60" s="409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  <c r="AC60" s="411"/>
    </row>
    <row r="61" spans="2:29" ht="18">
      <c r="B61" s="116"/>
      <c r="C61" s="168" t="s">
        <v>424</v>
      </c>
      <c r="D61" s="168"/>
      <c r="E61" s="169"/>
      <c r="F61" s="169"/>
      <c r="G61" s="169"/>
      <c r="H61" s="169"/>
      <c r="I61" s="169"/>
      <c r="J61" s="169"/>
      <c r="K61" s="169"/>
      <c r="L61" s="169"/>
      <c r="M61" s="95"/>
      <c r="N61" s="105"/>
      <c r="P61" s="409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1"/>
    </row>
    <row r="62" spans="2:29" ht="18">
      <c r="B62" s="116"/>
      <c r="C62" s="168" t="s">
        <v>425</v>
      </c>
      <c r="D62" s="168"/>
      <c r="E62" s="169"/>
      <c r="F62" s="169"/>
      <c r="G62" s="169"/>
      <c r="H62" s="169"/>
      <c r="I62" s="169"/>
      <c r="J62" s="169"/>
      <c r="K62" s="169"/>
      <c r="L62" s="169"/>
      <c r="M62" s="95"/>
      <c r="N62" s="105"/>
      <c r="P62" s="409"/>
      <c r="Q62" s="410"/>
      <c r="R62" s="410"/>
      <c r="S62" s="410"/>
      <c r="T62" s="410"/>
      <c r="U62" s="410"/>
      <c r="V62" s="410"/>
      <c r="W62" s="410"/>
      <c r="X62" s="410"/>
      <c r="Y62" s="410"/>
      <c r="Z62" s="410"/>
      <c r="AA62" s="410"/>
      <c r="AB62" s="410"/>
      <c r="AC62" s="411"/>
    </row>
    <row r="63" spans="2:29" ht="18">
      <c r="B63" s="116"/>
      <c r="C63" s="168" t="s">
        <v>426</v>
      </c>
      <c r="D63" s="168"/>
      <c r="E63" s="169"/>
      <c r="F63" s="169"/>
      <c r="G63" s="169"/>
      <c r="H63" s="169"/>
      <c r="I63" s="169"/>
      <c r="J63" s="169"/>
      <c r="K63" s="169"/>
      <c r="L63" s="169"/>
      <c r="M63" s="95"/>
      <c r="N63" s="105"/>
      <c r="P63" s="409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1"/>
    </row>
    <row r="64" spans="2:29" ht="18">
      <c r="B64" s="116"/>
      <c r="C64" s="168" t="s">
        <v>427</v>
      </c>
      <c r="D64" s="168"/>
      <c r="E64" s="169"/>
      <c r="F64" s="169"/>
      <c r="G64" s="169"/>
      <c r="H64" s="169"/>
      <c r="I64" s="169"/>
      <c r="J64" s="169"/>
      <c r="K64" s="169"/>
      <c r="L64" s="169"/>
      <c r="M64" s="95"/>
      <c r="N64" s="105"/>
      <c r="P64" s="409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1"/>
    </row>
    <row r="65" spans="2:29" ht="18">
      <c r="B65" s="116"/>
      <c r="C65" s="168" t="s">
        <v>428</v>
      </c>
      <c r="D65" s="168"/>
      <c r="E65" s="169"/>
      <c r="F65" s="169"/>
      <c r="G65" s="169"/>
      <c r="H65" s="169"/>
      <c r="I65" s="169"/>
      <c r="J65" s="169"/>
      <c r="K65" s="169"/>
      <c r="L65" s="169"/>
      <c r="M65" s="95"/>
      <c r="N65" s="105"/>
      <c r="P65" s="409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1"/>
    </row>
    <row r="66" spans="2:29" ht="18">
      <c r="B66" s="116"/>
      <c r="C66" s="168" t="s">
        <v>710</v>
      </c>
      <c r="D66" s="168"/>
      <c r="E66" s="169"/>
      <c r="F66" s="169"/>
      <c r="G66" s="169"/>
      <c r="H66" s="169"/>
      <c r="I66" s="169"/>
      <c r="J66" s="169"/>
      <c r="K66" s="169"/>
      <c r="L66" s="169"/>
      <c r="M66" s="95"/>
      <c r="N66" s="105"/>
      <c r="P66" s="409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  <c r="AC66" s="411"/>
    </row>
    <row r="67" spans="2:29" ht="18">
      <c r="B67" s="116"/>
      <c r="C67" s="168" t="s">
        <v>649</v>
      </c>
      <c r="D67" s="168"/>
      <c r="E67" s="169"/>
      <c r="F67" s="169"/>
      <c r="G67" s="169"/>
      <c r="H67" s="169"/>
      <c r="I67" s="169"/>
      <c r="J67" s="169"/>
      <c r="K67" s="169"/>
      <c r="L67" s="169"/>
      <c r="M67" s="95"/>
      <c r="N67" s="105"/>
      <c r="P67" s="409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1"/>
    </row>
    <row r="68" spans="2:29" ht="18">
      <c r="B68" s="116"/>
      <c r="C68" s="168" t="s">
        <v>429</v>
      </c>
      <c r="D68" s="168"/>
      <c r="E68" s="169"/>
      <c r="F68" s="169"/>
      <c r="G68" s="169"/>
      <c r="H68" s="169"/>
      <c r="I68" s="169"/>
      <c r="J68" s="169"/>
      <c r="K68" s="169"/>
      <c r="L68" s="169"/>
      <c r="M68" s="95"/>
      <c r="N68" s="105"/>
      <c r="P68" s="409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1"/>
    </row>
    <row r="69" spans="2:29" ht="18">
      <c r="B69" s="116"/>
      <c r="C69" s="168" t="s">
        <v>430</v>
      </c>
      <c r="D69" s="168"/>
      <c r="E69" s="169"/>
      <c r="F69" s="169"/>
      <c r="G69" s="169"/>
      <c r="H69" s="169"/>
      <c r="I69" s="169"/>
      <c r="J69" s="169"/>
      <c r="K69" s="169"/>
      <c r="L69" s="169"/>
      <c r="M69" s="95"/>
      <c r="N69" s="105"/>
      <c r="P69" s="409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1"/>
    </row>
    <row r="70" spans="2:29" ht="18">
      <c r="B70" s="116"/>
      <c r="C70" s="168" t="s">
        <v>431</v>
      </c>
      <c r="D70" s="168"/>
      <c r="E70" s="169"/>
      <c r="F70" s="169"/>
      <c r="G70" s="169"/>
      <c r="H70" s="169"/>
      <c r="I70" s="169"/>
      <c r="J70" s="169"/>
      <c r="K70" s="169"/>
      <c r="L70" s="169"/>
      <c r="M70" s="95"/>
      <c r="N70" s="105"/>
      <c r="P70" s="409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1"/>
    </row>
    <row r="71" spans="2:29" ht="23.1" customHeight="1" thickBot="1">
      <c r="B71" s="120"/>
      <c r="C71" s="1504"/>
      <c r="D71" s="1504"/>
      <c r="E71" s="1504"/>
      <c r="F71" s="1504"/>
      <c r="G71" s="56"/>
      <c r="H71" s="56"/>
      <c r="I71" s="56"/>
      <c r="J71" s="56"/>
      <c r="K71" s="56"/>
      <c r="L71" s="56"/>
      <c r="M71" s="121"/>
      <c r="N71" s="122"/>
      <c r="P71" s="412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4"/>
    </row>
    <row r="72" spans="2:29" ht="23.1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885</v>
      </c>
    </row>
    <row r="73" spans="2:29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2:29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29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29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29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2:29" ht="23.1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2:29" ht="23.1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29" ht="23.1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3.1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3:13" ht="23.1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algorithmName="SHA-512" hashValue="zQD+l8RVFc17YhsUaveGVvjrT6wM8LC7S2fLE2ZSzZc05aGz1EQRyhI3qTmd9P4+29msUdp0Pk9lGBvOYUmFIQ==" saltValue="14MJQALCMGEwygjwg1e1oQ==" spinCount="100000"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rgb="FFFF0000"/>
    <pageSetUpPr fitToPage="1"/>
  </sheetPr>
  <dimension ref="A2:AI172"/>
  <sheetViews>
    <sheetView topLeftCell="C1" zoomScale="70" zoomScaleNormal="70" zoomScalePageLayoutView="125" workbookViewId="0">
      <selection activeCell="D74" sqref="D74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5546875" style="96" customWidth="1"/>
    <col min="4" max="4" width="15.88671875" style="96" customWidth="1"/>
    <col min="5" max="5" width="27.88671875" style="97" customWidth="1"/>
    <col min="6" max="6" width="16.109375" style="97" customWidth="1"/>
    <col min="7" max="13" width="15.109375" style="97" customWidth="1"/>
    <col min="14" max="14" width="12.44140625" style="97" customWidth="1"/>
    <col min="15" max="18" width="9.6640625" style="97" customWidth="1"/>
    <col min="19" max="19" width="1.33203125" style="96" customWidth="1"/>
    <col min="20" max="20" width="3.44140625" style="96" customWidth="1"/>
    <col min="21" max="22" width="10.6640625" style="96"/>
    <col min="23" max="24" width="13.33203125" style="96" customWidth="1"/>
    <col min="25" max="16384" width="10.6640625" style="96"/>
  </cols>
  <sheetData>
    <row r="2" spans="1:35" ht="23.1" customHeight="1">
      <c r="D2" s="298" t="str">
        <f>_GENERAL!D2</f>
        <v>Área de Presidencia, Hacienda y Modernización</v>
      </c>
    </row>
    <row r="3" spans="1:35" ht="23.1" customHeight="1">
      <c r="D3" s="298" t="str">
        <f>_GENERAL!D3</f>
        <v>Dirección Insular de Hacienda</v>
      </c>
    </row>
    <row r="4" spans="1:35" ht="23.1" customHeight="1" thickBot="1">
      <c r="A4" s="96" t="s">
        <v>884</v>
      </c>
    </row>
    <row r="5" spans="1:35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393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5"/>
    </row>
    <row r="6" spans="1:35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Q6" s="1489">
        <f>ejercicio</f>
        <v>2021</v>
      </c>
      <c r="R6" s="1373"/>
      <c r="S6" s="105"/>
      <c r="U6" s="396"/>
      <c r="V6" s="398"/>
      <c r="W6" s="398"/>
      <c r="X6" s="397" t="s">
        <v>628</v>
      </c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9"/>
    </row>
    <row r="7" spans="1:35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Q7" s="1489"/>
      <c r="R7" s="1373"/>
      <c r="S7" s="105"/>
      <c r="U7" s="396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9"/>
    </row>
    <row r="8" spans="1:35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7"/>
      <c r="R8" s="107"/>
      <c r="S8" s="105"/>
      <c r="U8" s="396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9"/>
    </row>
    <row r="9" spans="1:35" s="188" customFormat="1" ht="30" customHeight="1">
      <c r="B9" s="186"/>
      <c r="C9" s="896" t="s">
        <v>2</v>
      </c>
      <c r="D9" s="1505" t="str">
        <f>Entidad</f>
        <v>Spet, turismo de Tenerife s.a</v>
      </c>
      <c r="E9" s="1505"/>
      <c r="F9" s="1505"/>
      <c r="G9" s="1505"/>
      <c r="H9" s="1505"/>
      <c r="I9" s="1505"/>
      <c r="J9" s="1505"/>
      <c r="K9" s="1505"/>
      <c r="L9" s="1505"/>
      <c r="M9" s="1505"/>
      <c r="N9" s="1505"/>
      <c r="O9" s="1505"/>
      <c r="P9" s="1505"/>
      <c r="Q9" s="1505"/>
      <c r="R9" s="1505"/>
      <c r="S9" s="187"/>
      <c r="U9" s="396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9"/>
    </row>
    <row r="10" spans="1:35" ht="6.9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396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9"/>
    </row>
    <row r="11" spans="1:35" s="114" customFormat="1" ht="30" customHeight="1">
      <c r="B11" s="110"/>
      <c r="C11" s="111" t="s">
        <v>730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396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9"/>
    </row>
    <row r="12" spans="1:35" s="114" customFormat="1" ht="30" customHeight="1">
      <c r="B12" s="110"/>
      <c r="C12" s="1576"/>
      <c r="D12" s="1576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396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9"/>
    </row>
    <row r="13" spans="1:35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13"/>
      <c r="U13" s="396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9"/>
    </row>
    <row r="14" spans="1:35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13"/>
      <c r="U14" s="396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9"/>
    </row>
    <row r="15" spans="1:35" s="114" customFormat="1" ht="30" customHeight="1">
      <c r="B15" s="110"/>
      <c r="C15" s="1598"/>
      <c r="D15" s="1599"/>
      <c r="E15" s="1608" t="s">
        <v>434</v>
      </c>
      <c r="F15" s="1609"/>
      <c r="G15" s="1604" t="s">
        <v>765</v>
      </c>
      <c r="H15" s="1605"/>
      <c r="I15" s="1605"/>
      <c r="J15" s="1605"/>
      <c r="K15" s="1605"/>
      <c r="L15" s="1606"/>
      <c r="M15" s="1607" t="s">
        <v>763</v>
      </c>
      <c r="N15" s="1593"/>
      <c r="O15" s="877"/>
      <c r="P15" s="877"/>
      <c r="Q15" s="877"/>
      <c r="R15" s="1341"/>
      <c r="S15" s="113"/>
      <c r="U15" s="396"/>
      <c r="V15" s="1338"/>
      <c r="W15" s="1579" t="s">
        <v>1036</v>
      </c>
      <c r="X15" s="1579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9"/>
    </row>
    <row r="16" spans="1:35" s="875" customFormat="1" ht="36" customHeight="1">
      <c r="B16" s="876"/>
      <c r="C16" s="1600" t="s">
        <v>728</v>
      </c>
      <c r="D16" s="1601"/>
      <c r="E16" s="1584" t="s">
        <v>956</v>
      </c>
      <c r="F16" s="1585"/>
      <c r="G16" s="914" t="s">
        <v>762</v>
      </c>
      <c r="H16" s="1588">
        <f>ejercicio-1</f>
        <v>2020</v>
      </c>
      <c r="I16" s="1606"/>
      <c r="J16" s="915" t="s">
        <v>762</v>
      </c>
      <c r="K16" s="1588">
        <f>ejercicio</f>
        <v>2021</v>
      </c>
      <c r="L16" s="1606"/>
      <c r="M16" s="1582" t="s">
        <v>764</v>
      </c>
      <c r="N16" s="1583"/>
      <c r="O16" s="885"/>
      <c r="P16" s="885"/>
      <c r="Q16" s="885"/>
      <c r="R16" s="1341"/>
      <c r="S16" s="879"/>
      <c r="U16" s="880"/>
      <c r="V16" s="1338"/>
      <c r="W16" s="1579"/>
      <c r="X16" s="1579"/>
      <c r="Y16" s="398"/>
      <c r="Z16" s="881"/>
      <c r="AA16" s="881"/>
      <c r="AB16" s="881"/>
      <c r="AC16" s="881"/>
      <c r="AD16" s="881"/>
      <c r="AE16" s="881"/>
      <c r="AF16" s="881"/>
      <c r="AG16" s="881"/>
      <c r="AH16" s="881"/>
      <c r="AI16" s="882"/>
    </row>
    <row r="17" spans="1:35" s="883" customFormat="1" ht="23.1" customHeight="1">
      <c r="B17" s="884"/>
      <c r="C17" s="1590" t="s">
        <v>729</v>
      </c>
      <c r="D17" s="1591"/>
      <c r="E17" s="1586"/>
      <c r="F17" s="1587"/>
      <c r="G17" s="900">
        <f>ejercicio-1</f>
        <v>2020</v>
      </c>
      <c r="H17" s="878" t="s">
        <v>766</v>
      </c>
      <c r="I17" s="902" t="s">
        <v>761</v>
      </c>
      <c r="J17" s="901">
        <f>ejercicio</f>
        <v>2021</v>
      </c>
      <c r="K17" s="878" t="s">
        <v>766</v>
      </c>
      <c r="L17" s="902" t="s">
        <v>761</v>
      </c>
      <c r="M17" s="897">
        <f>ejercicio-1</f>
        <v>2020</v>
      </c>
      <c r="N17" s="878">
        <f>ejercicio</f>
        <v>2021</v>
      </c>
      <c r="O17" s="878" t="s">
        <v>436</v>
      </c>
      <c r="P17" s="878" t="s">
        <v>438</v>
      </c>
      <c r="Q17" s="878" t="s">
        <v>437</v>
      </c>
      <c r="R17" s="1341"/>
      <c r="S17" s="886"/>
      <c r="U17" s="880"/>
      <c r="V17" s="1338"/>
      <c r="W17" s="1319">
        <f>ejercicio-1</f>
        <v>2020</v>
      </c>
      <c r="X17" s="878">
        <f>ejercicio</f>
        <v>2021</v>
      </c>
      <c r="Y17" s="398"/>
      <c r="Z17" s="881"/>
      <c r="AA17" s="881"/>
      <c r="AB17" s="881"/>
      <c r="AC17" s="881"/>
      <c r="AD17" s="881"/>
      <c r="AE17" s="881"/>
      <c r="AF17" s="881"/>
      <c r="AG17" s="881"/>
      <c r="AH17" s="881"/>
      <c r="AI17" s="882"/>
    </row>
    <row r="18" spans="1:35" s="188" customFormat="1" ht="8.1" customHeight="1">
      <c r="B18" s="186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935"/>
      <c r="O18" s="935"/>
      <c r="P18" s="935"/>
      <c r="Q18" s="935"/>
      <c r="R18" s="935"/>
      <c r="S18" s="187"/>
      <c r="U18" s="396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9"/>
    </row>
    <row r="19" spans="1:35" s="119" customFormat="1" ht="23.1" customHeight="1">
      <c r="A19" s="188"/>
      <c r="B19" s="186"/>
      <c r="C19" s="634" t="s">
        <v>388</v>
      </c>
      <c r="D19" s="1407"/>
      <c r="E19" s="1407"/>
      <c r="F19" s="1407"/>
      <c r="G19" s="911">
        <f>H19+I19</f>
        <v>187458.35</v>
      </c>
      <c r="H19" s="497">
        <v>127119.94</v>
      </c>
      <c r="I19" s="903">
        <v>60338.41</v>
      </c>
      <c r="J19" s="911">
        <f>+K19+L19</f>
        <v>181633.82</v>
      </c>
      <c r="K19" s="497">
        <f>H47</f>
        <v>122751.54000000001</v>
      </c>
      <c r="L19" s="903">
        <f>I47</f>
        <v>58882.280000000006</v>
      </c>
      <c r="M19" s="936"/>
      <c r="N19" s="936"/>
      <c r="O19" s="936"/>
      <c r="P19" s="936"/>
      <c r="Q19" s="936"/>
      <c r="R19" s="936"/>
      <c r="S19" s="117"/>
      <c r="U19" s="396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9"/>
    </row>
    <row r="20" spans="1:35" s="119" customFormat="1" ht="9" customHeight="1">
      <c r="A20" s="188"/>
      <c r="B20" s="186"/>
      <c r="C20" s="937"/>
      <c r="D20" s="937"/>
      <c r="E20" s="937"/>
      <c r="G20" s="937"/>
      <c r="H20" s="937"/>
      <c r="I20" s="937"/>
      <c r="J20" s="937"/>
      <c r="K20" s="937"/>
      <c r="L20" s="937"/>
      <c r="M20" s="937"/>
      <c r="N20" s="937"/>
      <c r="O20" s="938"/>
      <c r="P20" s="938"/>
      <c r="Q20" s="938"/>
      <c r="R20" s="938"/>
      <c r="S20" s="117"/>
      <c r="U20" s="396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9"/>
    </row>
    <row r="21" spans="1:35" s="119" customFormat="1" ht="23.1" customHeight="1">
      <c r="A21" s="188"/>
      <c r="B21" s="186"/>
      <c r="C21" s="949"/>
      <c r="D21" s="544"/>
      <c r="E21" s="1218"/>
      <c r="F21" s="1217"/>
      <c r="G21" s="1396">
        <f>H21+I21</f>
        <v>0</v>
      </c>
      <c r="H21" s="469"/>
      <c r="I21" s="904"/>
      <c r="J21" s="1396">
        <f>K21+L21</f>
        <v>0</v>
      </c>
      <c r="K21" s="870"/>
      <c r="L21" s="908"/>
      <c r="M21" s="870"/>
      <c r="N21" s="870"/>
      <c r="O21" s="819"/>
      <c r="P21" s="819"/>
      <c r="Q21" s="820"/>
      <c r="R21" s="1374" t="str">
        <f>IF(AND((G21=M21),(J21=N21)),"","Explicar diferencia entre la aportación s/criterio Entidad y s/criterio Cabildo o AAPP")</f>
        <v/>
      </c>
      <c r="S21" s="117"/>
      <c r="U21" s="396"/>
      <c r="V21" s="398"/>
      <c r="W21" s="398"/>
      <c r="X21" s="398"/>
      <c r="Y21" s="1337"/>
      <c r="Z21" s="398"/>
      <c r="AA21" s="398"/>
      <c r="AB21" s="398"/>
      <c r="AC21" s="398"/>
      <c r="AD21" s="398"/>
      <c r="AE21" s="398"/>
      <c r="AF21" s="398"/>
      <c r="AG21" s="398"/>
      <c r="AH21" s="398"/>
      <c r="AI21" s="399"/>
    </row>
    <row r="22" spans="1:35" s="119" customFormat="1" ht="23.1" customHeight="1">
      <c r="A22" s="188"/>
      <c r="B22" s="186"/>
      <c r="C22" s="1215"/>
      <c r="D22" s="1216"/>
      <c r="E22" s="1218"/>
      <c r="F22" s="1227"/>
      <c r="G22" s="1397">
        <f t="shared" ref="G22:G43" si="0">H22+I22</f>
        <v>0</v>
      </c>
      <c r="H22" s="480"/>
      <c r="I22" s="905"/>
      <c r="J22" s="1399">
        <f t="shared" ref="J22:J43" si="1">K22+L22</f>
        <v>0</v>
      </c>
      <c r="K22" s="871"/>
      <c r="L22" s="909"/>
      <c r="M22" s="871"/>
      <c r="N22" s="871"/>
      <c r="O22" s="821"/>
      <c r="P22" s="821"/>
      <c r="Q22" s="822"/>
      <c r="R22" s="1374" t="str">
        <f t="shared" ref="R22:R42" si="2">IF(AND((G22=M22),(J22=N22)),"","Explicar diferencia entre la aportación s/criterio Entidad y s/criterio Cabildo o AAPP")</f>
        <v/>
      </c>
      <c r="S22" s="117"/>
      <c r="U22" s="396"/>
      <c r="V22" s="398"/>
      <c r="W22" s="1469">
        <f>G22-M22</f>
        <v>0</v>
      </c>
      <c r="X22" s="1469">
        <f>J22-N22</f>
        <v>0</v>
      </c>
      <c r="Y22" s="1337" t="s">
        <v>1168</v>
      </c>
      <c r="Z22" s="398"/>
      <c r="AA22" s="398"/>
      <c r="AB22" s="398"/>
      <c r="AC22" s="398"/>
      <c r="AD22" s="398"/>
      <c r="AE22" s="398"/>
      <c r="AF22" s="398"/>
      <c r="AG22" s="398"/>
      <c r="AH22" s="398"/>
      <c r="AI22" s="399"/>
    </row>
    <row r="23" spans="1:35" s="119" customFormat="1" ht="23.1" customHeight="1">
      <c r="A23" s="188"/>
      <c r="B23" s="186"/>
      <c r="C23" s="1215"/>
      <c r="D23" s="1216"/>
      <c r="E23" s="1218"/>
      <c r="F23" s="1227"/>
      <c r="G23" s="1397">
        <f t="shared" si="0"/>
        <v>0</v>
      </c>
      <c r="H23" s="480"/>
      <c r="I23" s="905"/>
      <c r="J23" s="1399">
        <f t="shared" si="1"/>
        <v>0</v>
      </c>
      <c r="K23" s="871"/>
      <c r="L23" s="909"/>
      <c r="M23" s="871"/>
      <c r="N23" s="871"/>
      <c r="O23" s="821"/>
      <c r="P23" s="821"/>
      <c r="Q23" s="822"/>
      <c r="R23" s="1374" t="str">
        <f t="shared" si="2"/>
        <v/>
      </c>
      <c r="S23" s="117"/>
      <c r="U23" s="396"/>
      <c r="V23" s="398"/>
      <c r="W23" s="398"/>
      <c r="X23" s="398"/>
      <c r="Y23" s="1337"/>
      <c r="Z23" s="398"/>
      <c r="AA23" s="398"/>
      <c r="AB23" s="398"/>
      <c r="AC23" s="398"/>
      <c r="AD23" s="398"/>
      <c r="AE23" s="398"/>
      <c r="AF23" s="398"/>
      <c r="AG23" s="398"/>
      <c r="AH23" s="398"/>
      <c r="AI23" s="399"/>
    </row>
    <row r="24" spans="1:35" s="119" customFormat="1" ht="23.1" customHeight="1">
      <c r="A24" s="188"/>
      <c r="B24" s="186"/>
      <c r="C24" s="1215"/>
      <c r="D24" s="1216"/>
      <c r="E24" s="1218"/>
      <c r="F24" s="1227"/>
      <c r="G24" s="1397">
        <f t="shared" si="0"/>
        <v>0</v>
      </c>
      <c r="H24" s="480"/>
      <c r="I24" s="905"/>
      <c r="J24" s="1399">
        <f t="shared" si="1"/>
        <v>0</v>
      </c>
      <c r="K24" s="871"/>
      <c r="L24" s="909"/>
      <c r="M24" s="871"/>
      <c r="N24" s="871"/>
      <c r="O24" s="821"/>
      <c r="P24" s="821"/>
      <c r="Q24" s="822"/>
      <c r="R24" s="1374" t="str">
        <f t="shared" si="2"/>
        <v/>
      </c>
      <c r="S24" s="117"/>
      <c r="U24" s="396"/>
      <c r="V24" s="398"/>
      <c r="W24" s="398"/>
      <c r="X24" s="398"/>
      <c r="Y24" s="1337"/>
      <c r="Z24" s="398"/>
      <c r="AA24" s="398"/>
      <c r="AB24" s="398"/>
      <c r="AC24" s="398"/>
      <c r="AD24" s="398"/>
      <c r="AE24" s="398"/>
      <c r="AF24" s="398"/>
      <c r="AG24" s="398"/>
      <c r="AH24" s="398"/>
      <c r="AI24" s="399"/>
    </row>
    <row r="25" spans="1:35" s="119" customFormat="1" ht="23.1" customHeight="1">
      <c r="A25" s="188"/>
      <c r="B25" s="186"/>
      <c r="C25" s="1215"/>
      <c r="D25" s="1216"/>
      <c r="E25" s="1218"/>
      <c r="F25" s="1227"/>
      <c r="G25" s="1397">
        <f t="shared" si="0"/>
        <v>0</v>
      </c>
      <c r="H25" s="480"/>
      <c r="I25" s="905"/>
      <c r="J25" s="1399">
        <f t="shared" si="1"/>
        <v>0</v>
      </c>
      <c r="K25" s="871"/>
      <c r="L25" s="909"/>
      <c r="M25" s="871"/>
      <c r="N25" s="871"/>
      <c r="O25" s="821"/>
      <c r="P25" s="821"/>
      <c r="Q25" s="822"/>
      <c r="R25" s="1374" t="str">
        <f t="shared" si="2"/>
        <v/>
      </c>
      <c r="S25" s="117"/>
      <c r="U25" s="396"/>
      <c r="V25" s="398"/>
      <c r="W25" s="398"/>
      <c r="X25" s="398"/>
      <c r="Y25" s="1337"/>
      <c r="Z25" s="398"/>
      <c r="AA25" s="398"/>
      <c r="AB25" s="398"/>
      <c r="AC25" s="398"/>
      <c r="AD25" s="398"/>
      <c r="AE25" s="398"/>
      <c r="AF25" s="398"/>
      <c r="AG25" s="398"/>
      <c r="AH25" s="398"/>
      <c r="AI25" s="399"/>
    </row>
    <row r="26" spans="1:35" s="119" customFormat="1" ht="23.1" customHeight="1">
      <c r="A26" s="188"/>
      <c r="B26" s="186"/>
      <c r="C26" s="1215"/>
      <c r="D26" s="1216"/>
      <c r="E26" s="1218"/>
      <c r="F26" s="1227"/>
      <c r="G26" s="1397">
        <f t="shared" si="0"/>
        <v>0</v>
      </c>
      <c r="H26" s="480"/>
      <c r="I26" s="905"/>
      <c r="J26" s="1399">
        <f t="shared" si="1"/>
        <v>0</v>
      </c>
      <c r="K26" s="871"/>
      <c r="L26" s="909"/>
      <c r="M26" s="871"/>
      <c r="N26" s="871"/>
      <c r="O26" s="821"/>
      <c r="P26" s="821"/>
      <c r="Q26" s="822"/>
      <c r="R26" s="1374" t="str">
        <f t="shared" si="2"/>
        <v/>
      </c>
      <c r="S26" s="117"/>
      <c r="U26" s="396"/>
      <c r="V26" s="398"/>
      <c r="W26" s="398"/>
      <c r="X26" s="398"/>
      <c r="Y26" s="1337"/>
      <c r="Z26" s="398"/>
      <c r="AA26" s="398"/>
      <c r="AB26" s="398"/>
      <c r="AC26" s="398"/>
      <c r="AD26" s="398"/>
      <c r="AE26" s="398"/>
      <c r="AF26" s="398"/>
      <c r="AG26" s="398"/>
      <c r="AH26" s="398"/>
      <c r="AI26" s="399"/>
    </row>
    <row r="27" spans="1:35" s="119" customFormat="1" ht="23.1" customHeight="1">
      <c r="A27" s="188"/>
      <c r="B27" s="186"/>
      <c r="C27" s="1215"/>
      <c r="D27" s="1216"/>
      <c r="E27" s="1218"/>
      <c r="F27" s="1227"/>
      <c r="G27" s="1397">
        <f t="shared" si="0"/>
        <v>0</v>
      </c>
      <c r="H27" s="480"/>
      <c r="I27" s="905"/>
      <c r="J27" s="1399">
        <f t="shared" si="1"/>
        <v>0</v>
      </c>
      <c r="K27" s="871"/>
      <c r="L27" s="909"/>
      <c r="M27" s="871"/>
      <c r="N27" s="871"/>
      <c r="O27" s="821"/>
      <c r="P27" s="821"/>
      <c r="Q27" s="822"/>
      <c r="R27" s="1374" t="str">
        <f t="shared" si="2"/>
        <v/>
      </c>
      <c r="S27" s="117"/>
      <c r="U27" s="396"/>
      <c r="V27" s="398"/>
      <c r="W27" s="398"/>
      <c r="X27" s="398"/>
      <c r="Y27" s="1337"/>
      <c r="Z27" s="398"/>
      <c r="AA27" s="398"/>
      <c r="AB27" s="398"/>
      <c r="AC27" s="398"/>
      <c r="AD27" s="398"/>
      <c r="AE27" s="398"/>
      <c r="AF27" s="398"/>
      <c r="AG27" s="398"/>
      <c r="AH27" s="398"/>
      <c r="AI27" s="399"/>
    </row>
    <row r="28" spans="1:35" s="119" customFormat="1" ht="23.1" customHeight="1">
      <c r="A28" s="188"/>
      <c r="B28" s="186"/>
      <c r="C28" s="1215"/>
      <c r="D28" s="1216"/>
      <c r="E28" s="1218"/>
      <c r="F28" s="1227"/>
      <c r="G28" s="1397">
        <f t="shared" si="0"/>
        <v>0</v>
      </c>
      <c r="H28" s="480"/>
      <c r="I28" s="905"/>
      <c r="J28" s="1399">
        <f t="shared" si="1"/>
        <v>0</v>
      </c>
      <c r="K28" s="871"/>
      <c r="L28" s="909"/>
      <c r="M28" s="871"/>
      <c r="N28" s="871"/>
      <c r="O28" s="821"/>
      <c r="P28" s="821"/>
      <c r="Q28" s="822"/>
      <c r="R28" s="1374" t="str">
        <f t="shared" si="2"/>
        <v/>
      </c>
      <c r="S28" s="117"/>
      <c r="U28" s="396"/>
      <c r="V28" s="398"/>
      <c r="W28" s="398"/>
      <c r="X28" s="398"/>
      <c r="Y28" s="1337"/>
      <c r="Z28" s="398"/>
      <c r="AA28" s="398"/>
      <c r="AB28" s="398"/>
      <c r="AC28" s="398"/>
      <c r="AD28" s="398"/>
      <c r="AE28" s="398"/>
      <c r="AF28" s="398"/>
      <c r="AG28" s="398"/>
      <c r="AH28" s="398"/>
      <c r="AI28" s="399"/>
    </row>
    <row r="29" spans="1:35" s="119" customFormat="1" ht="23.1" customHeight="1">
      <c r="A29" s="188"/>
      <c r="B29" s="186"/>
      <c r="C29" s="1215"/>
      <c r="D29" s="1216"/>
      <c r="E29" s="1218"/>
      <c r="F29" s="1227"/>
      <c r="G29" s="1397">
        <f t="shared" si="0"/>
        <v>0</v>
      </c>
      <c r="H29" s="480"/>
      <c r="I29" s="905"/>
      <c r="J29" s="1399">
        <f t="shared" si="1"/>
        <v>0</v>
      </c>
      <c r="K29" s="871"/>
      <c r="L29" s="909"/>
      <c r="M29" s="871"/>
      <c r="N29" s="871"/>
      <c r="O29" s="821"/>
      <c r="P29" s="821"/>
      <c r="Q29" s="822"/>
      <c r="R29" s="1374" t="str">
        <f t="shared" si="2"/>
        <v/>
      </c>
      <c r="S29" s="117"/>
      <c r="U29" s="396"/>
      <c r="V29" s="398"/>
      <c r="W29" s="398"/>
      <c r="X29" s="398"/>
      <c r="Y29" s="1337"/>
      <c r="Z29" s="398"/>
      <c r="AA29" s="398"/>
      <c r="AB29" s="398"/>
      <c r="AC29" s="398"/>
      <c r="AD29" s="398"/>
      <c r="AE29" s="398"/>
      <c r="AF29" s="398"/>
      <c r="AG29" s="398"/>
      <c r="AH29" s="398"/>
      <c r="AI29" s="399"/>
    </row>
    <row r="30" spans="1:35" s="119" customFormat="1" ht="23.1" customHeight="1">
      <c r="A30" s="188"/>
      <c r="B30" s="186"/>
      <c r="C30" s="1215"/>
      <c r="D30" s="1216"/>
      <c r="E30" s="1218"/>
      <c r="F30" s="1227"/>
      <c r="G30" s="1397">
        <f t="shared" si="0"/>
        <v>0</v>
      </c>
      <c r="H30" s="480"/>
      <c r="I30" s="905"/>
      <c r="J30" s="1399">
        <f t="shared" si="1"/>
        <v>0</v>
      </c>
      <c r="K30" s="871"/>
      <c r="L30" s="909"/>
      <c r="M30" s="871"/>
      <c r="N30" s="871"/>
      <c r="O30" s="821"/>
      <c r="P30" s="821"/>
      <c r="Q30" s="822"/>
      <c r="R30" s="1374" t="str">
        <f t="shared" si="2"/>
        <v/>
      </c>
      <c r="S30" s="117"/>
      <c r="U30" s="396"/>
      <c r="V30" s="398"/>
      <c r="W30" s="398"/>
      <c r="X30" s="398"/>
      <c r="Y30" s="1337"/>
      <c r="Z30" s="398"/>
      <c r="AA30" s="398"/>
      <c r="AB30" s="398"/>
      <c r="AC30" s="398"/>
      <c r="AD30" s="398"/>
      <c r="AE30" s="398"/>
      <c r="AF30" s="398"/>
      <c r="AG30" s="398"/>
      <c r="AH30" s="398"/>
      <c r="AI30" s="399"/>
    </row>
    <row r="31" spans="1:35" s="119" customFormat="1" ht="23.1" customHeight="1">
      <c r="A31" s="188"/>
      <c r="B31" s="186"/>
      <c r="C31" s="1215"/>
      <c r="D31" s="1216"/>
      <c r="E31" s="1218"/>
      <c r="F31" s="1227"/>
      <c r="G31" s="1397">
        <f t="shared" si="0"/>
        <v>0</v>
      </c>
      <c r="H31" s="480"/>
      <c r="I31" s="905"/>
      <c r="J31" s="1399">
        <f t="shared" si="1"/>
        <v>0</v>
      </c>
      <c r="K31" s="871"/>
      <c r="L31" s="909"/>
      <c r="M31" s="871"/>
      <c r="N31" s="871"/>
      <c r="O31" s="821"/>
      <c r="P31" s="821"/>
      <c r="Q31" s="822"/>
      <c r="R31" s="1374" t="str">
        <f t="shared" si="2"/>
        <v/>
      </c>
      <c r="S31" s="117"/>
      <c r="U31" s="396"/>
      <c r="V31" s="398"/>
      <c r="W31" s="398"/>
      <c r="X31" s="398"/>
      <c r="Y31" s="1337"/>
      <c r="Z31" s="398"/>
      <c r="AA31" s="398"/>
      <c r="AB31" s="398"/>
      <c r="AC31" s="398"/>
      <c r="AD31" s="398"/>
      <c r="AE31" s="398"/>
      <c r="AF31" s="398"/>
      <c r="AG31" s="398"/>
      <c r="AH31" s="398"/>
      <c r="AI31" s="399"/>
    </row>
    <row r="32" spans="1:35" s="119" customFormat="1" ht="23.1" customHeight="1">
      <c r="A32" s="188"/>
      <c r="B32" s="186"/>
      <c r="C32" s="1215"/>
      <c r="D32" s="1216"/>
      <c r="E32" s="1218"/>
      <c r="F32" s="1227"/>
      <c r="G32" s="1397">
        <f t="shared" si="0"/>
        <v>0</v>
      </c>
      <c r="H32" s="480"/>
      <c r="I32" s="905"/>
      <c r="J32" s="1399">
        <f t="shared" si="1"/>
        <v>0</v>
      </c>
      <c r="K32" s="871"/>
      <c r="L32" s="909"/>
      <c r="M32" s="871"/>
      <c r="N32" s="871"/>
      <c r="O32" s="821"/>
      <c r="P32" s="821"/>
      <c r="Q32" s="822"/>
      <c r="R32" s="1374" t="str">
        <f t="shared" si="2"/>
        <v/>
      </c>
      <c r="S32" s="117"/>
      <c r="U32" s="396"/>
      <c r="V32" s="398"/>
      <c r="W32" s="398"/>
      <c r="X32" s="398"/>
      <c r="Y32" s="1337"/>
      <c r="Z32" s="398"/>
      <c r="AA32" s="398"/>
      <c r="AB32" s="398"/>
      <c r="AC32" s="398"/>
      <c r="AD32" s="398"/>
      <c r="AE32" s="398"/>
      <c r="AF32" s="398"/>
      <c r="AG32" s="398"/>
      <c r="AH32" s="398"/>
      <c r="AI32" s="399"/>
    </row>
    <row r="33" spans="1:35" s="119" customFormat="1" ht="23.1" customHeight="1">
      <c r="A33" s="188"/>
      <c r="B33" s="186"/>
      <c r="C33" s="1215"/>
      <c r="D33" s="1216"/>
      <c r="E33" s="1218"/>
      <c r="F33" s="1227"/>
      <c r="G33" s="1397">
        <f t="shared" si="0"/>
        <v>0</v>
      </c>
      <c r="H33" s="480"/>
      <c r="I33" s="905"/>
      <c r="J33" s="1399">
        <f t="shared" si="1"/>
        <v>0</v>
      </c>
      <c r="K33" s="871"/>
      <c r="L33" s="909"/>
      <c r="M33" s="871"/>
      <c r="N33" s="871"/>
      <c r="O33" s="821"/>
      <c r="P33" s="821"/>
      <c r="Q33" s="822"/>
      <c r="R33" s="1374" t="str">
        <f t="shared" si="2"/>
        <v/>
      </c>
      <c r="S33" s="117"/>
      <c r="U33" s="396"/>
      <c r="V33" s="398"/>
      <c r="W33" s="398"/>
      <c r="X33" s="398"/>
      <c r="Y33" s="1337"/>
      <c r="Z33" s="398"/>
      <c r="AA33" s="398"/>
      <c r="AB33" s="398"/>
      <c r="AC33" s="398"/>
      <c r="AD33" s="398"/>
      <c r="AE33" s="398"/>
      <c r="AF33" s="398"/>
      <c r="AG33" s="398"/>
      <c r="AH33" s="398"/>
      <c r="AI33" s="399"/>
    </row>
    <row r="34" spans="1:35" s="119" customFormat="1" ht="23.1" customHeight="1">
      <c r="A34" s="188"/>
      <c r="B34" s="186"/>
      <c r="C34" s="1215"/>
      <c r="D34" s="1216"/>
      <c r="E34" s="1218"/>
      <c r="F34" s="1227"/>
      <c r="G34" s="1397">
        <f t="shared" si="0"/>
        <v>0</v>
      </c>
      <c r="H34" s="480"/>
      <c r="I34" s="905"/>
      <c r="J34" s="1399">
        <f t="shared" si="1"/>
        <v>0</v>
      </c>
      <c r="K34" s="871"/>
      <c r="L34" s="909"/>
      <c r="M34" s="871"/>
      <c r="N34" s="871"/>
      <c r="O34" s="821"/>
      <c r="P34" s="821"/>
      <c r="Q34" s="822"/>
      <c r="R34" s="1374" t="str">
        <f t="shared" si="2"/>
        <v/>
      </c>
      <c r="S34" s="117"/>
      <c r="U34" s="396"/>
      <c r="V34" s="398"/>
      <c r="W34" s="398"/>
      <c r="X34" s="398"/>
      <c r="Y34" s="1337"/>
      <c r="Z34" s="398"/>
      <c r="AA34" s="398"/>
      <c r="AB34" s="398"/>
      <c r="AC34" s="398"/>
      <c r="AD34" s="398"/>
      <c r="AE34" s="398"/>
      <c r="AF34" s="398"/>
      <c r="AG34" s="398"/>
      <c r="AH34" s="398"/>
      <c r="AI34" s="399"/>
    </row>
    <row r="35" spans="1:35" s="119" customFormat="1" ht="23.1" customHeight="1">
      <c r="A35" s="188"/>
      <c r="B35" s="186"/>
      <c r="C35" s="1215"/>
      <c r="D35" s="1216"/>
      <c r="E35" s="1218"/>
      <c r="F35" s="1227"/>
      <c r="G35" s="1397">
        <f t="shared" si="0"/>
        <v>0</v>
      </c>
      <c r="H35" s="480"/>
      <c r="I35" s="905"/>
      <c r="J35" s="1399">
        <f t="shared" si="1"/>
        <v>0</v>
      </c>
      <c r="K35" s="871"/>
      <c r="L35" s="909"/>
      <c r="M35" s="871"/>
      <c r="N35" s="871"/>
      <c r="O35" s="821"/>
      <c r="P35" s="821"/>
      <c r="Q35" s="822"/>
      <c r="R35" s="1374" t="str">
        <f t="shared" si="2"/>
        <v/>
      </c>
      <c r="S35" s="117"/>
      <c r="U35" s="396"/>
      <c r="V35" s="398"/>
      <c r="W35" s="398"/>
      <c r="X35" s="398"/>
      <c r="Y35" s="1337"/>
      <c r="Z35" s="398"/>
      <c r="AA35" s="398"/>
      <c r="AB35" s="398"/>
      <c r="AC35" s="398"/>
      <c r="AD35" s="398"/>
      <c r="AE35" s="398"/>
      <c r="AF35" s="398"/>
      <c r="AG35" s="398"/>
      <c r="AH35" s="398"/>
      <c r="AI35" s="399"/>
    </row>
    <row r="36" spans="1:35" s="119" customFormat="1" ht="23.1" customHeight="1">
      <c r="A36" s="188"/>
      <c r="B36" s="186"/>
      <c r="C36" s="1215"/>
      <c r="D36" s="1216"/>
      <c r="E36" s="1218"/>
      <c r="F36" s="1227"/>
      <c r="G36" s="1397">
        <f t="shared" si="0"/>
        <v>0</v>
      </c>
      <c r="H36" s="480"/>
      <c r="I36" s="905"/>
      <c r="J36" s="1399">
        <f t="shared" si="1"/>
        <v>0</v>
      </c>
      <c r="K36" s="871"/>
      <c r="L36" s="909"/>
      <c r="M36" s="871"/>
      <c r="N36" s="871"/>
      <c r="O36" s="821"/>
      <c r="P36" s="821"/>
      <c r="Q36" s="822"/>
      <c r="R36" s="1374" t="str">
        <f t="shared" si="2"/>
        <v/>
      </c>
      <c r="S36" s="117"/>
      <c r="U36" s="396"/>
      <c r="V36" s="398"/>
      <c r="W36" s="398"/>
      <c r="X36" s="398"/>
      <c r="Y36" s="1337"/>
      <c r="Z36" s="398"/>
      <c r="AA36" s="398"/>
      <c r="AB36" s="398"/>
      <c r="AC36" s="398"/>
      <c r="AD36" s="398"/>
      <c r="AE36" s="398"/>
      <c r="AF36" s="398"/>
      <c r="AG36" s="398"/>
      <c r="AH36" s="398"/>
      <c r="AI36" s="399"/>
    </row>
    <row r="37" spans="1:35" s="119" customFormat="1" ht="23.1" customHeight="1">
      <c r="A37" s="188"/>
      <c r="B37" s="186"/>
      <c r="C37" s="1215"/>
      <c r="D37" s="1216"/>
      <c r="E37" s="1218"/>
      <c r="F37" s="1227"/>
      <c r="G37" s="1397">
        <f t="shared" si="0"/>
        <v>0</v>
      </c>
      <c r="H37" s="480"/>
      <c r="I37" s="905"/>
      <c r="J37" s="1399">
        <f t="shared" si="1"/>
        <v>0</v>
      </c>
      <c r="K37" s="871"/>
      <c r="L37" s="909"/>
      <c r="M37" s="871"/>
      <c r="N37" s="871"/>
      <c r="O37" s="821"/>
      <c r="P37" s="821"/>
      <c r="Q37" s="822"/>
      <c r="R37" s="1374" t="str">
        <f t="shared" si="2"/>
        <v/>
      </c>
      <c r="S37" s="117"/>
      <c r="U37" s="396"/>
      <c r="V37" s="398"/>
      <c r="W37" s="398"/>
      <c r="X37" s="398"/>
      <c r="Y37" s="1337"/>
      <c r="Z37" s="398"/>
      <c r="AA37" s="398"/>
      <c r="AB37" s="398"/>
      <c r="AC37" s="398"/>
      <c r="AD37" s="398"/>
      <c r="AE37" s="398"/>
      <c r="AF37" s="398"/>
      <c r="AG37" s="398"/>
      <c r="AH37" s="398"/>
      <c r="AI37" s="399"/>
    </row>
    <row r="38" spans="1:35" s="119" customFormat="1" ht="23.1" customHeight="1">
      <c r="A38" s="188"/>
      <c r="B38" s="186"/>
      <c r="C38" s="1215"/>
      <c r="D38" s="1216"/>
      <c r="E38" s="1218"/>
      <c r="F38" s="1227"/>
      <c r="G38" s="1397">
        <f t="shared" si="0"/>
        <v>0</v>
      </c>
      <c r="H38" s="480"/>
      <c r="I38" s="905"/>
      <c r="J38" s="1399">
        <f t="shared" si="1"/>
        <v>0</v>
      </c>
      <c r="K38" s="871"/>
      <c r="L38" s="909"/>
      <c r="M38" s="871"/>
      <c r="N38" s="871"/>
      <c r="O38" s="821"/>
      <c r="P38" s="821"/>
      <c r="Q38" s="822"/>
      <c r="R38" s="1374" t="str">
        <f t="shared" si="2"/>
        <v/>
      </c>
      <c r="S38" s="117"/>
      <c r="U38" s="396"/>
      <c r="V38" s="398"/>
      <c r="W38" s="398"/>
      <c r="X38" s="398"/>
      <c r="Y38" s="1337"/>
      <c r="Z38" s="398"/>
      <c r="AA38" s="398"/>
      <c r="AB38" s="398"/>
      <c r="AC38" s="398"/>
      <c r="AD38" s="398"/>
      <c r="AE38" s="398"/>
      <c r="AF38" s="398"/>
      <c r="AG38" s="398"/>
      <c r="AH38" s="398"/>
      <c r="AI38" s="399"/>
    </row>
    <row r="39" spans="1:35" s="119" customFormat="1" ht="23.1" customHeight="1">
      <c r="A39" s="188"/>
      <c r="B39" s="186"/>
      <c r="C39" s="1215"/>
      <c r="D39" s="1216"/>
      <c r="E39" s="1218"/>
      <c r="F39" s="1227"/>
      <c r="G39" s="1397">
        <f t="shared" si="0"/>
        <v>0</v>
      </c>
      <c r="H39" s="480"/>
      <c r="I39" s="905"/>
      <c r="J39" s="1399">
        <f t="shared" si="1"/>
        <v>0</v>
      </c>
      <c r="K39" s="871"/>
      <c r="L39" s="909"/>
      <c r="M39" s="871"/>
      <c r="N39" s="871"/>
      <c r="O39" s="821"/>
      <c r="P39" s="821"/>
      <c r="Q39" s="822"/>
      <c r="R39" s="1374" t="str">
        <f t="shared" si="2"/>
        <v/>
      </c>
      <c r="S39" s="117"/>
      <c r="U39" s="396"/>
      <c r="V39" s="398"/>
      <c r="W39" s="398"/>
      <c r="X39" s="398"/>
      <c r="Y39" s="1337"/>
      <c r="Z39" s="398"/>
      <c r="AA39" s="398"/>
      <c r="AB39" s="398"/>
      <c r="AC39" s="398"/>
      <c r="AD39" s="398"/>
      <c r="AE39" s="398"/>
      <c r="AF39" s="398"/>
      <c r="AG39" s="398"/>
      <c r="AH39" s="398"/>
      <c r="AI39" s="399"/>
    </row>
    <row r="40" spans="1:35" s="119" customFormat="1" ht="23.1" customHeight="1">
      <c r="A40" s="188"/>
      <c r="B40" s="186"/>
      <c r="C40" s="1215"/>
      <c r="D40" s="1216"/>
      <c r="E40" s="1218"/>
      <c r="F40" s="1227"/>
      <c r="G40" s="1397">
        <f t="shared" si="0"/>
        <v>0</v>
      </c>
      <c r="H40" s="480"/>
      <c r="I40" s="905"/>
      <c r="J40" s="1399">
        <f t="shared" si="1"/>
        <v>0</v>
      </c>
      <c r="K40" s="871"/>
      <c r="L40" s="909"/>
      <c r="M40" s="871"/>
      <c r="N40" s="871"/>
      <c r="O40" s="821"/>
      <c r="P40" s="821"/>
      <c r="Q40" s="822"/>
      <c r="R40" s="1374" t="str">
        <f t="shared" si="2"/>
        <v/>
      </c>
      <c r="S40" s="117"/>
      <c r="U40" s="396"/>
      <c r="V40" s="398"/>
      <c r="W40" s="398"/>
      <c r="X40" s="398"/>
      <c r="Y40" s="1337"/>
      <c r="Z40" s="398"/>
      <c r="AA40" s="398"/>
      <c r="AB40" s="398"/>
      <c r="AC40" s="398"/>
      <c r="AD40" s="398"/>
      <c r="AE40" s="398"/>
      <c r="AF40" s="398"/>
      <c r="AG40" s="398"/>
      <c r="AH40" s="398"/>
      <c r="AI40" s="399"/>
    </row>
    <row r="41" spans="1:35" s="119" customFormat="1" ht="23.1" customHeight="1">
      <c r="A41" s="188"/>
      <c r="B41" s="186"/>
      <c r="C41" s="1215"/>
      <c r="D41" s="1216"/>
      <c r="E41" s="1218"/>
      <c r="F41" s="1227"/>
      <c r="G41" s="1397">
        <f t="shared" si="0"/>
        <v>0</v>
      </c>
      <c r="H41" s="480"/>
      <c r="I41" s="905"/>
      <c r="J41" s="1399">
        <f t="shared" si="1"/>
        <v>0</v>
      </c>
      <c r="K41" s="871"/>
      <c r="L41" s="909"/>
      <c r="M41" s="871"/>
      <c r="N41" s="871"/>
      <c r="O41" s="821"/>
      <c r="P41" s="821"/>
      <c r="Q41" s="822"/>
      <c r="R41" s="1374" t="str">
        <f t="shared" si="2"/>
        <v/>
      </c>
      <c r="S41" s="117"/>
      <c r="U41" s="396"/>
      <c r="V41" s="398"/>
      <c r="W41" s="398"/>
      <c r="X41" s="398"/>
      <c r="Y41" s="1337"/>
      <c r="Z41" s="398"/>
      <c r="AA41" s="398"/>
      <c r="AB41" s="398"/>
      <c r="AC41" s="398"/>
      <c r="AD41" s="398"/>
      <c r="AE41" s="398"/>
      <c r="AF41" s="398"/>
      <c r="AG41" s="398"/>
      <c r="AH41" s="398"/>
      <c r="AI41" s="399"/>
    </row>
    <row r="42" spans="1:35" s="119" customFormat="1" ht="23.1" customHeight="1">
      <c r="A42" s="188"/>
      <c r="B42" s="186"/>
      <c r="C42" s="1215"/>
      <c r="D42" s="1216"/>
      <c r="E42" s="1218"/>
      <c r="F42" s="1227"/>
      <c r="G42" s="1397">
        <f t="shared" si="0"/>
        <v>0</v>
      </c>
      <c r="H42" s="480"/>
      <c r="I42" s="905"/>
      <c r="J42" s="1399">
        <f t="shared" si="1"/>
        <v>0</v>
      </c>
      <c r="K42" s="871"/>
      <c r="L42" s="909"/>
      <c r="M42" s="871"/>
      <c r="N42" s="871"/>
      <c r="O42" s="821"/>
      <c r="P42" s="821"/>
      <c r="Q42" s="822"/>
      <c r="R42" s="1374" t="str">
        <f t="shared" si="2"/>
        <v/>
      </c>
      <c r="S42" s="117"/>
      <c r="U42" s="396"/>
      <c r="V42" s="398"/>
      <c r="W42" s="398"/>
      <c r="X42" s="398"/>
      <c r="Y42" s="1337"/>
      <c r="Z42" s="398"/>
      <c r="AA42" s="398"/>
      <c r="AB42" s="398"/>
      <c r="AC42" s="398"/>
      <c r="AD42" s="398"/>
      <c r="AE42" s="398"/>
      <c r="AF42" s="398"/>
      <c r="AG42" s="398"/>
      <c r="AH42" s="398"/>
      <c r="AI42" s="399"/>
    </row>
    <row r="43" spans="1:35" ht="23.1" customHeight="1">
      <c r="B43" s="116"/>
      <c r="C43" s="547"/>
      <c r="D43" s="548"/>
      <c r="E43" s="1222"/>
      <c r="F43" s="1227"/>
      <c r="G43" s="1398">
        <f t="shared" si="0"/>
        <v>0</v>
      </c>
      <c r="H43" s="477"/>
      <c r="I43" s="906"/>
      <c r="J43" s="1400">
        <f t="shared" si="1"/>
        <v>0</v>
      </c>
      <c r="K43" s="874"/>
      <c r="L43" s="910"/>
      <c r="M43" s="874"/>
      <c r="N43" s="874"/>
      <c r="O43" s="827"/>
      <c r="P43" s="827"/>
      <c r="Q43" s="828"/>
      <c r="R43" s="1374" t="str">
        <f t="shared" ref="R43" si="3">IF(AND((G43=M43),(J43=N43)),"","Explicar diferencia entre la aportación s/criterio Entidad y s/criterio Cabildo o AAPP")</f>
        <v/>
      </c>
      <c r="S43" s="105"/>
      <c r="U43" s="396"/>
      <c r="V43" s="398"/>
      <c r="W43" s="398"/>
      <c r="X43" s="398"/>
      <c r="Y43" s="1337"/>
      <c r="Z43" s="398"/>
      <c r="AA43" s="398"/>
      <c r="AB43" s="398"/>
      <c r="AC43" s="398"/>
      <c r="AD43" s="398"/>
      <c r="AE43" s="398"/>
      <c r="AF43" s="398"/>
      <c r="AG43" s="398"/>
      <c r="AH43" s="398"/>
      <c r="AI43" s="399"/>
    </row>
    <row r="44" spans="1:35" ht="23.1" customHeight="1" thickBot="1">
      <c r="B44" s="116"/>
      <c r="C44" s="939" t="s">
        <v>439</v>
      </c>
      <c r="D44" s="940"/>
      <c r="E44" s="941"/>
      <c r="F44" s="940"/>
      <c r="G44" s="942">
        <f t="shared" ref="G44:N44" si="4">SUM(G21:G43)</f>
        <v>0</v>
      </c>
      <c r="H44" s="656">
        <f t="shared" si="4"/>
        <v>0</v>
      </c>
      <c r="I44" s="943">
        <f t="shared" si="4"/>
        <v>0</v>
      </c>
      <c r="J44" s="760">
        <f t="shared" si="4"/>
        <v>0</v>
      </c>
      <c r="K44" s="656">
        <f t="shared" si="4"/>
        <v>0</v>
      </c>
      <c r="L44" s="943">
        <f t="shared" si="4"/>
        <v>0</v>
      </c>
      <c r="M44" s="760">
        <f t="shared" si="4"/>
        <v>0</v>
      </c>
      <c r="N44" s="656">
        <f t="shared" si="4"/>
        <v>0</v>
      </c>
      <c r="O44" s="944"/>
      <c r="P44" s="945"/>
      <c r="Q44" s="944"/>
      <c r="R44" s="1339"/>
      <c r="S44" s="105"/>
      <c r="U44" s="396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9"/>
    </row>
    <row r="45" spans="1:35" ht="8.1" customHeight="1">
      <c r="B45" s="102"/>
      <c r="C45" s="937"/>
      <c r="D45" s="937"/>
      <c r="E45" s="937"/>
      <c r="G45" s="937"/>
      <c r="H45" s="937"/>
      <c r="I45" s="937"/>
      <c r="J45" s="937"/>
      <c r="K45" s="937"/>
      <c r="L45" s="937"/>
      <c r="M45" s="946"/>
      <c r="N45" s="946"/>
      <c r="O45" s="946"/>
      <c r="P45" s="946"/>
      <c r="Q45" s="946"/>
      <c r="R45" s="946"/>
      <c r="S45" s="105"/>
      <c r="U45" s="396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9"/>
    </row>
    <row r="46" spans="1:35" ht="23.1" customHeight="1" thickBot="1">
      <c r="B46" s="116"/>
      <c r="C46" s="1610" t="s">
        <v>440</v>
      </c>
      <c r="D46" s="1611"/>
      <c r="E46" s="1611"/>
      <c r="F46" s="1612"/>
      <c r="G46" s="911">
        <f>H46+I46</f>
        <v>-5824.53</v>
      </c>
      <c r="H46" s="899">
        <v>-4368.3999999999996</v>
      </c>
      <c r="I46" s="907">
        <v>-1456.13</v>
      </c>
      <c r="J46" s="911">
        <f>+K46+L46</f>
        <v>-5824.53</v>
      </c>
      <c r="K46" s="899">
        <v>-4368.3999999999996</v>
      </c>
      <c r="L46" s="907">
        <v>-1456.13</v>
      </c>
      <c r="M46" s="936"/>
      <c r="N46" s="936"/>
      <c r="O46" s="947"/>
      <c r="P46" s="947"/>
      <c r="Q46" s="947"/>
      <c r="R46" s="947"/>
      <c r="S46" s="105"/>
      <c r="U46" s="396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9"/>
    </row>
    <row r="47" spans="1:35" ht="23.1" customHeight="1" thickBot="1">
      <c r="B47" s="116"/>
      <c r="C47" s="1595" t="s">
        <v>441</v>
      </c>
      <c r="D47" s="1596"/>
      <c r="E47" s="1596"/>
      <c r="F47" s="1597"/>
      <c r="G47" s="912">
        <f>H47+I47</f>
        <v>181633.82</v>
      </c>
      <c r="H47" s="656">
        <f>+H19+H44+H46</f>
        <v>122751.54000000001</v>
      </c>
      <c r="I47" s="943">
        <f>+I19+I44+I46</f>
        <v>58882.280000000006</v>
      </c>
      <c r="J47" s="913">
        <f>K47+L47</f>
        <v>175809.29000000004</v>
      </c>
      <c r="K47" s="656">
        <f>K19+K44+SUM(K46:K46)</f>
        <v>118383.14000000001</v>
      </c>
      <c r="L47" s="943">
        <f>L19+L44+SUM(L46:L46)</f>
        <v>57426.150000000009</v>
      </c>
      <c r="M47" s="948"/>
      <c r="N47" s="948"/>
      <c r="O47" s="947"/>
      <c r="P47" s="947"/>
      <c r="Q47" s="947"/>
      <c r="R47" s="947"/>
      <c r="S47" s="105"/>
      <c r="U47" s="396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9"/>
    </row>
    <row r="48" spans="1:35" ht="23.1" customHeight="1">
      <c r="B48" s="116"/>
      <c r="C48" s="764"/>
      <c r="D48" s="764"/>
      <c r="E48" s="764"/>
      <c r="F48" s="1228" t="s">
        <v>1126</v>
      </c>
      <c r="G48" s="216">
        <f>SUMIF($E$21:$E$43,"Cabildo Insular de Tenerife",G21:G43)</f>
        <v>0</v>
      </c>
      <c r="H48" s="948"/>
      <c r="I48" s="948"/>
      <c r="J48" s="216">
        <f>SUMIF($E$21:$E$43,"Cabildo Insular de Tenerife",J21:J43)</f>
        <v>0</v>
      </c>
      <c r="K48" s="948"/>
      <c r="L48" s="948"/>
      <c r="M48" s="216">
        <f>SUMIF($E$21:$E$43,"Cabildo Insular de Tenerife",M21:M43)</f>
        <v>0</v>
      </c>
      <c r="N48" s="216">
        <f>SUMIF($E$21:$E$43,"Cabildo Insular de Tenerife",N21:N43)</f>
        <v>0</v>
      </c>
      <c r="O48" s="947"/>
      <c r="P48" s="947"/>
      <c r="Q48" s="947"/>
      <c r="R48" s="947"/>
      <c r="S48" s="105"/>
      <c r="U48" s="396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9"/>
    </row>
    <row r="49" spans="2:35" ht="23.1" customHeight="1">
      <c r="B49" s="116"/>
      <c r="C49" s="764"/>
      <c r="D49" s="764"/>
      <c r="E49" s="764"/>
      <c r="F49" s="1228" t="s">
        <v>1127</v>
      </c>
      <c r="G49" s="216">
        <f>SUMIF($E$21:$E$43,"Otros - Unidad dependiente del Cabildo",G21:G43)</f>
        <v>0</v>
      </c>
      <c r="H49" s="948"/>
      <c r="I49" s="948"/>
      <c r="J49" s="216">
        <f>SUMIF($E$21:$E$43,"Otros - Unidad dependiente del Cabildo",J21:J43)</f>
        <v>0</v>
      </c>
      <c r="K49" s="948"/>
      <c r="L49" s="948"/>
      <c r="M49" s="216">
        <f>SUMIF($E$21:$E$43,"Otros - Unidad dependiente del Cabildo",M21:M43)</f>
        <v>0</v>
      </c>
      <c r="N49" s="216">
        <f>SUMIF($E$21:$E$43,"Otros - Unidad dependiente del Cabildo",N21:N43)</f>
        <v>0</v>
      </c>
      <c r="O49" s="947"/>
      <c r="P49" s="947"/>
      <c r="Q49" s="947"/>
      <c r="R49" s="947"/>
      <c r="S49" s="105"/>
      <c r="U49" s="396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9"/>
    </row>
    <row r="50" spans="2:35" ht="23.1" customHeight="1">
      <c r="B50" s="116"/>
      <c r="C50" s="764"/>
      <c r="D50" s="764"/>
      <c r="E50" s="764"/>
      <c r="F50" s="1228" t="s">
        <v>1128</v>
      </c>
      <c r="G50" s="216">
        <f>SUMIF($E$21:$E$43,"Otros - Unión Europea",G21:G43)</f>
        <v>0</v>
      </c>
      <c r="H50" s="948"/>
      <c r="I50" s="948"/>
      <c r="J50" s="216">
        <f>SUMIF($E$21:$E$43,"Otros - Unión Europea",J21:J43)</f>
        <v>0</v>
      </c>
      <c r="K50" s="948"/>
      <c r="L50" s="948"/>
      <c r="M50" s="216">
        <f>SUMIF($E$21:$E$43,"Otros - Unión Europea",M21:M43)</f>
        <v>0</v>
      </c>
      <c r="N50" s="216">
        <f>SUMIF($E$21:$E$43,"Otros - Unión Europea",N21:N43)</f>
        <v>0</v>
      </c>
      <c r="O50" s="947"/>
      <c r="P50" s="947"/>
      <c r="Q50" s="947"/>
      <c r="R50" s="947"/>
      <c r="S50" s="105"/>
      <c r="U50" s="396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9"/>
    </row>
    <row r="51" spans="2:35" ht="23.1" customHeight="1">
      <c r="B51" s="116"/>
      <c r="C51" s="764"/>
      <c r="D51" s="764"/>
      <c r="E51" s="764"/>
      <c r="F51" s="1228" t="s">
        <v>1129</v>
      </c>
      <c r="G51" s="216">
        <f>SUMIF($E$21:$E$43,"Otros - De otras Administraciones y Entes públicos",G21:G43)</f>
        <v>0</v>
      </c>
      <c r="H51" s="948"/>
      <c r="I51" s="948"/>
      <c r="J51" s="216">
        <f>SUMIF($E$21:$E$43,"Otros - De otras Administraciones y Entes públicos",J21:J43)</f>
        <v>0</v>
      </c>
      <c r="K51" s="948"/>
      <c r="L51" s="948"/>
      <c r="M51" s="216">
        <f>SUMIF($E$21:$E$43,"Otros - De otras Administraciones y Entes públicos",M21:M43)</f>
        <v>0</v>
      </c>
      <c r="N51" s="216">
        <f>SUMIF($E$21:$E$43,"Otros - De otras Administraciones y Entes públicos",N21:N43)</f>
        <v>0</v>
      </c>
      <c r="O51" s="947"/>
      <c r="P51" s="947"/>
      <c r="Q51" s="947"/>
      <c r="R51" s="947"/>
      <c r="S51" s="105"/>
      <c r="U51" s="396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9"/>
    </row>
    <row r="52" spans="2:35" ht="23.1" customHeight="1">
      <c r="B52" s="116"/>
      <c r="C52" s="152"/>
      <c r="D52" s="152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05"/>
      <c r="U52" s="396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9"/>
    </row>
    <row r="53" spans="2:35" ht="23.1" customHeight="1">
      <c r="B53" s="116"/>
      <c r="C53" s="21" t="s">
        <v>652</v>
      </c>
      <c r="D53" s="152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05"/>
      <c r="U53" s="396"/>
      <c r="V53" s="398"/>
      <c r="W53" s="1579" t="s">
        <v>1036</v>
      </c>
      <c r="X53" s="1579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9"/>
    </row>
    <row r="54" spans="2:35" ht="36" customHeight="1">
      <c r="B54" s="116"/>
      <c r="C54" s="1598" t="s">
        <v>728</v>
      </c>
      <c r="D54" s="1599"/>
      <c r="E54" s="1608" t="s">
        <v>434</v>
      </c>
      <c r="F54" s="1593"/>
      <c r="G54" s="1588" t="s">
        <v>735</v>
      </c>
      <c r="H54" s="1589"/>
      <c r="I54" s="1588" t="s">
        <v>736</v>
      </c>
      <c r="J54" s="1589"/>
      <c r="K54" s="878"/>
      <c r="L54" s="878"/>
      <c r="M54" s="878"/>
      <c r="N54" s="153"/>
      <c r="O54" s="153"/>
      <c r="P54" s="153"/>
      <c r="Q54" s="153"/>
      <c r="R54" s="153"/>
      <c r="S54" s="105"/>
      <c r="U54" s="396"/>
      <c r="V54" s="398"/>
      <c r="W54" s="1579"/>
      <c r="X54" s="1579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9"/>
    </row>
    <row r="55" spans="2:35" ht="36" customHeight="1">
      <c r="B55" s="116"/>
      <c r="C55" s="1600"/>
      <c r="D55" s="1601"/>
      <c r="E55" s="1586"/>
      <c r="F55" s="1583"/>
      <c r="G55" s="1322"/>
      <c r="H55" s="1323"/>
      <c r="I55" s="1322"/>
      <c r="J55" s="1323"/>
      <c r="K55" s="878"/>
      <c r="L55" s="878"/>
      <c r="M55" s="878"/>
      <c r="N55" s="153"/>
      <c r="O55" s="153"/>
      <c r="P55" s="153"/>
      <c r="Q55" s="153"/>
      <c r="R55" s="153"/>
      <c r="S55" s="105"/>
      <c r="U55" s="396"/>
      <c r="V55" s="398"/>
      <c r="W55" s="1336"/>
      <c r="X55" s="1336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9"/>
    </row>
    <row r="56" spans="2:35" ht="38.1" customHeight="1">
      <c r="B56" s="116"/>
      <c r="C56" s="1590" t="s">
        <v>729</v>
      </c>
      <c r="D56" s="1591"/>
      <c r="E56" s="1602" t="s">
        <v>956</v>
      </c>
      <c r="F56" s="1603"/>
      <c r="G56" s="878">
        <f>ejercicio-1</f>
        <v>2020</v>
      </c>
      <c r="H56" s="878">
        <f>ejercicio</f>
        <v>2021</v>
      </c>
      <c r="I56" s="878">
        <f>ejercicio-1</f>
        <v>2020</v>
      </c>
      <c r="J56" s="878">
        <f>ejercicio</f>
        <v>2021</v>
      </c>
      <c r="K56" s="878" t="s">
        <v>436</v>
      </c>
      <c r="L56" s="878" t="s">
        <v>438</v>
      </c>
      <c r="M56" s="878" t="s">
        <v>437</v>
      </c>
      <c r="N56" s="153"/>
      <c r="O56" s="153"/>
      <c r="P56" s="153"/>
      <c r="Q56" s="153"/>
      <c r="R56" s="153"/>
      <c r="S56" s="105"/>
      <c r="U56" s="396"/>
      <c r="V56" s="398"/>
      <c r="W56" s="1319">
        <f>ejercicio-1</f>
        <v>2020</v>
      </c>
      <c r="X56" s="878">
        <f>ejercicio</f>
        <v>2021</v>
      </c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9"/>
    </row>
    <row r="57" spans="2:35" ht="23.1" customHeight="1">
      <c r="B57" s="116"/>
      <c r="C57" s="949" t="s">
        <v>1210</v>
      </c>
      <c r="D57" s="1474"/>
      <c r="E57" s="1218" t="s">
        <v>70</v>
      </c>
      <c r="F57" s="1217"/>
      <c r="G57" s="469">
        <v>892387.3</v>
      </c>
      <c r="H57" s="502">
        <v>950000</v>
      </c>
      <c r="I57" s="1486">
        <v>892387.3</v>
      </c>
      <c r="J57" s="1487">
        <v>950000</v>
      </c>
      <c r="K57" s="819"/>
      <c r="L57" s="819"/>
      <c r="M57" s="820"/>
      <c r="N57" s="1374" t="str">
        <f t="shared" ref="N57:N92" si="5">IF(AND((G57=I57),(H57=J57)),"","Explicar diferencia entre la aportación s/criterio Entidad y s/criterio Cabildo o AAPP")</f>
        <v/>
      </c>
      <c r="O57" s="898"/>
      <c r="P57" s="898"/>
      <c r="Q57" s="898"/>
      <c r="R57" s="898"/>
      <c r="S57" s="105"/>
      <c r="U57" s="396"/>
      <c r="V57" s="398"/>
      <c r="W57" s="398"/>
      <c r="X57" s="398"/>
      <c r="Y57" s="1337"/>
      <c r="Z57" s="398"/>
      <c r="AA57" s="398"/>
      <c r="AB57" s="398"/>
      <c r="AC57" s="398"/>
      <c r="AD57" s="398"/>
      <c r="AE57" s="398"/>
      <c r="AF57" s="398"/>
      <c r="AG57" s="398"/>
      <c r="AH57" s="398"/>
      <c r="AI57" s="399"/>
    </row>
    <row r="58" spans="2:35" ht="23.1" customHeight="1">
      <c r="B58" s="116"/>
      <c r="C58" s="1215" t="s">
        <v>1211</v>
      </c>
      <c r="D58" s="1475"/>
      <c r="E58" s="1218" t="s">
        <v>70</v>
      </c>
      <c r="F58" s="1227"/>
      <c r="G58" s="480">
        <v>3515000</v>
      </c>
      <c r="H58" s="480">
        <v>3515000</v>
      </c>
      <c r="I58" s="1485">
        <v>3515000</v>
      </c>
      <c r="J58" s="1485">
        <v>3515000</v>
      </c>
      <c r="K58" s="821">
        <v>3515000</v>
      </c>
      <c r="L58" s="821"/>
      <c r="M58" s="822"/>
      <c r="N58" s="1374" t="str">
        <f t="shared" si="5"/>
        <v/>
      </c>
      <c r="O58" s="898"/>
      <c r="P58" s="898"/>
      <c r="Q58" s="898"/>
      <c r="R58" s="898"/>
      <c r="S58" s="105"/>
      <c r="U58" s="396"/>
      <c r="V58" s="398"/>
      <c r="W58" s="398"/>
      <c r="X58" s="398"/>
      <c r="Y58" s="1337"/>
      <c r="Z58" s="398"/>
      <c r="AA58" s="398"/>
      <c r="AB58" s="398"/>
      <c r="AC58" s="398"/>
      <c r="AD58" s="398"/>
      <c r="AE58" s="398"/>
      <c r="AF58" s="398"/>
      <c r="AG58" s="398"/>
      <c r="AH58" s="398"/>
      <c r="AI58" s="399"/>
    </row>
    <row r="59" spans="2:35" ht="23.1" customHeight="1">
      <c r="B59" s="116"/>
      <c r="C59" s="1215" t="s">
        <v>1212</v>
      </c>
      <c r="D59" s="1216"/>
      <c r="E59" s="1218" t="s">
        <v>70</v>
      </c>
      <c r="F59" s="1227"/>
      <c r="G59" s="480">
        <v>1000000</v>
      </c>
      <c r="H59" s="502">
        <v>2000000</v>
      </c>
      <c r="I59" s="1485">
        <v>1000000</v>
      </c>
      <c r="J59" s="1487">
        <v>2000000</v>
      </c>
      <c r="K59" s="821"/>
      <c r="L59" s="821"/>
      <c r="M59" s="822"/>
      <c r="N59" s="1484"/>
      <c r="O59" s="898"/>
      <c r="P59" s="898"/>
      <c r="Q59" s="898"/>
      <c r="R59" s="898"/>
      <c r="S59" s="105"/>
      <c r="U59" s="396" t="s">
        <v>1236</v>
      </c>
      <c r="V59" s="398"/>
      <c r="W59" s="398"/>
      <c r="X59" s="398"/>
      <c r="Y59" s="1337"/>
      <c r="Z59" s="398"/>
      <c r="AA59" s="398"/>
      <c r="AB59" s="398"/>
      <c r="AC59" s="398"/>
      <c r="AD59" s="398"/>
      <c r="AE59" s="398"/>
      <c r="AF59" s="398"/>
      <c r="AG59" s="398"/>
      <c r="AH59" s="398"/>
      <c r="AI59" s="399"/>
    </row>
    <row r="60" spans="2:35" ht="23.1" customHeight="1">
      <c r="B60" s="116"/>
      <c r="C60" s="1215" t="s">
        <v>1213</v>
      </c>
      <c r="D60" s="1216"/>
      <c r="E60" s="1218" t="s">
        <v>70</v>
      </c>
      <c r="F60" s="1227"/>
      <c r="G60" s="480">
        <v>4357390.4800000004</v>
      </c>
      <c r="H60" s="502">
        <v>5696501.7800000003</v>
      </c>
      <c r="I60" s="1485">
        <v>4357390.4800000004</v>
      </c>
      <c r="J60" s="1487">
        <v>5696501.7800000003</v>
      </c>
      <c r="K60" s="821">
        <f>4357390.48+1000000</f>
        <v>5357390.4800000004</v>
      </c>
      <c r="L60" s="821"/>
      <c r="M60" s="822"/>
      <c r="N60" s="1374" t="str">
        <f t="shared" si="5"/>
        <v/>
      </c>
      <c r="O60" s="898"/>
      <c r="P60" s="898"/>
      <c r="Q60" s="898"/>
      <c r="R60" s="898"/>
      <c r="S60" s="105"/>
      <c r="U60" s="396"/>
      <c r="V60" s="398"/>
      <c r="W60" s="398"/>
      <c r="X60" s="398"/>
      <c r="Y60" s="1337"/>
      <c r="Z60" s="398"/>
      <c r="AA60" s="398"/>
      <c r="AB60" s="398"/>
      <c r="AC60" s="398"/>
      <c r="AD60" s="398"/>
      <c r="AE60" s="398"/>
      <c r="AF60" s="398"/>
      <c r="AG60" s="398"/>
      <c r="AH60" s="398"/>
      <c r="AI60" s="399"/>
    </row>
    <row r="61" spans="2:35" ht="23.1" customHeight="1">
      <c r="B61" s="116"/>
      <c r="C61" s="1215" t="s">
        <v>1214</v>
      </c>
      <c r="D61" s="1216"/>
      <c r="E61" s="1218" t="s">
        <v>70</v>
      </c>
      <c r="F61" s="1227"/>
      <c r="G61" s="480">
        <v>200000</v>
      </c>
      <c r="H61" s="502">
        <v>220000</v>
      </c>
      <c r="I61" s="1485">
        <v>200000</v>
      </c>
      <c r="J61" s="1487">
        <v>220000</v>
      </c>
      <c r="K61" s="821">
        <v>200000</v>
      </c>
      <c r="L61" s="821"/>
      <c r="M61" s="822"/>
      <c r="N61" s="1374" t="str">
        <f t="shared" si="5"/>
        <v/>
      </c>
      <c r="O61" s="898"/>
      <c r="P61" s="898"/>
      <c r="Q61" s="898"/>
      <c r="R61" s="898"/>
      <c r="S61" s="105"/>
      <c r="U61" s="396"/>
      <c r="V61" s="398"/>
      <c r="W61" s="398"/>
      <c r="X61" s="398"/>
      <c r="Y61" s="1337"/>
      <c r="Z61" s="398"/>
      <c r="AA61" s="398"/>
      <c r="AB61" s="398"/>
      <c r="AC61" s="398"/>
      <c r="AD61" s="398"/>
      <c r="AE61" s="398"/>
      <c r="AF61" s="398"/>
      <c r="AG61" s="398"/>
      <c r="AH61" s="398"/>
      <c r="AI61" s="399"/>
    </row>
    <row r="62" spans="2:35" ht="23.1" customHeight="1">
      <c r="B62" s="116"/>
      <c r="C62" s="1215" t="s">
        <v>1215</v>
      </c>
      <c r="D62" s="1216"/>
      <c r="E62" s="1218" t="s">
        <v>1120</v>
      </c>
      <c r="F62" s="1227"/>
      <c r="G62" s="480">
        <v>28310</v>
      </c>
      <c r="H62" s="502">
        <v>39672.89</v>
      </c>
      <c r="I62" s="1485">
        <v>28310</v>
      </c>
      <c r="J62" s="1487">
        <v>39672.89</v>
      </c>
      <c r="K62" s="821"/>
      <c r="L62" s="821"/>
      <c r="M62" s="822"/>
      <c r="N62" s="1374" t="str">
        <f>IF(AND((G62=I62),(H62=J62)),"","Explicar diferencia entre la aportación s/criterio Entidad y s/criterio Cabildo o AAPP")</f>
        <v/>
      </c>
      <c r="O62" s="898"/>
      <c r="P62" s="898"/>
      <c r="Q62" s="898"/>
      <c r="R62" s="898"/>
      <c r="S62" s="105"/>
      <c r="U62" s="396"/>
      <c r="V62" s="398"/>
      <c r="W62" s="398"/>
      <c r="X62" s="398"/>
      <c r="Y62" s="1337"/>
      <c r="Z62" s="398"/>
      <c r="AA62" s="398"/>
      <c r="AB62" s="398"/>
      <c r="AC62" s="398"/>
      <c r="AD62" s="398"/>
      <c r="AE62" s="398"/>
      <c r="AF62" s="398"/>
      <c r="AG62" s="398"/>
      <c r="AH62" s="398"/>
      <c r="AI62" s="399"/>
    </row>
    <row r="63" spans="2:35" ht="23.1" customHeight="1">
      <c r="B63" s="116"/>
      <c r="C63" s="1215" t="s">
        <v>1234</v>
      </c>
      <c r="D63" s="1216"/>
      <c r="E63" s="1218" t="s">
        <v>1121</v>
      </c>
      <c r="F63" s="1227"/>
      <c r="G63" s="480">
        <v>464351</v>
      </c>
      <c r="H63" s="502">
        <v>150000</v>
      </c>
      <c r="I63" s="1485">
        <v>464351</v>
      </c>
      <c r="J63" s="1487">
        <v>177</v>
      </c>
      <c r="K63" s="821"/>
      <c r="L63" s="821"/>
      <c r="M63" s="822"/>
      <c r="N63" s="1374" t="str">
        <f>IF(AND((G63=I63),(H63=J63)),"","Explicar diferencia entre la aportación s/criterio Entidad y s/criterio Cabildo o AAPP")</f>
        <v>Explicar diferencia entre la aportación s/criterio Entidad y s/criterio Cabildo o AAPP</v>
      </c>
      <c r="O63" s="898"/>
      <c r="P63" s="898"/>
      <c r="Q63" s="898"/>
      <c r="R63" s="898"/>
      <c r="S63" s="105"/>
      <c r="U63" s="396"/>
      <c r="V63" s="398"/>
      <c r="W63" s="398"/>
      <c r="X63" s="398"/>
      <c r="Y63" s="1337"/>
      <c r="Z63" s="398"/>
      <c r="AA63" s="398"/>
      <c r="AB63" s="398"/>
      <c r="AC63" s="398"/>
      <c r="AD63" s="398"/>
      <c r="AE63" s="398"/>
      <c r="AF63" s="398"/>
      <c r="AG63" s="398"/>
      <c r="AH63" s="398"/>
      <c r="AI63" s="399"/>
    </row>
    <row r="64" spans="2:35" ht="23.1" customHeight="1">
      <c r="B64" s="116"/>
      <c r="C64" s="1215" t="s">
        <v>1232</v>
      </c>
      <c r="D64" s="1216"/>
      <c r="E64" s="1218" t="s">
        <v>70</v>
      </c>
      <c r="F64" s="1227"/>
      <c r="G64" s="480">
        <v>2046724</v>
      </c>
      <c r="H64" s="502">
        <v>0</v>
      </c>
      <c r="I64" s="1485">
        <v>2046724</v>
      </c>
      <c r="J64" s="1488">
        <v>0</v>
      </c>
      <c r="K64" s="821">
        <v>2046724</v>
      </c>
      <c r="L64" s="821"/>
      <c r="M64" s="822"/>
      <c r="N64" s="1374" t="str">
        <f t="shared" si="5"/>
        <v/>
      </c>
      <c r="O64" s="898"/>
      <c r="P64" s="898"/>
      <c r="Q64" s="898"/>
      <c r="R64" s="898"/>
      <c r="S64" s="105"/>
      <c r="U64" s="396"/>
      <c r="V64" s="398"/>
      <c r="W64" s="398"/>
      <c r="X64" s="398"/>
      <c r="Y64" s="1337"/>
      <c r="Z64" s="398"/>
      <c r="AA64" s="398"/>
      <c r="AB64" s="398"/>
      <c r="AC64" s="398"/>
      <c r="AD64" s="398"/>
      <c r="AE64" s="398"/>
      <c r="AF64" s="398"/>
      <c r="AG64" s="398"/>
      <c r="AH64" s="398"/>
      <c r="AI64" s="399"/>
    </row>
    <row r="65" spans="2:35" ht="23.1" customHeight="1">
      <c r="B65" s="116"/>
      <c r="C65" s="1215" t="s">
        <v>1223</v>
      </c>
      <c r="D65" s="1216"/>
      <c r="E65" s="1218" t="s">
        <v>70</v>
      </c>
      <c r="F65" s="1227"/>
      <c r="G65" s="480">
        <v>0</v>
      </c>
      <c r="H65" s="502">
        <v>0</v>
      </c>
      <c r="I65" s="1485">
        <v>0</v>
      </c>
      <c r="J65" s="1488">
        <v>0</v>
      </c>
      <c r="K65" s="821">
        <f>+I65+I66+I67+I68</f>
        <v>30000</v>
      </c>
      <c r="L65" s="821"/>
      <c r="M65" s="822"/>
      <c r="N65" s="1374" t="str">
        <f t="shared" si="5"/>
        <v/>
      </c>
      <c r="O65" s="898"/>
      <c r="P65" s="898"/>
      <c r="Q65" s="898"/>
      <c r="R65" s="898"/>
      <c r="S65" s="105"/>
      <c r="U65" s="396"/>
      <c r="V65" s="398"/>
      <c r="W65" s="398"/>
      <c r="X65" s="398"/>
      <c r="Y65" s="1337"/>
      <c r="Z65" s="398"/>
      <c r="AA65" s="398"/>
      <c r="AB65" s="398"/>
      <c r="AC65" s="398"/>
      <c r="AD65" s="398"/>
      <c r="AE65" s="398"/>
      <c r="AF65" s="398"/>
      <c r="AG65" s="398"/>
      <c r="AH65" s="398"/>
      <c r="AI65" s="399"/>
    </row>
    <row r="66" spans="2:35" ht="23.1" customHeight="1">
      <c r="B66" s="116"/>
      <c r="C66" s="1215" t="s">
        <v>1224</v>
      </c>
      <c r="D66" s="1216"/>
      <c r="E66" s="1218" t="s">
        <v>70</v>
      </c>
      <c r="F66" s="1227"/>
      <c r="G66" s="480">
        <v>30000</v>
      </c>
      <c r="H66" s="502">
        <v>0</v>
      </c>
      <c r="I66" s="1485">
        <v>30000</v>
      </c>
      <c r="J66" s="1488">
        <v>0</v>
      </c>
      <c r="K66" s="821"/>
      <c r="L66" s="821"/>
      <c r="M66" s="822"/>
      <c r="N66" s="1374" t="str">
        <f t="shared" si="5"/>
        <v/>
      </c>
      <c r="O66" s="898"/>
      <c r="P66" s="898"/>
      <c r="Q66" s="898"/>
      <c r="R66" s="898"/>
      <c r="S66" s="105"/>
      <c r="U66" s="396"/>
      <c r="V66" s="398"/>
      <c r="W66" s="398"/>
      <c r="X66" s="398"/>
      <c r="Y66" s="1337"/>
      <c r="Z66" s="398"/>
      <c r="AA66" s="398"/>
      <c r="AB66" s="398"/>
      <c r="AC66" s="398"/>
      <c r="AD66" s="398"/>
      <c r="AE66" s="398"/>
      <c r="AF66" s="398"/>
      <c r="AG66" s="398"/>
      <c r="AH66" s="398"/>
      <c r="AI66" s="399"/>
    </row>
    <row r="67" spans="2:35" ht="23.1" customHeight="1">
      <c r="B67" s="116"/>
      <c r="C67" s="1215" t="s">
        <v>1225</v>
      </c>
      <c r="D67" s="1216"/>
      <c r="E67" s="1218" t="s">
        <v>70</v>
      </c>
      <c r="F67" s="1227"/>
      <c r="G67" s="480">
        <v>0</v>
      </c>
      <c r="H67" s="502">
        <v>0</v>
      </c>
      <c r="I67" s="1488">
        <v>0</v>
      </c>
      <c r="J67" s="1488">
        <v>0</v>
      </c>
      <c r="K67" s="821"/>
      <c r="L67" s="821"/>
      <c r="M67" s="822"/>
      <c r="N67" s="1374" t="str">
        <f>IF(AND((G67=I67),(H67=J67)),"","Explicar diferencia entre la aportación s/criterio Entidad y s/criterio Cabildo o AAPP")</f>
        <v/>
      </c>
      <c r="O67" s="898"/>
      <c r="P67" s="898"/>
      <c r="Q67" s="898"/>
      <c r="R67" s="898"/>
      <c r="S67" s="105"/>
      <c r="U67" s="396"/>
      <c r="V67" s="398"/>
      <c r="W67" s="398"/>
      <c r="X67" s="398"/>
      <c r="Y67" s="1337"/>
      <c r="Z67" s="398"/>
      <c r="AA67" s="398"/>
      <c r="AB67" s="398"/>
      <c r="AC67" s="398"/>
      <c r="AD67" s="398"/>
      <c r="AE67" s="398"/>
      <c r="AF67" s="398"/>
      <c r="AG67" s="398"/>
      <c r="AH67" s="398"/>
      <c r="AI67" s="399"/>
    </row>
    <row r="68" spans="2:35" ht="23.1" customHeight="1">
      <c r="B68" s="116"/>
      <c r="C68" s="1215" t="s">
        <v>1226</v>
      </c>
      <c r="D68" s="1475"/>
      <c r="E68" s="1218" t="s">
        <v>70</v>
      </c>
      <c r="F68" s="1227"/>
      <c r="G68" s="480">
        <v>0</v>
      </c>
      <c r="H68" s="502">
        <v>0</v>
      </c>
      <c r="I68" s="1488">
        <v>0</v>
      </c>
      <c r="J68" s="1488">
        <v>0</v>
      </c>
      <c r="K68" s="821"/>
      <c r="L68" s="821"/>
      <c r="M68" s="822"/>
      <c r="N68" s="1374" t="str">
        <f>IF(AND((G68=I68),(H68=J68)),"","Explicar diferencia entre la aportación s/criterio Entidad y s/criterio Cabildo o AAPP")</f>
        <v/>
      </c>
      <c r="O68" s="898"/>
      <c r="P68" s="898"/>
      <c r="Q68" s="898"/>
      <c r="R68" s="898"/>
      <c r="S68" s="105"/>
      <c r="U68" s="396"/>
      <c r="V68" s="398"/>
      <c r="W68" s="398"/>
      <c r="X68" s="398"/>
      <c r="Y68" s="1337"/>
      <c r="Z68" s="398"/>
      <c r="AA68" s="398"/>
      <c r="AB68" s="398"/>
      <c r="AC68" s="398"/>
      <c r="AD68" s="398"/>
      <c r="AE68" s="398"/>
      <c r="AF68" s="398"/>
      <c r="AG68" s="398"/>
      <c r="AH68" s="398"/>
      <c r="AI68" s="399"/>
    </row>
    <row r="69" spans="2:35" ht="23.1" customHeight="1">
      <c r="B69" s="116"/>
      <c r="C69" s="1215" t="s">
        <v>1227</v>
      </c>
      <c r="D69" s="1216"/>
      <c r="E69" s="1218" t="s">
        <v>1120</v>
      </c>
      <c r="F69" s="1227"/>
      <c r="G69" s="480">
        <v>77441.539999999994</v>
      </c>
      <c r="H69" s="502">
        <v>0</v>
      </c>
      <c r="I69" s="480">
        <v>77441.539999999994</v>
      </c>
      <c r="J69" s="871">
        <v>0</v>
      </c>
      <c r="K69" s="821"/>
      <c r="L69" s="821"/>
      <c r="M69" s="822"/>
      <c r="N69" s="1374" t="str">
        <f t="shared" si="5"/>
        <v/>
      </c>
      <c r="O69" s="898"/>
      <c r="P69" s="898"/>
      <c r="Q69" s="898"/>
      <c r="R69" s="898"/>
      <c r="S69" s="105"/>
      <c r="U69" s="396"/>
      <c r="V69" s="398"/>
      <c r="W69" s="398"/>
      <c r="X69" s="398"/>
      <c r="Y69" s="1337"/>
      <c r="Z69" s="398"/>
      <c r="AA69" s="398"/>
      <c r="AB69" s="398"/>
      <c r="AC69" s="398"/>
      <c r="AD69" s="398"/>
      <c r="AE69" s="398"/>
      <c r="AF69" s="398"/>
      <c r="AG69" s="398"/>
      <c r="AH69" s="398"/>
      <c r="AI69" s="399"/>
    </row>
    <row r="70" spans="2:35" ht="23.1" customHeight="1">
      <c r="B70" s="116"/>
      <c r="C70" s="1215" t="s">
        <v>1228</v>
      </c>
      <c r="D70" s="1216"/>
      <c r="E70" s="1218" t="s">
        <v>1120</v>
      </c>
      <c r="F70" s="1227"/>
      <c r="G70" s="480">
        <v>50451.75</v>
      </c>
      <c r="H70" s="502">
        <v>0</v>
      </c>
      <c r="I70" s="480">
        <v>50451.75</v>
      </c>
      <c r="J70" s="871">
        <v>0</v>
      </c>
      <c r="K70" s="821"/>
      <c r="L70" s="821"/>
      <c r="M70" s="822"/>
      <c r="N70" s="1374" t="str">
        <f t="shared" si="5"/>
        <v/>
      </c>
      <c r="O70" s="898"/>
      <c r="P70" s="898"/>
      <c r="Q70" s="898"/>
      <c r="R70" s="898"/>
      <c r="S70" s="105"/>
      <c r="U70" s="396"/>
      <c r="V70" s="398"/>
      <c r="W70" s="398"/>
      <c r="X70" s="398"/>
      <c r="Y70" s="1337"/>
      <c r="Z70" s="398"/>
      <c r="AA70" s="398"/>
      <c r="AB70" s="398"/>
      <c r="AC70" s="398"/>
      <c r="AD70" s="398"/>
      <c r="AE70" s="398"/>
      <c r="AF70" s="398"/>
      <c r="AG70" s="398"/>
      <c r="AH70" s="398"/>
      <c r="AI70" s="399"/>
    </row>
    <row r="71" spans="2:35" ht="23.1" customHeight="1">
      <c r="B71" s="116"/>
      <c r="C71" s="1215" t="s">
        <v>1233</v>
      </c>
      <c r="D71" s="1216"/>
      <c r="E71" s="1218" t="s">
        <v>1121</v>
      </c>
      <c r="F71" s="1227"/>
      <c r="G71" s="480">
        <v>0</v>
      </c>
      <c r="H71" s="502">
        <v>100000</v>
      </c>
      <c r="I71" s="871">
        <v>0</v>
      </c>
      <c r="J71" s="871">
        <v>100000</v>
      </c>
      <c r="K71" s="821"/>
      <c r="L71" s="821"/>
      <c r="M71" s="822"/>
      <c r="N71" s="1374" t="str">
        <f t="shared" si="5"/>
        <v/>
      </c>
      <c r="O71" s="898"/>
      <c r="P71" s="898"/>
      <c r="Q71" s="898"/>
      <c r="R71" s="898"/>
      <c r="S71" s="105"/>
      <c r="U71" s="396"/>
      <c r="V71" s="398"/>
      <c r="W71" s="398"/>
      <c r="X71" s="398"/>
      <c r="Y71" s="1337"/>
      <c r="Z71" s="398"/>
      <c r="AA71" s="398"/>
      <c r="AB71" s="398"/>
      <c r="AC71" s="398"/>
      <c r="AD71" s="398"/>
      <c r="AE71" s="398"/>
      <c r="AF71" s="398"/>
      <c r="AG71" s="398"/>
      <c r="AH71" s="398"/>
      <c r="AI71" s="399"/>
    </row>
    <row r="72" spans="2:35" ht="23.1" customHeight="1">
      <c r="B72" s="116"/>
      <c r="C72" s="1215" t="s">
        <v>1231</v>
      </c>
      <c r="D72" s="1216"/>
      <c r="E72" s="1218" t="s">
        <v>1121</v>
      </c>
      <c r="F72" s="1227"/>
      <c r="G72" s="480">
        <v>0</v>
      </c>
      <c r="H72" s="502">
        <v>309430.94</v>
      </c>
      <c r="I72" s="871">
        <v>0</v>
      </c>
      <c r="J72" s="502">
        <v>309430.94</v>
      </c>
      <c r="K72" s="821"/>
      <c r="L72" s="821"/>
      <c r="M72" s="822"/>
      <c r="N72" s="1374" t="str">
        <f t="shared" si="5"/>
        <v/>
      </c>
      <c r="O72" s="898"/>
      <c r="P72" s="898"/>
      <c r="Q72" s="898"/>
      <c r="R72" s="898"/>
      <c r="S72" s="105"/>
      <c r="U72" s="396"/>
      <c r="V72" s="398"/>
      <c r="W72" s="398"/>
      <c r="X72" s="398"/>
      <c r="Y72" s="1337"/>
      <c r="Z72" s="398"/>
      <c r="AA72" s="398"/>
      <c r="AB72" s="398"/>
      <c r="AC72" s="398"/>
      <c r="AD72" s="398"/>
      <c r="AE72" s="398"/>
      <c r="AF72" s="398"/>
      <c r="AG72" s="398"/>
      <c r="AH72" s="398"/>
      <c r="AI72" s="399"/>
    </row>
    <row r="73" spans="2:35" ht="23.1" customHeight="1">
      <c r="B73" s="116"/>
      <c r="C73" s="1215" t="s">
        <v>1235</v>
      </c>
      <c r="D73" s="1216"/>
      <c r="E73" s="1218" t="s">
        <v>1121</v>
      </c>
      <c r="F73" s="1227"/>
      <c r="G73" s="480">
        <v>0</v>
      </c>
      <c r="H73" s="502">
        <v>150000</v>
      </c>
      <c r="I73" s="871">
        <v>0</v>
      </c>
      <c r="J73" s="871">
        <v>150000</v>
      </c>
      <c r="K73" s="821"/>
      <c r="L73" s="821"/>
      <c r="M73" s="822"/>
      <c r="N73" s="1374" t="str">
        <f t="shared" si="5"/>
        <v/>
      </c>
      <c r="O73" s="898"/>
      <c r="P73" s="898"/>
      <c r="Q73" s="898"/>
      <c r="R73" s="898"/>
      <c r="S73" s="105"/>
      <c r="U73" s="396"/>
      <c r="V73" s="398"/>
      <c r="W73" s="398"/>
      <c r="X73" s="398"/>
      <c r="Y73" s="1337"/>
      <c r="Z73" s="398"/>
      <c r="AA73" s="398"/>
      <c r="AB73" s="398"/>
      <c r="AC73" s="398"/>
      <c r="AD73" s="398"/>
      <c r="AE73" s="398"/>
      <c r="AF73" s="398"/>
      <c r="AG73" s="398"/>
      <c r="AH73" s="398"/>
      <c r="AI73" s="399"/>
    </row>
    <row r="74" spans="2:35" ht="23.1" customHeight="1">
      <c r="B74" s="116"/>
      <c r="C74" s="1215"/>
      <c r="D74" s="1216"/>
      <c r="E74" s="1218"/>
      <c r="F74" s="1227"/>
      <c r="G74" s="480"/>
      <c r="H74" s="502"/>
      <c r="I74" s="871"/>
      <c r="J74" s="871"/>
      <c r="K74" s="821"/>
      <c r="L74" s="821"/>
      <c r="M74" s="822"/>
      <c r="N74" s="1374" t="str">
        <f t="shared" si="5"/>
        <v/>
      </c>
      <c r="O74" s="898"/>
      <c r="P74" s="898"/>
      <c r="Q74" s="898"/>
      <c r="R74" s="898"/>
      <c r="S74" s="105"/>
      <c r="U74" s="396"/>
      <c r="V74" s="398"/>
      <c r="W74" s="398"/>
      <c r="X74" s="398"/>
      <c r="Y74" s="1337"/>
      <c r="Z74" s="398"/>
      <c r="AA74" s="398"/>
      <c r="AB74" s="398"/>
      <c r="AC74" s="398"/>
      <c r="AD74" s="398"/>
      <c r="AE74" s="398"/>
      <c r="AF74" s="398"/>
      <c r="AG74" s="398"/>
      <c r="AH74" s="398"/>
      <c r="AI74" s="399"/>
    </row>
    <row r="75" spans="2:35" ht="23.1" customHeight="1">
      <c r="B75" s="116"/>
      <c r="C75" s="1215"/>
      <c r="D75" s="1216"/>
      <c r="E75" s="1218"/>
      <c r="F75" s="1227"/>
      <c r="G75" s="480"/>
      <c r="H75" s="502"/>
      <c r="I75" s="871"/>
      <c r="J75" s="871"/>
      <c r="K75" s="821"/>
      <c r="L75" s="821"/>
      <c r="M75" s="822"/>
      <c r="N75" s="1374" t="str">
        <f>IF(AND((G75=I75),(H75=J75)),"","Explicar diferencia entre la aportación s/criterio Entidad y s/criterio Cabildo o AAPP")</f>
        <v/>
      </c>
      <c r="O75" s="898"/>
      <c r="P75" s="898"/>
      <c r="Q75" s="898"/>
      <c r="R75" s="898"/>
      <c r="S75" s="105"/>
      <c r="U75" s="396"/>
      <c r="V75" s="398"/>
      <c r="W75" s="398"/>
      <c r="X75" s="398"/>
      <c r="Y75" s="1337"/>
      <c r="Z75" s="398"/>
      <c r="AA75" s="398"/>
      <c r="AB75" s="398"/>
      <c r="AC75" s="398"/>
      <c r="AD75" s="398"/>
      <c r="AE75" s="398"/>
      <c r="AF75" s="398"/>
      <c r="AG75" s="398"/>
      <c r="AH75" s="398"/>
      <c r="AI75" s="399"/>
    </row>
    <row r="76" spans="2:35" ht="23.1" customHeight="1">
      <c r="B76" s="116"/>
      <c r="C76" s="1215"/>
      <c r="D76" s="1216"/>
      <c r="E76" s="1218"/>
      <c r="F76" s="1227"/>
      <c r="G76" s="480"/>
      <c r="H76" s="502"/>
      <c r="I76" s="871"/>
      <c r="J76" s="871"/>
      <c r="K76" s="821"/>
      <c r="L76" s="821"/>
      <c r="M76" s="822"/>
      <c r="N76" s="1374" t="str">
        <f>IF(AND((G76=I76),(H76=J76)),"","Explicar diferencia entre la aportación s/criterio Entidad y s/criterio Cabildo o AAPP")</f>
        <v/>
      </c>
      <c r="O76" s="898"/>
      <c r="P76" s="898"/>
      <c r="Q76" s="898"/>
      <c r="R76" s="898"/>
      <c r="S76" s="105"/>
      <c r="U76" s="396"/>
      <c r="V76" s="398"/>
      <c r="W76" s="398"/>
      <c r="X76" s="398"/>
      <c r="Y76" s="1337"/>
      <c r="Z76" s="398"/>
      <c r="AA76" s="398"/>
      <c r="AB76" s="398"/>
      <c r="AC76" s="398"/>
      <c r="AD76" s="398"/>
      <c r="AE76" s="398"/>
      <c r="AF76" s="398"/>
      <c r="AG76" s="398"/>
      <c r="AH76" s="398"/>
      <c r="AI76" s="399"/>
    </row>
    <row r="77" spans="2:35" ht="23.1" customHeight="1">
      <c r="B77" s="116"/>
      <c r="C77" s="1215"/>
      <c r="D77" s="1216"/>
      <c r="E77" s="1218"/>
      <c r="F77" s="1227"/>
      <c r="G77" s="480"/>
      <c r="H77" s="502"/>
      <c r="I77" s="871"/>
      <c r="J77" s="871"/>
      <c r="K77" s="821"/>
      <c r="L77" s="821"/>
      <c r="M77" s="822"/>
      <c r="N77" s="1374" t="str">
        <f t="shared" si="5"/>
        <v/>
      </c>
      <c r="O77" s="898"/>
      <c r="P77" s="898"/>
      <c r="Q77" s="898"/>
      <c r="R77" s="898"/>
      <c r="S77" s="105"/>
      <c r="U77" s="396"/>
      <c r="V77" s="398"/>
      <c r="W77" s="398"/>
      <c r="X77" s="398"/>
      <c r="Y77" s="1337"/>
      <c r="Z77" s="398"/>
      <c r="AA77" s="398"/>
      <c r="AB77" s="398"/>
      <c r="AC77" s="398"/>
      <c r="AD77" s="398"/>
      <c r="AE77" s="398"/>
      <c r="AF77" s="398"/>
      <c r="AG77" s="398"/>
      <c r="AH77" s="398"/>
      <c r="AI77" s="399"/>
    </row>
    <row r="78" spans="2:35" ht="23.1" customHeight="1">
      <c r="B78" s="116"/>
      <c r="C78" s="1215"/>
      <c r="D78" s="1216"/>
      <c r="E78" s="1218"/>
      <c r="F78" s="1227"/>
      <c r="G78" s="480"/>
      <c r="H78" s="502"/>
      <c r="I78" s="871"/>
      <c r="J78" s="871"/>
      <c r="K78" s="821"/>
      <c r="L78" s="821"/>
      <c r="M78" s="822"/>
      <c r="N78" s="1374" t="str">
        <f t="shared" si="5"/>
        <v/>
      </c>
      <c r="O78" s="898"/>
      <c r="P78" s="898"/>
      <c r="Q78" s="898"/>
      <c r="R78" s="898"/>
      <c r="S78" s="105"/>
      <c r="U78" s="396"/>
      <c r="V78" s="398"/>
      <c r="W78" s="398"/>
      <c r="X78" s="398"/>
      <c r="Y78" s="1337"/>
      <c r="Z78" s="398"/>
      <c r="AA78" s="398"/>
      <c r="AB78" s="398"/>
      <c r="AC78" s="398"/>
      <c r="AD78" s="398"/>
      <c r="AE78" s="398"/>
      <c r="AF78" s="398"/>
      <c r="AG78" s="398"/>
      <c r="AH78" s="398"/>
      <c r="AI78" s="399"/>
    </row>
    <row r="79" spans="2:35" ht="23.1" customHeight="1">
      <c r="B79" s="116"/>
      <c r="C79" s="1215"/>
      <c r="D79" s="1216"/>
      <c r="E79" s="1218"/>
      <c r="F79" s="1227"/>
      <c r="G79" s="480"/>
      <c r="H79" s="502"/>
      <c r="I79" s="871"/>
      <c r="J79" s="871"/>
      <c r="K79" s="821"/>
      <c r="L79" s="821"/>
      <c r="M79" s="822"/>
      <c r="N79" s="1374" t="str">
        <f t="shared" si="5"/>
        <v/>
      </c>
      <c r="O79" s="898"/>
      <c r="P79" s="898"/>
      <c r="Q79" s="898"/>
      <c r="R79" s="898"/>
      <c r="S79" s="105"/>
      <c r="U79" s="396"/>
      <c r="V79" s="398"/>
      <c r="W79" s="398"/>
      <c r="X79" s="398"/>
      <c r="Y79" s="1337"/>
      <c r="Z79" s="398"/>
      <c r="AA79" s="398"/>
      <c r="AB79" s="398"/>
      <c r="AC79" s="398"/>
      <c r="AD79" s="398"/>
      <c r="AE79" s="398"/>
      <c r="AF79" s="398"/>
      <c r="AG79" s="398"/>
      <c r="AH79" s="398"/>
      <c r="AI79" s="399"/>
    </row>
    <row r="80" spans="2:35" ht="23.1" customHeight="1">
      <c r="B80" s="116"/>
      <c r="C80" s="1215"/>
      <c r="D80" s="1216"/>
      <c r="E80" s="1218"/>
      <c r="F80" s="1227"/>
      <c r="G80" s="480"/>
      <c r="H80" s="502"/>
      <c r="I80" s="871"/>
      <c r="J80" s="871"/>
      <c r="K80" s="821"/>
      <c r="L80" s="821"/>
      <c r="M80" s="822"/>
      <c r="N80" s="1374" t="str">
        <f t="shared" si="5"/>
        <v/>
      </c>
      <c r="O80" s="898"/>
      <c r="P80" s="898"/>
      <c r="Q80" s="898"/>
      <c r="R80" s="898"/>
      <c r="S80" s="105"/>
      <c r="U80" s="396"/>
      <c r="V80" s="398"/>
      <c r="W80" s="398"/>
      <c r="X80" s="398"/>
      <c r="Y80" s="1337"/>
      <c r="Z80" s="398"/>
      <c r="AA80" s="398"/>
      <c r="AB80" s="398"/>
      <c r="AC80" s="398"/>
      <c r="AD80" s="398"/>
      <c r="AE80" s="398"/>
      <c r="AF80" s="398"/>
      <c r="AG80" s="398"/>
      <c r="AH80" s="398"/>
      <c r="AI80" s="399"/>
    </row>
    <row r="81" spans="2:35" ht="23.1" customHeight="1">
      <c r="B81" s="116"/>
      <c r="C81" s="1215"/>
      <c r="D81" s="1216"/>
      <c r="E81" s="1218"/>
      <c r="F81" s="1227"/>
      <c r="G81" s="480"/>
      <c r="H81" s="502"/>
      <c r="I81" s="871"/>
      <c r="J81" s="871"/>
      <c r="K81" s="821"/>
      <c r="L81" s="821"/>
      <c r="M81" s="822"/>
      <c r="N81" s="1374" t="str">
        <f t="shared" si="5"/>
        <v/>
      </c>
      <c r="O81" s="898"/>
      <c r="P81" s="898"/>
      <c r="Q81" s="898"/>
      <c r="R81" s="898"/>
      <c r="S81" s="105"/>
      <c r="U81" s="396"/>
      <c r="V81" s="398"/>
      <c r="W81" s="398"/>
      <c r="X81" s="398"/>
      <c r="Y81" s="1337"/>
      <c r="Z81" s="398"/>
      <c r="AA81" s="398"/>
      <c r="AB81" s="398"/>
      <c r="AC81" s="398"/>
      <c r="AD81" s="398"/>
      <c r="AE81" s="398"/>
      <c r="AF81" s="398"/>
      <c r="AG81" s="398"/>
      <c r="AH81" s="398"/>
      <c r="AI81" s="399"/>
    </row>
    <row r="82" spans="2:35" ht="23.1" customHeight="1">
      <c r="B82" s="116"/>
      <c r="C82" s="1215"/>
      <c r="D82" s="1216"/>
      <c r="E82" s="1218"/>
      <c r="F82" s="1227"/>
      <c r="G82" s="480"/>
      <c r="H82" s="502"/>
      <c r="I82" s="871"/>
      <c r="J82" s="871"/>
      <c r="K82" s="821"/>
      <c r="L82" s="821"/>
      <c r="M82" s="822"/>
      <c r="N82" s="1374" t="str">
        <f t="shared" si="5"/>
        <v/>
      </c>
      <c r="O82" s="898"/>
      <c r="P82" s="898"/>
      <c r="Q82" s="898"/>
      <c r="R82" s="898"/>
      <c r="S82" s="105"/>
      <c r="U82" s="396"/>
      <c r="V82" s="398"/>
      <c r="W82" s="398"/>
      <c r="X82" s="398"/>
      <c r="Y82" s="1337"/>
      <c r="Z82" s="398"/>
      <c r="AA82" s="398"/>
      <c r="AB82" s="398"/>
      <c r="AC82" s="398"/>
      <c r="AD82" s="398"/>
      <c r="AE82" s="398"/>
      <c r="AF82" s="398"/>
      <c r="AG82" s="398"/>
      <c r="AH82" s="398"/>
      <c r="AI82" s="399"/>
    </row>
    <row r="83" spans="2:35" ht="23.1" customHeight="1">
      <c r="B83" s="116"/>
      <c r="C83" s="1215"/>
      <c r="D83" s="1216"/>
      <c r="E83" s="1218"/>
      <c r="F83" s="1227"/>
      <c r="G83" s="480"/>
      <c r="H83" s="502"/>
      <c r="I83" s="871"/>
      <c r="J83" s="871"/>
      <c r="K83" s="821"/>
      <c r="L83" s="821"/>
      <c r="M83" s="822"/>
      <c r="N83" s="1374" t="str">
        <f t="shared" si="5"/>
        <v/>
      </c>
      <c r="O83" s="898"/>
      <c r="P83" s="898"/>
      <c r="Q83" s="898"/>
      <c r="R83" s="898"/>
      <c r="S83" s="105"/>
      <c r="U83" s="396"/>
      <c r="V83" s="398"/>
      <c r="W83" s="398"/>
      <c r="X83" s="398"/>
      <c r="Y83" s="1337"/>
      <c r="Z83" s="398"/>
      <c r="AA83" s="398"/>
      <c r="AB83" s="398"/>
      <c r="AC83" s="398"/>
      <c r="AD83" s="398"/>
      <c r="AE83" s="398"/>
      <c r="AF83" s="398"/>
      <c r="AG83" s="398"/>
      <c r="AH83" s="398"/>
      <c r="AI83" s="399"/>
    </row>
    <row r="84" spans="2:35" ht="23.1" customHeight="1">
      <c r="B84" s="116"/>
      <c r="C84" s="1215"/>
      <c r="D84" s="1216"/>
      <c r="E84" s="1218"/>
      <c r="F84" s="1227"/>
      <c r="G84" s="480"/>
      <c r="H84" s="502"/>
      <c r="I84" s="871"/>
      <c r="J84" s="871"/>
      <c r="K84" s="821"/>
      <c r="L84" s="821"/>
      <c r="M84" s="822"/>
      <c r="N84" s="1374" t="str">
        <f t="shared" si="5"/>
        <v/>
      </c>
      <c r="O84" s="898"/>
      <c r="P84" s="898"/>
      <c r="Q84" s="898"/>
      <c r="R84" s="898"/>
      <c r="S84" s="105"/>
      <c r="U84" s="396"/>
      <c r="V84" s="398"/>
      <c r="W84" s="398"/>
      <c r="X84" s="398"/>
      <c r="Y84" s="1337"/>
      <c r="Z84" s="398"/>
      <c r="AA84" s="398"/>
      <c r="AB84" s="398"/>
      <c r="AC84" s="398"/>
      <c r="AD84" s="398"/>
      <c r="AE84" s="398"/>
      <c r="AF84" s="398"/>
      <c r="AG84" s="398"/>
      <c r="AH84" s="398"/>
      <c r="AI84" s="399"/>
    </row>
    <row r="85" spans="2:35" ht="23.1" customHeight="1">
      <c r="B85" s="116"/>
      <c r="C85" s="1215"/>
      <c r="D85" s="1216"/>
      <c r="E85" s="1218"/>
      <c r="F85" s="1227"/>
      <c r="G85" s="480"/>
      <c r="H85" s="502"/>
      <c r="I85" s="871"/>
      <c r="J85" s="871"/>
      <c r="K85" s="821"/>
      <c r="L85" s="821"/>
      <c r="M85" s="822"/>
      <c r="N85" s="1374" t="str">
        <f t="shared" si="5"/>
        <v/>
      </c>
      <c r="O85" s="898"/>
      <c r="P85" s="898"/>
      <c r="Q85" s="898"/>
      <c r="R85" s="898"/>
      <c r="S85" s="105"/>
      <c r="U85" s="396"/>
      <c r="V85" s="398"/>
      <c r="W85" s="398"/>
      <c r="X85" s="398"/>
      <c r="Y85" s="1337"/>
      <c r="Z85" s="398"/>
      <c r="AA85" s="398"/>
      <c r="AB85" s="398"/>
      <c r="AC85" s="398"/>
      <c r="AD85" s="398"/>
      <c r="AE85" s="398"/>
      <c r="AF85" s="398"/>
      <c r="AG85" s="398"/>
      <c r="AH85" s="398"/>
      <c r="AI85" s="399"/>
    </row>
    <row r="86" spans="2:35" ht="23.1" customHeight="1">
      <c r="B86" s="116"/>
      <c r="C86" s="1215"/>
      <c r="D86" s="1216"/>
      <c r="E86" s="1218"/>
      <c r="F86" s="1227"/>
      <c r="G86" s="480"/>
      <c r="H86" s="502"/>
      <c r="I86" s="871"/>
      <c r="J86" s="871"/>
      <c r="K86" s="821"/>
      <c r="L86" s="821"/>
      <c r="M86" s="822"/>
      <c r="N86" s="1374" t="str">
        <f t="shared" ref="N86" si="6">IF(AND((G86=I86),(H86=J86)),"","Explicar diferencia entre la aportación s/criterio Entidad y s/criterio Cabildo o AAPP")</f>
        <v/>
      </c>
      <c r="O86" s="898"/>
      <c r="P86" s="898"/>
      <c r="Q86" s="898"/>
      <c r="R86" s="898"/>
      <c r="S86" s="105"/>
      <c r="U86" s="396"/>
      <c r="V86" s="398"/>
      <c r="W86" s="398"/>
      <c r="X86" s="398"/>
      <c r="Y86" s="1337"/>
      <c r="Z86" s="398"/>
      <c r="AA86" s="398"/>
      <c r="AB86" s="398"/>
      <c r="AC86" s="398"/>
      <c r="AD86" s="398"/>
      <c r="AE86" s="398"/>
      <c r="AF86" s="398"/>
      <c r="AG86" s="398"/>
      <c r="AH86" s="398"/>
      <c r="AI86" s="399"/>
    </row>
    <row r="87" spans="2:35" ht="23.1" customHeight="1">
      <c r="B87" s="116"/>
      <c r="C87" s="1215"/>
      <c r="D87" s="1216"/>
      <c r="E87" s="1218"/>
      <c r="F87" s="1227"/>
      <c r="G87" s="480"/>
      <c r="H87" s="502"/>
      <c r="I87" s="871"/>
      <c r="J87" s="871"/>
      <c r="K87" s="821"/>
      <c r="L87" s="821"/>
      <c r="M87" s="822"/>
      <c r="N87" s="1374" t="str">
        <f t="shared" si="5"/>
        <v/>
      </c>
      <c r="O87" s="898"/>
      <c r="P87" s="898"/>
      <c r="Q87" s="898"/>
      <c r="R87" s="898"/>
      <c r="S87" s="105"/>
      <c r="U87" s="396"/>
      <c r="V87" s="398"/>
      <c r="W87" s="398"/>
      <c r="X87" s="398"/>
      <c r="Y87" s="1337"/>
      <c r="Z87" s="398"/>
      <c r="AA87" s="398"/>
      <c r="AB87" s="398"/>
      <c r="AC87" s="398"/>
      <c r="AD87" s="398"/>
      <c r="AE87" s="398"/>
      <c r="AF87" s="398"/>
      <c r="AG87" s="398"/>
      <c r="AH87" s="398"/>
      <c r="AI87" s="399"/>
    </row>
    <row r="88" spans="2:35" ht="23.1" customHeight="1">
      <c r="B88" s="116"/>
      <c r="C88" s="1194"/>
      <c r="D88" s="546"/>
      <c r="E88" s="1218"/>
      <c r="F88" s="1219"/>
      <c r="G88" s="480"/>
      <c r="H88" s="502"/>
      <c r="I88" s="871"/>
      <c r="J88" s="871"/>
      <c r="K88" s="821"/>
      <c r="L88" s="821"/>
      <c r="M88" s="822"/>
      <c r="N88" s="1374" t="str">
        <f t="shared" si="5"/>
        <v/>
      </c>
      <c r="O88" s="898"/>
      <c r="P88" s="898"/>
      <c r="Q88" s="898"/>
      <c r="R88" s="898"/>
      <c r="S88" s="105"/>
      <c r="U88" s="396"/>
      <c r="V88" s="398"/>
      <c r="W88" s="398"/>
      <c r="X88" s="398"/>
      <c r="Y88" s="1337"/>
      <c r="Z88" s="398"/>
      <c r="AA88" s="398"/>
      <c r="AB88" s="398"/>
      <c r="AC88" s="398"/>
      <c r="AD88" s="398"/>
      <c r="AE88" s="398"/>
      <c r="AF88" s="398"/>
      <c r="AG88" s="398"/>
      <c r="AH88" s="398"/>
      <c r="AI88" s="399"/>
    </row>
    <row r="89" spans="2:35" ht="23.1" customHeight="1">
      <c r="B89" s="116"/>
      <c r="C89" s="1194"/>
      <c r="D89" s="546"/>
      <c r="E89" s="1195"/>
      <c r="F89" s="1219"/>
      <c r="G89" s="1223"/>
      <c r="H89" s="502"/>
      <c r="I89" s="1224"/>
      <c r="J89" s="1224"/>
      <c r="K89" s="1225"/>
      <c r="L89" s="1225"/>
      <c r="M89" s="1226"/>
      <c r="N89" s="1374" t="str">
        <f t="shared" si="5"/>
        <v/>
      </c>
      <c r="O89" s="898"/>
      <c r="P89" s="898"/>
      <c r="Q89" s="898"/>
      <c r="R89" s="898"/>
      <c r="S89" s="105"/>
      <c r="U89" s="396"/>
      <c r="V89" s="398"/>
      <c r="W89" s="398"/>
      <c r="X89" s="398"/>
      <c r="Y89" s="1337"/>
      <c r="Z89" s="398"/>
      <c r="AA89" s="398"/>
      <c r="AB89" s="398"/>
      <c r="AC89" s="398"/>
      <c r="AD89" s="398"/>
      <c r="AE89" s="398"/>
      <c r="AF89" s="398"/>
      <c r="AG89" s="398"/>
      <c r="AH89" s="398"/>
      <c r="AI89" s="399"/>
    </row>
    <row r="90" spans="2:35" ht="23.1" customHeight="1">
      <c r="B90" s="116"/>
      <c r="C90" s="545"/>
      <c r="D90" s="546"/>
      <c r="E90" s="1218"/>
      <c r="F90" s="1220"/>
      <c r="G90" s="482"/>
      <c r="H90" s="502"/>
      <c r="I90" s="873"/>
      <c r="J90" s="873"/>
      <c r="K90" s="825"/>
      <c r="L90" s="825"/>
      <c r="M90" s="826"/>
      <c r="N90" s="1374" t="str">
        <f t="shared" si="5"/>
        <v/>
      </c>
      <c r="O90" s="898"/>
      <c r="P90" s="898"/>
      <c r="Q90" s="898"/>
      <c r="R90" s="898"/>
      <c r="S90" s="105"/>
      <c r="U90" s="396"/>
      <c r="V90" s="398"/>
      <c r="W90" s="398"/>
      <c r="X90" s="398"/>
      <c r="Y90" s="1337"/>
      <c r="Z90" s="398"/>
      <c r="AA90" s="398"/>
      <c r="AB90" s="398"/>
      <c r="AC90" s="398"/>
      <c r="AD90" s="398"/>
      <c r="AE90" s="398"/>
      <c r="AF90" s="398"/>
      <c r="AG90" s="398"/>
      <c r="AH90" s="398"/>
      <c r="AI90" s="399"/>
    </row>
    <row r="91" spans="2:35" ht="29.1" customHeight="1">
      <c r="B91" s="116"/>
      <c r="C91" s="545"/>
      <c r="D91" s="546"/>
      <c r="E91" s="1218"/>
      <c r="F91" s="1220"/>
      <c r="G91" s="482"/>
      <c r="H91" s="502"/>
      <c r="I91" s="873"/>
      <c r="J91" s="873"/>
      <c r="K91" s="825"/>
      <c r="L91" s="825"/>
      <c r="M91" s="826"/>
      <c r="N91" s="1374" t="str">
        <f t="shared" si="5"/>
        <v/>
      </c>
      <c r="O91" s="898"/>
      <c r="P91" s="898"/>
      <c r="Q91" s="898"/>
      <c r="R91" s="898"/>
      <c r="S91" s="105"/>
      <c r="U91" s="396"/>
      <c r="V91" s="398"/>
      <c r="W91" s="398"/>
      <c r="X91" s="398"/>
      <c r="Y91" s="1337"/>
      <c r="Z91" s="398"/>
      <c r="AA91" s="398"/>
      <c r="AB91" s="398"/>
      <c r="AC91" s="398"/>
      <c r="AD91" s="398"/>
      <c r="AE91" s="398"/>
      <c r="AF91" s="398"/>
      <c r="AG91" s="398"/>
      <c r="AH91" s="398"/>
      <c r="AI91" s="399"/>
    </row>
    <row r="92" spans="2:35" ht="23.1" customHeight="1">
      <c r="B92" s="116"/>
      <c r="C92" s="547"/>
      <c r="D92" s="548"/>
      <c r="E92" s="1222"/>
      <c r="F92" s="1221"/>
      <c r="G92" s="477"/>
      <c r="H92" s="503"/>
      <c r="I92" s="874"/>
      <c r="J92" s="874"/>
      <c r="K92" s="827"/>
      <c r="L92" s="827"/>
      <c r="M92" s="828"/>
      <c r="N92" s="1374" t="str">
        <f t="shared" si="5"/>
        <v/>
      </c>
      <c r="O92" s="898"/>
      <c r="P92" s="898"/>
      <c r="Q92" s="898"/>
      <c r="R92" s="898"/>
      <c r="S92" s="105"/>
      <c r="U92" s="396"/>
      <c r="V92" s="398"/>
      <c r="W92" s="398"/>
      <c r="X92" s="398"/>
      <c r="Y92" s="1337"/>
      <c r="Z92" s="398"/>
      <c r="AA92" s="398"/>
      <c r="AB92" s="398"/>
      <c r="AC92" s="398"/>
      <c r="AD92" s="398"/>
      <c r="AE92" s="398"/>
      <c r="AF92" s="398"/>
      <c r="AG92" s="398"/>
      <c r="AH92" s="398"/>
      <c r="AI92" s="399"/>
    </row>
    <row r="93" spans="2:35" ht="23.1" customHeight="1" thickBot="1">
      <c r="B93" s="116"/>
      <c r="C93" s="1595" t="s">
        <v>439</v>
      </c>
      <c r="D93" s="1596"/>
      <c r="E93" s="1596"/>
      <c r="F93" s="1597"/>
      <c r="G93" s="174">
        <f>SUM(G57:G92)</f>
        <v>12662056.07</v>
      </c>
      <c r="H93" s="174">
        <f>SUM(H57:H92)</f>
        <v>13130605.610000001</v>
      </c>
      <c r="I93" s="174">
        <f>SUM(I57:I92)</f>
        <v>12662056.07</v>
      </c>
      <c r="J93" s="174">
        <f>SUM(J57:J92)</f>
        <v>12980782.610000001</v>
      </c>
      <c r="K93" s="214"/>
      <c r="L93" s="153"/>
      <c r="M93" s="153"/>
      <c r="N93" s="153"/>
      <c r="O93" s="153"/>
      <c r="P93" s="153"/>
      <c r="Q93" s="153"/>
      <c r="R93" s="153"/>
      <c r="S93" s="105"/>
      <c r="U93" s="396"/>
      <c r="V93" s="398"/>
      <c r="W93" s="398"/>
      <c r="X93" s="398"/>
      <c r="Y93" s="1337"/>
      <c r="Z93" s="398"/>
      <c r="AA93" s="398"/>
      <c r="AB93" s="398"/>
      <c r="AC93" s="398"/>
      <c r="AD93" s="398"/>
      <c r="AE93" s="398"/>
      <c r="AF93" s="398"/>
      <c r="AG93" s="398"/>
      <c r="AH93" s="398"/>
      <c r="AI93" s="399"/>
    </row>
    <row r="94" spans="2:35" ht="23.1" customHeight="1">
      <c r="B94" s="116"/>
      <c r="C94" s="764"/>
      <c r="D94" s="764"/>
      <c r="E94" s="764"/>
      <c r="F94" s="1228" t="s">
        <v>958</v>
      </c>
      <c r="G94" s="216">
        <f>SUMIF($E$57:$E$92,"Cabildo Insular de Tenerife",$G$57:$G$92)</f>
        <v>12041501.780000001</v>
      </c>
      <c r="H94" s="216">
        <f>SUMIF($E$57:$E$92,"Cabildo Insular de Tenerife",$H$57:$H$92)</f>
        <v>12381501.780000001</v>
      </c>
      <c r="I94" s="216">
        <f>SUMIF($E$57:$E$92,"Cabildo Insular de Tenerife",$I$57:$I$92)</f>
        <v>12041501.780000001</v>
      </c>
      <c r="J94" s="216">
        <f>SUMIF($E$57:$E$92,"Cabildo Insular de Tenerife",$J$57:$J$92)</f>
        <v>12381501.780000001</v>
      </c>
      <c r="K94" s="153"/>
      <c r="L94" s="153"/>
      <c r="M94" s="153"/>
      <c r="N94" s="153"/>
      <c r="O94" s="153"/>
      <c r="P94" s="153"/>
      <c r="Q94" s="153"/>
      <c r="R94" s="153"/>
      <c r="S94" s="105"/>
      <c r="U94" s="396"/>
      <c r="V94" s="398"/>
      <c r="W94" s="398"/>
      <c r="X94" s="398"/>
      <c r="Y94" s="1337"/>
      <c r="Z94" s="398"/>
      <c r="AA94" s="398"/>
      <c r="AB94" s="398"/>
      <c r="AC94" s="398"/>
      <c r="AD94" s="398"/>
      <c r="AE94" s="398"/>
      <c r="AF94" s="398"/>
      <c r="AG94" s="398"/>
      <c r="AH94" s="398"/>
      <c r="AI94" s="399"/>
    </row>
    <row r="95" spans="2:35" ht="23.1" customHeight="1">
      <c r="B95" s="116"/>
      <c r="C95" s="764"/>
      <c r="D95" s="764"/>
      <c r="E95" s="764"/>
      <c r="F95" s="1228" t="s">
        <v>1122</v>
      </c>
      <c r="G95" s="216">
        <f>SUMIF($E$57:$E$92,"Otros - Unidad dependiente del Cabildo",$G$57:$G$92)</f>
        <v>0</v>
      </c>
      <c r="H95" s="216">
        <f>SUMIF($E$57:$E$92,"Otros - Unidad dependiente del Cabildo",$H$57:$H$92)</f>
        <v>0</v>
      </c>
      <c r="I95" s="216">
        <f>SUMIF($E$57:$E$92,"Otros - Unidad dependiente del Cabildo",$I$57:$I$92)</f>
        <v>0</v>
      </c>
      <c r="J95" s="216">
        <f>SUMIF($E$57:$E$92,"Otros - Unidad dependiente del Cabildo",$J$57:$J$92)</f>
        <v>0</v>
      </c>
      <c r="K95" s="153"/>
      <c r="L95" s="153"/>
      <c r="M95" s="153"/>
      <c r="N95" s="153"/>
      <c r="O95" s="153"/>
      <c r="P95" s="153"/>
      <c r="Q95" s="153"/>
      <c r="R95" s="153"/>
      <c r="S95" s="105"/>
      <c r="U95" s="396"/>
      <c r="V95" s="398"/>
      <c r="W95" s="398"/>
      <c r="X95" s="398"/>
      <c r="Y95" s="1337"/>
      <c r="Z95" s="398"/>
      <c r="AA95" s="398"/>
      <c r="AB95" s="398"/>
      <c r="AC95" s="398"/>
      <c r="AD95" s="398"/>
      <c r="AE95" s="398"/>
      <c r="AF95" s="398"/>
      <c r="AG95" s="398"/>
      <c r="AH95" s="398"/>
      <c r="AI95" s="399"/>
    </row>
    <row r="96" spans="2:35" ht="23.1" customHeight="1">
      <c r="B96" s="116"/>
      <c r="C96" s="764"/>
      <c r="D96" s="764"/>
      <c r="E96" s="764"/>
      <c r="F96" s="1228" t="s">
        <v>1123</v>
      </c>
      <c r="G96" s="216">
        <f>SUMIF($E$57:$E$92,"Otros - Unión Europea",$G$57:$G$92)</f>
        <v>156203.28999999998</v>
      </c>
      <c r="H96" s="216">
        <f>SUMIF($E$57:$E$92,"Otros - Unión Europea",$H$57:$H$92)</f>
        <v>39672.89</v>
      </c>
      <c r="I96" s="216">
        <f>SUMIF($E$57:$E$92,"Otros - Unión Europea",$I$57:$I$92)</f>
        <v>156203.28999999998</v>
      </c>
      <c r="J96" s="216">
        <f>SUMIF($E$57:$E$92,"Otros - Unión Europea",$J$57:$J$92)</f>
        <v>39672.89</v>
      </c>
      <c r="K96" s="153"/>
      <c r="L96" s="153"/>
      <c r="M96" s="153"/>
      <c r="N96" s="153"/>
      <c r="O96" s="153"/>
      <c r="P96" s="153"/>
      <c r="Q96" s="153"/>
      <c r="R96" s="153"/>
      <c r="S96" s="105"/>
      <c r="U96" s="396"/>
      <c r="V96" s="398"/>
      <c r="W96" s="398"/>
      <c r="X96" s="398"/>
      <c r="Y96" s="1337"/>
      <c r="Z96" s="398"/>
      <c r="AA96" s="398"/>
      <c r="AB96" s="398"/>
      <c r="AC96" s="398"/>
      <c r="AD96" s="398"/>
      <c r="AE96" s="398"/>
      <c r="AF96" s="398"/>
      <c r="AG96" s="398"/>
      <c r="AH96" s="398"/>
      <c r="AI96" s="399"/>
    </row>
    <row r="97" spans="2:35" ht="23.1" customHeight="1">
      <c r="B97" s="116"/>
      <c r="C97" s="764"/>
      <c r="D97" s="764"/>
      <c r="E97" s="764"/>
      <c r="F97" s="1228" t="s">
        <v>1124</v>
      </c>
      <c r="G97" s="216">
        <f>SUMIF($E$57:$E$92,"Otros - De otras Administraciones y Entes públicos",$G$57:$G$92)</f>
        <v>464351</v>
      </c>
      <c r="H97" s="216">
        <f>SUMIF($E$57:$E$92,"Otros - De otras Administraciones y Entes públicos",$H$57:$H$92)</f>
        <v>709430.94</v>
      </c>
      <c r="I97" s="216">
        <f>SUMIF($E$57:$E$92,"Otros - De otras Administraciones y Entes públicos",$I$57:$I$92)</f>
        <v>464351</v>
      </c>
      <c r="J97" s="216">
        <f>SUMIF($E$57:$E$92,"Otros - De otras Administraciones y Entes públicos",$J$57:$J$92)</f>
        <v>559607.93999999994</v>
      </c>
      <c r="K97" s="153"/>
      <c r="L97" s="153"/>
      <c r="M97" s="153"/>
      <c r="N97" s="153"/>
      <c r="O97" s="153"/>
      <c r="P97" s="153"/>
      <c r="Q97" s="153"/>
      <c r="R97" s="153"/>
      <c r="S97" s="105"/>
      <c r="U97" s="396"/>
      <c r="V97" s="398"/>
      <c r="W97" s="398"/>
      <c r="X97" s="398"/>
      <c r="Y97" s="1337"/>
      <c r="Z97" s="398"/>
      <c r="AA97" s="398"/>
      <c r="AB97" s="398"/>
      <c r="AC97" s="398"/>
      <c r="AD97" s="398"/>
      <c r="AE97" s="398"/>
      <c r="AF97" s="398"/>
      <c r="AG97" s="398"/>
      <c r="AH97" s="398"/>
      <c r="AI97" s="399"/>
    </row>
    <row r="98" spans="2:35" ht="23.1" customHeight="1">
      <c r="B98" s="116"/>
      <c r="C98" s="764"/>
      <c r="D98" s="764"/>
      <c r="E98" s="764"/>
      <c r="F98" s="1228"/>
      <c r="G98" s="216"/>
      <c r="H98" s="216"/>
      <c r="I98" s="216"/>
      <c r="J98" s="216"/>
      <c r="K98" s="153"/>
      <c r="L98" s="153"/>
      <c r="M98" s="153"/>
      <c r="N98" s="153"/>
      <c r="O98" s="153"/>
      <c r="P98" s="153"/>
      <c r="Q98" s="153"/>
      <c r="R98" s="153"/>
      <c r="S98" s="105"/>
      <c r="U98" s="396"/>
      <c r="V98" s="398"/>
      <c r="W98" s="398"/>
      <c r="X98" s="398"/>
      <c r="Y98" s="1337"/>
      <c r="Z98" s="398"/>
      <c r="AA98" s="398"/>
      <c r="AB98" s="398"/>
      <c r="AC98" s="398"/>
      <c r="AD98" s="398"/>
      <c r="AE98" s="398"/>
      <c r="AF98" s="398"/>
      <c r="AG98" s="398"/>
      <c r="AH98" s="398"/>
      <c r="AI98" s="399"/>
    </row>
    <row r="99" spans="2:35" ht="23.1" customHeight="1">
      <c r="B99" s="116"/>
      <c r="C99" s="215"/>
      <c r="D99" s="215"/>
      <c r="E99" s="216"/>
      <c r="F99" s="216"/>
      <c r="G99" s="217"/>
      <c r="H99" s="217"/>
      <c r="I99" s="217"/>
      <c r="J99" s="217"/>
      <c r="K99" s="216"/>
      <c r="L99" s="216"/>
      <c r="M99" s="218"/>
      <c r="N99" s="218"/>
      <c r="O99" s="218"/>
      <c r="P99" s="218"/>
      <c r="Q99" s="218"/>
      <c r="R99" s="218"/>
      <c r="S99" s="105"/>
      <c r="U99" s="396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  <c r="AI99" s="399"/>
    </row>
    <row r="100" spans="2:35" s="114" customFormat="1" ht="30" customHeight="1">
      <c r="B100" s="110"/>
      <c r="C100" s="65" t="s">
        <v>653</v>
      </c>
      <c r="D100" s="21"/>
      <c r="E100" s="95"/>
      <c r="F100" s="95"/>
      <c r="G100" s="95"/>
      <c r="H100" s="95"/>
      <c r="I100" s="95"/>
      <c r="J100" s="95"/>
      <c r="K100" s="95"/>
      <c r="L100" s="95"/>
      <c r="M100" s="95"/>
      <c r="N100" s="218"/>
      <c r="O100" s="218"/>
      <c r="P100" s="218"/>
      <c r="Q100" s="218"/>
      <c r="R100" s="218"/>
      <c r="S100" s="113"/>
      <c r="U100" s="396"/>
      <c r="V100" s="398"/>
      <c r="W100" s="1579" t="s">
        <v>1036</v>
      </c>
      <c r="X100" s="1579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9"/>
    </row>
    <row r="101" spans="2:35" s="114" customFormat="1" ht="30" customHeight="1">
      <c r="B101" s="110"/>
      <c r="C101" s="1598" t="s">
        <v>728</v>
      </c>
      <c r="D101" s="1599"/>
      <c r="E101" s="1608" t="s">
        <v>434</v>
      </c>
      <c r="F101" s="1609"/>
      <c r="G101" s="1604" t="s">
        <v>737</v>
      </c>
      <c r="H101" s="1605"/>
      <c r="I101" s="1605"/>
      <c r="J101" s="1605"/>
      <c r="K101" s="1605"/>
      <c r="L101" s="1606"/>
      <c r="M101" s="1592" t="s">
        <v>738</v>
      </c>
      <c r="N101" s="1593"/>
      <c r="O101" s="877"/>
      <c r="P101" s="877"/>
      <c r="Q101" s="877"/>
      <c r="R101" s="1341"/>
      <c r="S101" s="113"/>
      <c r="U101" s="396"/>
      <c r="V101" s="398"/>
      <c r="W101" s="1579"/>
      <c r="X101" s="1579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9"/>
    </row>
    <row r="102" spans="2:35" s="114" customFormat="1" ht="30" customHeight="1">
      <c r="B102" s="110"/>
      <c r="C102" s="1600"/>
      <c r="D102" s="1601"/>
      <c r="E102" s="1584"/>
      <c r="F102" s="1585"/>
      <c r="G102" s="914" t="s">
        <v>1038</v>
      </c>
      <c r="H102" s="1586">
        <f>ejercicio-1</f>
        <v>2020</v>
      </c>
      <c r="I102" s="1587"/>
      <c r="J102" s="915" t="s">
        <v>1038</v>
      </c>
      <c r="K102" s="1586">
        <f>ejercicio</f>
        <v>2021</v>
      </c>
      <c r="L102" s="1587"/>
      <c r="M102" s="1594"/>
      <c r="N102" s="1583"/>
      <c r="O102" s="885"/>
      <c r="P102" s="885"/>
      <c r="Q102" s="885"/>
      <c r="R102" s="1341"/>
      <c r="S102" s="113"/>
      <c r="U102" s="396"/>
      <c r="V102" s="398"/>
      <c r="W102" s="1336"/>
      <c r="X102" s="1336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  <c r="AI102" s="399"/>
    </row>
    <row r="103" spans="2:35" ht="30.95" customHeight="1">
      <c r="B103" s="116"/>
      <c r="C103" s="1590" t="s">
        <v>729</v>
      </c>
      <c r="D103" s="1591"/>
      <c r="E103" s="1602" t="s">
        <v>956</v>
      </c>
      <c r="F103" s="1603"/>
      <c r="G103" s="900">
        <f>ejercicio-1</f>
        <v>2020</v>
      </c>
      <c r="H103" s="878" t="s">
        <v>1039</v>
      </c>
      <c r="I103" s="902" t="s">
        <v>1037</v>
      </c>
      <c r="J103" s="1324">
        <f>ejercicio</f>
        <v>2021</v>
      </c>
      <c r="K103" s="878" t="s">
        <v>1039</v>
      </c>
      <c r="L103" s="902" t="s">
        <v>1037</v>
      </c>
      <c r="M103" s="878">
        <f>ejercicio-1</f>
        <v>2020</v>
      </c>
      <c r="N103" s="878">
        <f>ejercicio</f>
        <v>2021</v>
      </c>
      <c r="O103" s="878" t="s">
        <v>436</v>
      </c>
      <c r="P103" s="878" t="s">
        <v>438</v>
      </c>
      <c r="Q103" s="878" t="s">
        <v>437</v>
      </c>
      <c r="R103" s="1341"/>
      <c r="S103" s="105"/>
      <c r="U103" s="396"/>
      <c r="V103" s="398"/>
      <c r="W103" s="1319">
        <f>ejercicio-1</f>
        <v>2020</v>
      </c>
      <c r="X103" s="878">
        <f>ejercicio</f>
        <v>2021</v>
      </c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9"/>
    </row>
    <row r="104" spans="2:35" ht="23.1" customHeight="1">
      <c r="B104" s="116"/>
      <c r="C104" s="949" t="s">
        <v>1209</v>
      </c>
      <c r="D104" s="544"/>
      <c r="E104" s="1218" t="s">
        <v>70</v>
      </c>
      <c r="F104" s="1227"/>
      <c r="G104" s="1380">
        <f>SUM(H104:I104)</f>
        <v>2211511.52</v>
      </c>
      <c r="H104" s="1385">
        <v>2019110.02</v>
      </c>
      <c r="I104" s="1386">
        <v>192401.5</v>
      </c>
      <c r="J104" s="1380">
        <f>SUM(K104:L104)</f>
        <v>2211511.52</v>
      </c>
      <c r="K104" s="1385">
        <v>2019110.02</v>
      </c>
      <c r="L104" s="1386">
        <v>192401.5</v>
      </c>
      <c r="M104" s="870">
        <v>2211511.52</v>
      </c>
      <c r="N104" s="870">
        <v>2211511.52</v>
      </c>
      <c r="O104" s="819"/>
      <c r="P104" s="819"/>
      <c r="Q104" s="820"/>
      <c r="R104" s="1374" t="str">
        <f>IF(AND((G104=M104),(J104=N104)),"","Explicar diferencia entre la aportación s/criterio Entidad y s/criterio Cabildo o AAPP")</f>
        <v/>
      </c>
      <c r="S104" s="105"/>
      <c r="U104" s="396"/>
      <c r="V104" s="398"/>
      <c r="W104" s="398"/>
      <c r="X104" s="398"/>
      <c r="Y104" s="1337"/>
      <c r="Z104" s="398"/>
      <c r="AA104" s="398"/>
      <c r="AB104" s="398"/>
      <c r="AC104" s="398"/>
      <c r="AD104" s="398"/>
      <c r="AE104" s="398"/>
      <c r="AF104" s="398"/>
      <c r="AG104" s="398"/>
      <c r="AH104" s="398"/>
      <c r="AI104" s="399"/>
    </row>
    <row r="105" spans="2:35" ht="23.1" customHeight="1">
      <c r="B105" s="116"/>
      <c r="C105" s="1194"/>
      <c r="D105" s="546"/>
      <c r="E105" s="1218"/>
      <c r="F105" s="1227"/>
      <c r="G105" s="1381">
        <f t="shared" ref="G105:G113" si="7">SUM(H105:I105)</f>
        <v>0</v>
      </c>
      <c r="H105" s="1387"/>
      <c r="I105" s="1388"/>
      <c r="J105" s="1383">
        <f t="shared" ref="J105:J113" si="8">SUM(K105:L105)</f>
        <v>0</v>
      </c>
      <c r="K105" s="1391"/>
      <c r="L105" s="1392"/>
      <c r="M105" s="871"/>
      <c r="N105" s="871"/>
      <c r="O105" s="821"/>
      <c r="P105" s="821"/>
      <c r="Q105" s="822"/>
      <c r="R105" s="1374" t="str">
        <f t="shared" ref="R105:R113" si="9">IF(AND((G105=M105),(J105=N105)),"","Explicar diferencia entre la aportación s/criterio Entidad y s/criterio Cabildo o AAPP")</f>
        <v/>
      </c>
      <c r="S105" s="105"/>
      <c r="U105" s="396"/>
      <c r="V105" s="398"/>
      <c r="W105" s="398"/>
      <c r="X105" s="398"/>
      <c r="Y105" s="1337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9"/>
    </row>
    <row r="106" spans="2:35" ht="23.1" customHeight="1">
      <c r="B106" s="116"/>
      <c r="C106" s="545"/>
      <c r="D106" s="546"/>
      <c r="E106" s="1218"/>
      <c r="F106" s="1227"/>
      <c r="G106" s="1381">
        <f t="shared" si="7"/>
        <v>0</v>
      </c>
      <c r="H106" s="1387"/>
      <c r="I106" s="1388"/>
      <c r="J106" s="1383">
        <f t="shared" si="8"/>
        <v>0</v>
      </c>
      <c r="K106" s="1391"/>
      <c r="L106" s="1392"/>
      <c r="M106" s="871"/>
      <c r="N106" s="871"/>
      <c r="O106" s="821"/>
      <c r="P106" s="821"/>
      <c r="Q106" s="822"/>
      <c r="R106" s="1374" t="str">
        <f t="shared" si="9"/>
        <v/>
      </c>
      <c r="S106" s="105"/>
      <c r="U106" s="396"/>
      <c r="V106" s="398"/>
      <c r="W106" s="398"/>
      <c r="X106" s="398"/>
      <c r="Y106" s="1337"/>
      <c r="Z106" s="398"/>
      <c r="AA106" s="398"/>
      <c r="AB106" s="398"/>
      <c r="AC106" s="398"/>
      <c r="AD106" s="398"/>
      <c r="AE106" s="398"/>
      <c r="AF106" s="398"/>
      <c r="AG106" s="398"/>
      <c r="AH106" s="398"/>
      <c r="AI106" s="399"/>
    </row>
    <row r="107" spans="2:35" ht="23.1" customHeight="1">
      <c r="B107" s="116"/>
      <c r="C107" s="545"/>
      <c r="D107" s="546"/>
      <c r="E107" s="1218"/>
      <c r="F107" s="1227"/>
      <c r="G107" s="1381">
        <f t="shared" si="7"/>
        <v>0</v>
      </c>
      <c r="H107" s="1387"/>
      <c r="I107" s="1388"/>
      <c r="J107" s="1383">
        <f>SUM(K107:L107)</f>
        <v>0</v>
      </c>
      <c r="K107" s="1391"/>
      <c r="L107" s="1392"/>
      <c r="M107" s="871"/>
      <c r="N107" s="871"/>
      <c r="O107" s="821"/>
      <c r="P107" s="821"/>
      <c r="Q107" s="822"/>
      <c r="R107" s="1374" t="str">
        <f t="shared" si="9"/>
        <v/>
      </c>
      <c r="S107" s="105"/>
      <c r="U107" s="396"/>
      <c r="V107" s="398"/>
      <c r="W107" s="398"/>
      <c r="X107" s="398"/>
      <c r="Y107" s="1337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9"/>
    </row>
    <row r="108" spans="2:35" ht="23.1" customHeight="1">
      <c r="B108" s="116"/>
      <c r="C108" s="545"/>
      <c r="D108" s="546"/>
      <c r="E108" s="1218"/>
      <c r="F108" s="1227"/>
      <c r="G108" s="1381">
        <f t="shared" si="7"/>
        <v>0</v>
      </c>
      <c r="H108" s="1387"/>
      <c r="I108" s="1388"/>
      <c r="J108" s="1383">
        <f t="shared" si="8"/>
        <v>0</v>
      </c>
      <c r="K108" s="1391"/>
      <c r="L108" s="1392"/>
      <c r="M108" s="872"/>
      <c r="N108" s="872"/>
      <c r="O108" s="823"/>
      <c r="P108" s="823"/>
      <c r="Q108" s="824"/>
      <c r="R108" s="1374" t="str">
        <f t="shared" si="9"/>
        <v/>
      </c>
      <c r="S108" s="105"/>
      <c r="U108" s="396"/>
      <c r="V108" s="398"/>
      <c r="W108" s="398"/>
      <c r="X108" s="398"/>
      <c r="Y108" s="1337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9"/>
    </row>
    <row r="109" spans="2:35" ht="23.1" customHeight="1">
      <c r="B109" s="116"/>
      <c r="C109" s="545"/>
      <c r="D109" s="546"/>
      <c r="E109" s="1218"/>
      <c r="F109" s="1227"/>
      <c r="G109" s="1381">
        <f t="shared" si="7"/>
        <v>0</v>
      </c>
      <c r="H109" s="1387"/>
      <c r="I109" s="1388"/>
      <c r="J109" s="1383">
        <f t="shared" si="8"/>
        <v>0</v>
      </c>
      <c r="K109" s="1391"/>
      <c r="L109" s="1392"/>
      <c r="M109" s="872"/>
      <c r="N109" s="872"/>
      <c r="O109" s="823"/>
      <c r="P109" s="823"/>
      <c r="Q109" s="824"/>
      <c r="R109" s="1374" t="str">
        <f t="shared" si="9"/>
        <v/>
      </c>
      <c r="S109" s="105"/>
      <c r="U109" s="396"/>
      <c r="V109" s="398"/>
      <c r="W109" s="398"/>
      <c r="X109" s="398"/>
      <c r="Y109" s="1337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9"/>
    </row>
    <row r="110" spans="2:35" ht="23.1" customHeight="1">
      <c r="B110" s="116"/>
      <c r="C110" s="545"/>
      <c r="D110" s="546"/>
      <c r="E110" s="1218"/>
      <c r="F110" s="1227"/>
      <c r="G110" s="1381">
        <f t="shared" si="7"/>
        <v>0</v>
      </c>
      <c r="H110" s="1387"/>
      <c r="I110" s="1388"/>
      <c r="J110" s="1383">
        <f t="shared" si="8"/>
        <v>0</v>
      </c>
      <c r="K110" s="1391"/>
      <c r="L110" s="1392"/>
      <c r="M110" s="872"/>
      <c r="N110" s="872"/>
      <c r="O110" s="823"/>
      <c r="P110" s="823"/>
      <c r="Q110" s="824"/>
      <c r="R110" s="1374" t="str">
        <f t="shared" si="9"/>
        <v/>
      </c>
      <c r="S110" s="105"/>
      <c r="U110" s="396"/>
      <c r="V110" s="398"/>
      <c r="W110" s="398"/>
      <c r="X110" s="398"/>
      <c r="Y110" s="1337"/>
      <c r="Z110" s="398"/>
      <c r="AA110" s="398"/>
      <c r="AB110" s="398"/>
      <c r="AC110" s="398"/>
      <c r="AD110" s="398"/>
      <c r="AE110" s="398"/>
      <c r="AF110" s="398"/>
      <c r="AG110" s="398"/>
      <c r="AH110" s="398"/>
      <c r="AI110" s="399"/>
    </row>
    <row r="111" spans="2:35" ht="23.1" customHeight="1">
      <c r="B111" s="116"/>
      <c r="C111" s="545"/>
      <c r="D111" s="546"/>
      <c r="E111" s="1218"/>
      <c r="F111" s="1227"/>
      <c r="G111" s="1381">
        <f t="shared" si="7"/>
        <v>0</v>
      </c>
      <c r="H111" s="1387"/>
      <c r="I111" s="1388"/>
      <c r="J111" s="1383">
        <f t="shared" si="8"/>
        <v>0</v>
      </c>
      <c r="K111" s="1391"/>
      <c r="L111" s="1392"/>
      <c r="M111" s="873"/>
      <c r="N111" s="873"/>
      <c r="O111" s="825"/>
      <c r="P111" s="825"/>
      <c r="Q111" s="826"/>
      <c r="R111" s="1374" t="str">
        <f t="shared" si="9"/>
        <v/>
      </c>
      <c r="S111" s="105"/>
      <c r="U111" s="396"/>
      <c r="V111" s="398"/>
      <c r="W111" s="398"/>
      <c r="X111" s="398"/>
      <c r="Y111" s="1337"/>
      <c r="Z111" s="398"/>
      <c r="AA111" s="398"/>
      <c r="AB111" s="398"/>
      <c r="AC111" s="398"/>
      <c r="AD111" s="398"/>
      <c r="AE111" s="398"/>
      <c r="AF111" s="398"/>
      <c r="AG111" s="398"/>
      <c r="AH111" s="398"/>
      <c r="AI111" s="399"/>
    </row>
    <row r="112" spans="2:35" ht="23.1" customHeight="1">
      <c r="B112" s="116"/>
      <c r="C112" s="545"/>
      <c r="D112" s="546"/>
      <c r="E112" s="1218"/>
      <c r="F112" s="1227"/>
      <c r="G112" s="1381">
        <f t="shared" si="7"/>
        <v>0</v>
      </c>
      <c r="H112" s="1387"/>
      <c r="I112" s="1388"/>
      <c r="J112" s="1383">
        <f t="shared" si="8"/>
        <v>0</v>
      </c>
      <c r="K112" s="1391"/>
      <c r="L112" s="1392"/>
      <c r="M112" s="873"/>
      <c r="N112" s="873"/>
      <c r="O112" s="825"/>
      <c r="P112" s="825"/>
      <c r="Q112" s="826"/>
      <c r="R112" s="1374" t="str">
        <f t="shared" si="9"/>
        <v/>
      </c>
      <c r="S112" s="105"/>
      <c r="U112" s="396"/>
      <c r="V112" s="398"/>
      <c r="W112" s="398"/>
      <c r="X112" s="398"/>
      <c r="Y112" s="1337"/>
      <c r="Z112" s="398"/>
      <c r="AA112" s="398"/>
      <c r="AB112" s="398"/>
      <c r="AC112" s="398"/>
      <c r="AD112" s="398"/>
      <c r="AE112" s="398"/>
      <c r="AF112" s="398"/>
      <c r="AG112" s="398"/>
      <c r="AH112" s="398"/>
      <c r="AI112" s="399"/>
    </row>
    <row r="113" spans="2:35" ht="23.1" customHeight="1">
      <c r="B113" s="116"/>
      <c r="C113" s="547"/>
      <c r="D113" s="548"/>
      <c r="E113" s="1218"/>
      <c r="F113" s="1227"/>
      <c r="G113" s="1382">
        <f t="shared" si="7"/>
        <v>0</v>
      </c>
      <c r="H113" s="1389"/>
      <c r="I113" s="1390"/>
      <c r="J113" s="1384">
        <f t="shared" si="8"/>
        <v>0</v>
      </c>
      <c r="K113" s="1393"/>
      <c r="L113" s="1394"/>
      <c r="M113" s="874"/>
      <c r="N113" s="874"/>
      <c r="O113" s="827"/>
      <c r="P113" s="827"/>
      <c r="Q113" s="828"/>
      <c r="R113" s="1374" t="str">
        <f t="shared" si="9"/>
        <v/>
      </c>
      <c r="S113" s="105"/>
      <c r="U113" s="396"/>
      <c r="V113" s="398"/>
      <c r="W113" s="398"/>
      <c r="X113" s="398"/>
      <c r="Y113" s="1337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399"/>
    </row>
    <row r="114" spans="2:35" ht="23.1" customHeight="1" thickBot="1">
      <c r="B114" s="116"/>
      <c r="C114" s="1595" t="s">
        <v>439</v>
      </c>
      <c r="D114" s="1596"/>
      <c r="E114" s="1596"/>
      <c r="F114" s="1597"/>
      <c r="G114" s="174">
        <f>SUM(G104:G113)</f>
        <v>2211511.52</v>
      </c>
      <c r="H114" s="174">
        <f t="shared" ref="H114:I114" si="10">SUM(H104:H113)</f>
        <v>2019110.02</v>
      </c>
      <c r="I114" s="174">
        <f t="shared" si="10"/>
        <v>192401.5</v>
      </c>
      <c r="J114" s="174">
        <f>SUM(J104:J113)</f>
        <v>2211511.52</v>
      </c>
      <c r="K114" s="174">
        <f t="shared" ref="K114:L114" si="11">SUM(K104:K113)</f>
        <v>2019110.02</v>
      </c>
      <c r="L114" s="174">
        <f t="shared" si="11"/>
        <v>192401.5</v>
      </c>
      <c r="M114" s="174">
        <f t="shared" ref="M114:N114" si="12">SUM(M104:M113)</f>
        <v>2211511.52</v>
      </c>
      <c r="N114" s="174">
        <f t="shared" si="12"/>
        <v>2211511.52</v>
      </c>
      <c r="O114" s="214"/>
      <c r="P114" s="153"/>
      <c r="Q114" s="153"/>
      <c r="R114" s="153"/>
      <c r="S114" s="105"/>
      <c r="U114" s="396"/>
      <c r="V114" s="398"/>
      <c r="W114" s="398"/>
      <c r="X114" s="398"/>
      <c r="Y114" s="398"/>
      <c r="Z114" s="398"/>
      <c r="AA114" s="398"/>
      <c r="AB114" s="398"/>
      <c r="AC114" s="398"/>
      <c r="AD114" s="398"/>
      <c r="AE114" s="398"/>
      <c r="AF114" s="398"/>
      <c r="AG114" s="398"/>
      <c r="AH114" s="398"/>
      <c r="AI114" s="399"/>
    </row>
    <row r="115" spans="2:35" ht="23.1" customHeight="1">
      <c r="B115" s="116"/>
      <c r="C115" s="215"/>
      <c r="D115" s="215"/>
      <c r="E115" s="216"/>
      <c r="F115" s="1342" t="s">
        <v>1040</v>
      </c>
      <c r="G115" s="1343">
        <f>SUMIF(E104:E113,"Cabildo Insular de Tenerife",G104:G113)</f>
        <v>2211511.52</v>
      </c>
      <c r="H115" s="1343">
        <f>SUMIF(E104:E113,"Cabildo Insular de Tenerife",H104:H113)</f>
        <v>2019110.02</v>
      </c>
      <c r="I115" s="1343">
        <f>SUMIF(E104:E113,"Cabildo Insular de Tenerife",I104:I113)</f>
        <v>192401.5</v>
      </c>
      <c r="J115" s="1343">
        <f>SUMIF(E104:E113,"Cabildo Insular de Tenerife",J104:J113)</f>
        <v>2211511.52</v>
      </c>
      <c r="K115" s="1343">
        <f>SUMIF(E104:E113,"Cabildo Insular de Tenerife",K104:K113)</f>
        <v>2019110.02</v>
      </c>
      <c r="L115" s="1343">
        <f>SUMIF(E104:E113,"Cabildo Insular de Tenerife",L104:L113)</f>
        <v>192401.5</v>
      </c>
      <c r="M115" s="218"/>
      <c r="N115" s="218"/>
      <c r="O115" s="218"/>
      <c r="P115" s="218"/>
      <c r="Q115" s="218"/>
      <c r="R115" s="218"/>
      <c r="S115" s="105"/>
      <c r="U115" s="396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398"/>
      <c r="AH115" s="398"/>
      <c r="AI115" s="399"/>
    </row>
    <row r="116" spans="2:35" ht="23.1" customHeight="1">
      <c r="B116" s="116"/>
      <c r="C116" s="215"/>
      <c r="D116" s="215"/>
      <c r="E116" s="216"/>
      <c r="F116" s="216"/>
      <c r="G116" s="217"/>
      <c r="H116" s="217"/>
      <c r="I116" s="217"/>
      <c r="J116" s="217"/>
      <c r="K116" s="216"/>
      <c r="L116" s="216"/>
      <c r="M116" s="218"/>
      <c r="N116" s="218"/>
      <c r="O116" s="218"/>
      <c r="P116" s="218"/>
      <c r="Q116" s="218"/>
      <c r="R116" s="218"/>
      <c r="S116" s="105"/>
      <c r="U116" s="396"/>
      <c r="V116" s="398"/>
      <c r="W116" s="398"/>
      <c r="X116" s="398"/>
      <c r="Y116" s="398"/>
      <c r="Z116" s="398"/>
      <c r="AA116" s="398"/>
      <c r="AB116" s="398"/>
      <c r="AC116" s="398"/>
      <c r="AD116" s="398"/>
      <c r="AE116" s="398"/>
      <c r="AF116" s="398"/>
      <c r="AG116" s="398"/>
      <c r="AH116" s="398"/>
      <c r="AI116" s="399"/>
    </row>
    <row r="117" spans="2:35" s="114" customFormat="1" ht="30" customHeight="1">
      <c r="B117" s="110"/>
      <c r="C117" s="65" t="s">
        <v>751</v>
      </c>
      <c r="D117" s="21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113"/>
      <c r="U117" s="396"/>
      <c r="V117" s="398"/>
      <c r="W117" s="398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9"/>
    </row>
    <row r="118" spans="2:35" ht="23.1" customHeight="1">
      <c r="B118" s="116"/>
      <c r="C118" s="1564" t="s">
        <v>728</v>
      </c>
      <c r="D118" s="1566"/>
      <c r="E118" s="1588" t="s">
        <v>434</v>
      </c>
      <c r="F118" s="1589"/>
      <c r="G118" s="878">
        <f>ejercicio-1</f>
        <v>2020</v>
      </c>
      <c r="H118" s="878">
        <f>ejercicio</f>
        <v>2021</v>
      </c>
      <c r="I118" s="878" t="s">
        <v>436</v>
      </c>
      <c r="J118" s="878" t="s">
        <v>438</v>
      </c>
      <c r="K118" s="878" t="s">
        <v>437</v>
      </c>
      <c r="L118" s="96"/>
      <c r="M118" s="96"/>
      <c r="N118" s="96"/>
      <c r="O118" s="96"/>
      <c r="P118" s="96"/>
      <c r="Q118" s="96"/>
      <c r="R118" s="96"/>
      <c r="S118" s="105"/>
      <c r="U118" s="396"/>
      <c r="V118" s="398"/>
      <c r="W118" s="398"/>
      <c r="X118" s="398"/>
      <c r="Y118" s="398"/>
      <c r="Z118" s="398"/>
      <c r="AA118" s="398"/>
      <c r="AB118" s="398"/>
      <c r="AC118" s="398"/>
      <c r="AD118" s="398"/>
      <c r="AE118" s="398"/>
      <c r="AF118" s="398"/>
      <c r="AG118" s="398"/>
      <c r="AH118" s="398"/>
      <c r="AI118" s="399"/>
    </row>
    <row r="119" spans="2:35" ht="23.1" customHeight="1">
      <c r="B119" s="116"/>
      <c r="C119" s="543"/>
      <c r="D119" s="544"/>
      <c r="E119" s="1580"/>
      <c r="F119" s="1581"/>
      <c r="G119" s="469"/>
      <c r="H119" s="498"/>
      <c r="I119" s="819"/>
      <c r="J119" s="819"/>
      <c r="K119" s="820"/>
      <c r="L119" s="96"/>
      <c r="M119" s="96"/>
      <c r="N119" s="96"/>
      <c r="O119" s="96"/>
      <c r="P119" s="96"/>
      <c r="Q119" s="96"/>
      <c r="R119" s="96"/>
      <c r="S119" s="105"/>
      <c r="U119" s="396"/>
      <c r="V119" s="398"/>
      <c r="W119" s="398"/>
      <c r="X119" s="398"/>
      <c r="Y119" s="398"/>
      <c r="Z119" s="398"/>
      <c r="AA119" s="398"/>
      <c r="AB119" s="398"/>
      <c r="AC119" s="398"/>
      <c r="AD119" s="398"/>
      <c r="AE119" s="398"/>
      <c r="AF119" s="398"/>
      <c r="AG119" s="398"/>
      <c r="AH119" s="398"/>
      <c r="AI119" s="399"/>
    </row>
    <row r="120" spans="2:35" ht="23.1" customHeight="1">
      <c r="B120" s="116"/>
      <c r="C120" s="545"/>
      <c r="D120" s="546"/>
      <c r="E120" s="1580"/>
      <c r="F120" s="1581"/>
      <c r="G120" s="480"/>
      <c r="H120" s="500"/>
      <c r="I120" s="821"/>
      <c r="J120" s="821"/>
      <c r="K120" s="822"/>
      <c r="L120" s="96"/>
      <c r="M120" s="96"/>
      <c r="N120" s="96"/>
      <c r="O120" s="96"/>
      <c r="P120" s="96"/>
      <c r="Q120" s="96"/>
      <c r="R120" s="96"/>
      <c r="S120" s="105"/>
      <c r="U120" s="396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9"/>
    </row>
    <row r="121" spans="2:35" ht="23.1" customHeight="1">
      <c r="B121" s="116"/>
      <c r="C121" s="545"/>
      <c r="D121" s="546"/>
      <c r="E121" s="1580"/>
      <c r="F121" s="1581"/>
      <c r="G121" s="480"/>
      <c r="H121" s="500"/>
      <c r="I121" s="821"/>
      <c r="J121" s="821"/>
      <c r="K121" s="822"/>
      <c r="L121" s="96"/>
      <c r="M121" s="96"/>
      <c r="N121" s="96"/>
      <c r="O121" s="96"/>
      <c r="P121" s="96"/>
      <c r="Q121" s="96"/>
      <c r="R121" s="96"/>
      <c r="S121" s="105"/>
      <c r="U121" s="396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9"/>
    </row>
    <row r="122" spans="2:35" ht="23.1" customHeight="1">
      <c r="B122" s="116"/>
      <c r="C122" s="545"/>
      <c r="D122" s="546"/>
      <c r="E122" s="1580"/>
      <c r="F122" s="1581"/>
      <c r="G122" s="480"/>
      <c r="H122" s="500"/>
      <c r="I122" s="821"/>
      <c r="J122" s="821"/>
      <c r="K122" s="822"/>
      <c r="L122" s="96"/>
      <c r="M122" s="96"/>
      <c r="N122" s="96"/>
      <c r="O122" s="96"/>
      <c r="P122" s="96"/>
      <c r="Q122" s="96"/>
      <c r="R122" s="96"/>
      <c r="S122" s="105"/>
      <c r="U122" s="396"/>
      <c r="V122" s="398"/>
      <c r="W122" s="398"/>
      <c r="X122" s="398"/>
      <c r="Y122" s="398"/>
      <c r="Z122" s="398"/>
      <c r="AA122" s="398"/>
      <c r="AB122" s="398"/>
      <c r="AC122" s="398"/>
      <c r="AD122" s="398"/>
      <c r="AE122" s="398"/>
      <c r="AF122" s="398"/>
      <c r="AG122" s="398"/>
      <c r="AH122" s="398"/>
      <c r="AI122" s="399"/>
    </row>
    <row r="123" spans="2:35" ht="23.1" customHeight="1">
      <c r="B123" s="116"/>
      <c r="C123" s="545"/>
      <c r="D123" s="546"/>
      <c r="E123" s="1580"/>
      <c r="F123" s="1581"/>
      <c r="G123" s="473"/>
      <c r="H123" s="501"/>
      <c r="I123" s="823"/>
      <c r="J123" s="823"/>
      <c r="K123" s="824"/>
      <c r="L123" s="96"/>
      <c r="M123" s="96"/>
      <c r="N123" s="96"/>
      <c r="O123" s="96"/>
      <c r="P123" s="96"/>
      <c r="Q123" s="96"/>
      <c r="R123" s="96"/>
      <c r="S123" s="105"/>
      <c r="U123" s="396"/>
      <c r="V123" s="398"/>
      <c r="W123" s="398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398"/>
      <c r="AH123" s="398"/>
      <c r="AI123" s="399"/>
    </row>
    <row r="124" spans="2:35" ht="23.1" customHeight="1">
      <c r="B124" s="116"/>
      <c r="C124" s="545"/>
      <c r="D124" s="546"/>
      <c r="E124" s="1580"/>
      <c r="F124" s="1581"/>
      <c r="G124" s="473"/>
      <c r="H124" s="501"/>
      <c r="I124" s="823"/>
      <c r="J124" s="823"/>
      <c r="K124" s="824"/>
      <c r="L124" s="96"/>
      <c r="M124" s="96"/>
      <c r="N124" s="96"/>
      <c r="O124" s="96"/>
      <c r="P124" s="96"/>
      <c r="Q124" s="96"/>
      <c r="R124" s="96"/>
      <c r="S124" s="105"/>
      <c r="U124" s="396"/>
      <c r="V124" s="398"/>
      <c r="W124" s="398"/>
      <c r="X124" s="398"/>
      <c r="Y124" s="398"/>
      <c r="Z124" s="398"/>
      <c r="AA124" s="398"/>
      <c r="AB124" s="398"/>
      <c r="AC124" s="398"/>
      <c r="AD124" s="398"/>
      <c r="AE124" s="398"/>
      <c r="AF124" s="398"/>
      <c r="AG124" s="398"/>
      <c r="AH124" s="398"/>
      <c r="AI124" s="399"/>
    </row>
    <row r="125" spans="2:35" ht="23.1" customHeight="1">
      <c r="B125" s="116"/>
      <c r="C125" s="545"/>
      <c r="D125" s="546"/>
      <c r="E125" s="1580"/>
      <c r="F125" s="1581"/>
      <c r="G125" s="473"/>
      <c r="H125" s="501"/>
      <c r="I125" s="823"/>
      <c r="J125" s="823"/>
      <c r="K125" s="824"/>
      <c r="L125" s="96"/>
      <c r="M125" s="96"/>
      <c r="N125" s="96"/>
      <c r="O125" s="96"/>
      <c r="P125" s="96"/>
      <c r="Q125" s="96"/>
      <c r="R125" s="96"/>
      <c r="S125" s="105"/>
      <c r="U125" s="396"/>
      <c r="V125" s="398"/>
      <c r="W125" s="398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398"/>
      <c r="AH125" s="398"/>
      <c r="AI125" s="399"/>
    </row>
    <row r="126" spans="2:35" ht="23.1" customHeight="1">
      <c r="B126" s="116"/>
      <c r="C126" s="545"/>
      <c r="D126" s="546"/>
      <c r="E126" s="1580"/>
      <c r="F126" s="1581"/>
      <c r="G126" s="482"/>
      <c r="H126" s="502"/>
      <c r="I126" s="825"/>
      <c r="J126" s="825"/>
      <c r="K126" s="826"/>
      <c r="L126" s="96"/>
      <c r="M126" s="96"/>
      <c r="N126" s="96"/>
      <c r="O126" s="96"/>
      <c r="P126" s="96"/>
      <c r="Q126" s="96"/>
      <c r="R126" s="96"/>
      <c r="S126" s="105"/>
      <c r="U126" s="396"/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398"/>
      <c r="AF126" s="398"/>
      <c r="AG126" s="398"/>
      <c r="AH126" s="398"/>
      <c r="AI126" s="399"/>
    </row>
    <row r="127" spans="2:35" ht="23.1" customHeight="1">
      <c r="B127" s="116"/>
      <c r="C127" s="545"/>
      <c r="D127" s="546"/>
      <c r="E127" s="1580"/>
      <c r="F127" s="1581"/>
      <c r="G127" s="482"/>
      <c r="H127" s="502"/>
      <c r="I127" s="825"/>
      <c r="J127" s="825"/>
      <c r="K127" s="826"/>
      <c r="L127" s="96"/>
      <c r="M127" s="96"/>
      <c r="N127" s="96"/>
      <c r="O127" s="96"/>
      <c r="P127" s="96"/>
      <c r="Q127" s="96"/>
      <c r="R127" s="96"/>
      <c r="S127" s="105"/>
      <c r="U127" s="396"/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398"/>
      <c r="AF127" s="398"/>
      <c r="AG127" s="398"/>
      <c r="AH127" s="398"/>
      <c r="AI127" s="399"/>
    </row>
    <row r="128" spans="2:35" ht="23.1" customHeight="1">
      <c r="B128" s="116"/>
      <c r="C128" s="547"/>
      <c r="D128" s="548"/>
      <c r="E128" s="1580"/>
      <c r="F128" s="1581"/>
      <c r="G128" s="477"/>
      <c r="H128" s="503"/>
      <c r="I128" s="827"/>
      <c r="J128" s="827"/>
      <c r="K128" s="828"/>
      <c r="L128" s="96"/>
      <c r="M128" s="96"/>
      <c r="N128" s="96"/>
      <c r="O128" s="96"/>
      <c r="P128" s="96"/>
      <c r="Q128" s="96"/>
      <c r="R128" s="96"/>
      <c r="S128" s="105"/>
      <c r="U128" s="396"/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398"/>
      <c r="AF128" s="398"/>
      <c r="AG128" s="398"/>
      <c r="AH128" s="398"/>
      <c r="AI128" s="399"/>
    </row>
    <row r="129" spans="2:35" ht="23.1" customHeight="1" thickBot="1">
      <c r="B129" s="116"/>
      <c r="C129" s="1595" t="s">
        <v>752</v>
      </c>
      <c r="D129" s="1596"/>
      <c r="E129" s="1596"/>
      <c r="F129" s="1597"/>
      <c r="G129" s="174">
        <f>SUM(G119:G128)</f>
        <v>0</v>
      </c>
      <c r="H129" s="174">
        <f>SUM(H119:H128)</f>
        <v>0</v>
      </c>
      <c r="I129" s="95"/>
      <c r="J129" s="95"/>
      <c r="K129" s="169"/>
      <c r="L129" s="153"/>
      <c r="M129" s="153"/>
      <c r="N129" s="153"/>
      <c r="O129" s="153"/>
      <c r="P129" s="153"/>
      <c r="Q129" s="153"/>
      <c r="R129" s="153"/>
      <c r="S129" s="105"/>
      <c r="U129" s="396"/>
      <c r="V129" s="398"/>
      <c r="W129" s="398"/>
      <c r="X129" s="398"/>
      <c r="Y129" s="398"/>
      <c r="Z129" s="398"/>
      <c r="AA129" s="398"/>
      <c r="AB129" s="398"/>
      <c r="AC129" s="398"/>
      <c r="AD129" s="398"/>
      <c r="AE129" s="398"/>
      <c r="AF129" s="398"/>
      <c r="AG129" s="398"/>
      <c r="AH129" s="398"/>
      <c r="AI129" s="399"/>
    </row>
    <row r="130" spans="2:35" ht="23.1" customHeight="1">
      <c r="B130" s="116"/>
      <c r="C130" s="215"/>
      <c r="D130" s="215"/>
      <c r="E130" s="216"/>
      <c r="F130" s="216"/>
      <c r="G130" s="217"/>
      <c r="H130" s="217"/>
      <c r="I130" s="217"/>
      <c r="J130" s="217"/>
      <c r="K130" s="217"/>
      <c r="L130" s="95"/>
      <c r="M130" s="95"/>
      <c r="N130" s="169"/>
      <c r="O130" s="216"/>
      <c r="P130" s="218"/>
      <c r="Q130" s="218"/>
      <c r="R130" s="218"/>
      <c r="S130" s="105"/>
      <c r="U130" s="396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398"/>
      <c r="AI130" s="399"/>
    </row>
    <row r="131" spans="2:35" ht="23.1" customHeight="1">
      <c r="B131" s="116"/>
      <c r="C131" s="170" t="s">
        <v>731</v>
      </c>
      <c r="D131" s="168"/>
      <c r="E131" s="169"/>
      <c r="F131" s="169"/>
      <c r="G131" s="169"/>
      <c r="H131" s="169"/>
      <c r="I131" s="169"/>
      <c r="J131" s="169"/>
      <c r="K131" s="169"/>
      <c r="L131" s="95"/>
      <c r="M131" s="95"/>
      <c r="N131" s="169"/>
      <c r="O131" s="169"/>
      <c r="P131" s="95"/>
      <c r="Q131" s="95"/>
      <c r="R131" s="95"/>
      <c r="S131" s="105"/>
      <c r="U131" s="396"/>
      <c r="V131" s="398"/>
      <c r="W131" s="398"/>
      <c r="X131" s="398"/>
      <c r="Y131" s="398"/>
      <c r="Z131" s="398"/>
      <c r="AA131" s="398"/>
      <c r="AB131" s="398"/>
      <c r="AC131" s="398"/>
      <c r="AD131" s="398"/>
      <c r="AE131" s="398"/>
      <c r="AF131" s="398"/>
      <c r="AG131" s="398"/>
      <c r="AH131" s="398"/>
      <c r="AI131" s="399"/>
    </row>
    <row r="132" spans="2:35" ht="18">
      <c r="B132" s="116"/>
      <c r="C132" s="864"/>
      <c r="D132" s="864"/>
      <c r="E132" s="865"/>
      <c r="F132" s="865"/>
      <c r="G132" s="865"/>
      <c r="H132" s="865"/>
      <c r="I132" s="865"/>
      <c r="J132" s="865"/>
      <c r="K132" s="865"/>
      <c r="L132" s="865"/>
      <c r="M132" s="865"/>
      <c r="N132" s="865"/>
      <c r="O132" s="865"/>
      <c r="P132" s="866"/>
      <c r="Q132" s="1340"/>
      <c r="R132" s="1340"/>
      <c r="S132" s="105"/>
      <c r="U132" s="396"/>
      <c r="V132" s="398"/>
      <c r="W132" s="398"/>
      <c r="X132" s="398"/>
      <c r="Y132" s="398"/>
      <c r="Z132" s="398"/>
      <c r="AA132" s="398"/>
      <c r="AB132" s="398"/>
      <c r="AC132" s="398"/>
      <c r="AD132" s="398"/>
      <c r="AE132" s="398"/>
      <c r="AF132" s="398"/>
      <c r="AG132" s="398"/>
      <c r="AH132" s="398"/>
      <c r="AI132" s="399"/>
    </row>
    <row r="133" spans="2:35" ht="18">
      <c r="B133" s="116"/>
      <c r="C133" s="867"/>
      <c r="D133" s="867"/>
      <c r="E133" s="868"/>
      <c r="F133" s="868"/>
      <c r="G133" s="868"/>
      <c r="H133" s="868"/>
      <c r="I133" s="868"/>
      <c r="J133" s="868"/>
      <c r="K133" s="868"/>
      <c r="L133" s="868"/>
      <c r="M133" s="868"/>
      <c r="N133" s="868"/>
      <c r="O133" s="868"/>
      <c r="P133" s="869"/>
      <c r="Q133" s="1340"/>
      <c r="R133" s="1340"/>
      <c r="S133" s="105"/>
      <c r="U133" s="396"/>
      <c r="V133" s="398"/>
      <c r="W133" s="398"/>
      <c r="X133" s="398"/>
      <c r="Y133" s="398"/>
      <c r="Z133" s="398"/>
      <c r="AA133" s="398"/>
      <c r="AB133" s="398"/>
      <c r="AC133" s="398"/>
      <c r="AD133" s="398"/>
      <c r="AE133" s="398"/>
      <c r="AF133" s="398"/>
      <c r="AG133" s="398"/>
      <c r="AH133" s="398"/>
      <c r="AI133" s="399"/>
    </row>
    <row r="134" spans="2:35" ht="18">
      <c r="B134" s="116"/>
      <c r="C134" s="867"/>
      <c r="D134" s="867"/>
      <c r="E134" s="868"/>
      <c r="F134" s="868"/>
      <c r="G134" s="868"/>
      <c r="H134" s="868"/>
      <c r="I134" s="868"/>
      <c r="J134" s="868"/>
      <c r="K134" s="868"/>
      <c r="L134" s="868"/>
      <c r="M134" s="868"/>
      <c r="N134" s="868"/>
      <c r="O134" s="868"/>
      <c r="P134" s="869"/>
      <c r="Q134" s="1340"/>
      <c r="R134" s="1340"/>
      <c r="S134" s="105"/>
      <c r="U134" s="396"/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398"/>
      <c r="AF134" s="398"/>
      <c r="AG134" s="398"/>
      <c r="AH134" s="398"/>
      <c r="AI134" s="399"/>
    </row>
    <row r="135" spans="2:35" ht="18">
      <c r="B135" s="116"/>
      <c r="C135" s="867"/>
      <c r="D135" s="867"/>
      <c r="E135" s="868"/>
      <c r="F135" s="868"/>
      <c r="G135" s="868"/>
      <c r="H135" s="868"/>
      <c r="I135" s="868"/>
      <c r="J135" s="868"/>
      <c r="K135" s="868"/>
      <c r="L135" s="868"/>
      <c r="M135" s="868"/>
      <c r="N135" s="868"/>
      <c r="O135" s="868"/>
      <c r="P135" s="869"/>
      <c r="Q135" s="1340"/>
      <c r="R135" s="1340"/>
      <c r="S135" s="105"/>
      <c r="U135" s="396"/>
      <c r="V135" s="398"/>
      <c r="W135" s="398"/>
      <c r="X135" s="398"/>
      <c r="Y135" s="398"/>
      <c r="Z135" s="398"/>
      <c r="AA135" s="398"/>
      <c r="AB135" s="398"/>
      <c r="AC135" s="398"/>
      <c r="AD135" s="398"/>
      <c r="AE135" s="398"/>
      <c r="AF135" s="398"/>
      <c r="AG135" s="398"/>
      <c r="AH135" s="398"/>
      <c r="AI135" s="399"/>
    </row>
    <row r="136" spans="2:35" ht="18">
      <c r="B136" s="116"/>
      <c r="C136" s="867"/>
      <c r="D136" s="867"/>
      <c r="E136" s="868"/>
      <c r="F136" s="868"/>
      <c r="G136" s="868"/>
      <c r="H136" s="868"/>
      <c r="I136" s="868"/>
      <c r="J136" s="868"/>
      <c r="K136" s="868"/>
      <c r="L136" s="868"/>
      <c r="M136" s="868"/>
      <c r="N136" s="868"/>
      <c r="O136" s="868"/>
      <c r="P136" s="869"/>
      <c r="Q136" s="1340"/>
      <c r="R136" s="1340"/>
      <c r="S136" s="105"/>
      <c r="U136" s="396"/>
      <c r="V136" s="398"/>
      <c r="W136" s="398"/>
      <c r="X136" s="398"/>
      <c r="Y136" s="398"/>
      <c r="Z136" s="398"/>
      <c r="AA136" s="398"/>
      <c r="AB136" s="398"/>
      <c r="AC136" s="398"/>
      <c r="AD136" s="398"/>
      <c r="AE136" s="398"/>
      <c r="AF136" s="398"/>
      <c r="AG136" s="398"/>
      <c r="AH136" s="398"/>
      <c r="AI136" s="399"/>
    </row>
    <row r="137" spans="2:35" ht="18">
      <c r="B137" s="116"/>
      <c r="C137" s="867"/>
      <c r="D137" s="867"/>
      <c r="E137" s="868"/>
      <c r="F137" s="868"/>
      <c r="G137" s="868"/>
      <c r="H137" s="868"/>
      <c r="I137" s="868"/>
      <c r="J137" s="868"/>
      <c r="K137" s="868"/>
      <c r="L137" s="868"/>
      <c r="M137" s="868"/>
      <c r="N137" s="868"/>
      <c r="O137" s="868"/>
      <c r="P137" s="869"/>
      <c r="Q137" s="1340"/>
      <c r="R137" s="1340"/>
      <c r="S137" s="105"/>
      <c r="U137" s="396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9"/>
    </row>
    <row r="138" spans="2:35" ht="18">
      <c r="B138" s="116"/>
      <c r="C138" s="867"/>
      <c r="D138" s="867"/>
      <c r="E138" s="868"/>
      <c r="F138" s="868"/>
      <c r="G138" s="868"/>
      <c r="H138" s="868"/>
      <c r="I138" s="868"/>
      <c r="J138" s="868"/>
      <c r="K138" s="868"/>
      <c r="L138" s="868"/>
      <c r="M138" s="868"/>
      <c r="N138" s="868"/>
      <c r="O138" s="868"/>
      <c r="P138" s="869"/>
      <c r="Q138" s="1340"/>
      <c r="R138" s="1340"/>
      <c r="S138" s="105"/>
      <c r="U138" s="396"/>
      <c r="V138" s="398"/>
      <c r="W138" s="398"/>
      <c r="X138" s="398"/>
      <c r="Y138" s="398"/>
      <c r="Z138" s="398"/>
      <c r="AA138" s="398"/>
      <c r="AB138" s="398"/>
      <c r="AC138" s="398"/>
      <c r="AD138" s="398"/>
      <c r="AE138" s="398"/>
      <c r="AF138" s="398"/>
      <c r="AG138" s="398"/>
      <c r="AH138" s="398"/>
      <c r="AI138" s="399"/>
    </row>
    <row r="139" spans="2:35" ht="18">
      <c r="B139" s="116"/>
      <c r="C139" s="867"/>
      <c r="D139" s="867"/>
      <c r="E139" s="868"/>
      <c r="F139" s="868"/>
      <c r="G139" s="868"/>
      <c r="H139" s="868"/>
      <c r="I139" s="868"/>
      <c r="J139" s="868"/>
      <c r="K139" s="868"/>
      <c r="L139" s="868"/>
      <c r="M139" s="868"/>
      <c r="N139" s="868"/>
      <c r="O139" s="868"/>
      <c r="P139" s="869"/>
      <c r="Q139" s="1340"/>
      <c r="R139" s="1340"/>
      <c r="S139" s="105"/>
      <c r="U139" s="396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8"/>
      <c r="AF139" s="398"/>
      <c r="AG139" s="398"/>
      <c r="AH139" s="398"/>
      <c r="AI139" s="399"/>
    </row>
    <row r="140" spans="2:35" ht="18">
      <c r="B140" s="116"/>
      <c r="C140" s="867"/>
      <c r="D140" s="867"/>
      <c r="E140" s="868"/>
      <c r="F140" s="868"/>
      <c r="G140" s="868"/>
      <c r="H140" s="868"/>
      <c r="I140" s="868"/>
      <c r="J140" s="868"/>
      <c r="K140" s="868"/>
      <c r="L140" s="868"/>
      <c r="M140" s="868"/>
      <c r="N140" s="868"/>
      <c r="O140" s="868"/>
      <c r="P140" s="869"/>
      <c r="Q140" s="1340"/>
      <c r="R140" s="1340"/>
      <c r="S140" s="105"/>
      <c r="U140" s="396"/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398"/>
      <c r="AF140" s="398"/>
      <c r="AG140" s="398"/>
      <c r="AH140" s="398"/>
      <c r="AI140" s="399"/>
    </row>
    <row r="141" spans="2:35" ht="18">
      <c r="B141" s="116"/>
      <c r="C141" s="867"/>
      <c r="D141" s="867"/>
      <c r="E141" s="868"/>
      <c r="F141" s="868"/>
      <c r="G141" s="868"/>
      <c r="H141" s="868"/>
      <c r="I141" s="868"/>
      <c r="J141" s="868"/>
      <c r="K141" s="868"/>
      <c r="L141" s="868"/>
      <c r="M141" s="868"/>
      <c r="N141" s="868"/>
      <c r="O141" s="868"/>
      <c r="P141" s="869"/>
      <c r="Q141" s="1340"/>
      <c r="R141" s="1340"/>
      <c r="S141" s="105"/>
      <c r="U141" s="396"/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398"/>
      <c r="AF141" s="398"/>
      <c r="AG141" s="398"/>
      <c r="AH141" s="398"/>
      <c r="AI141" s="399"/>
    </row>
    <row r="142" spans="2:35" s="597" customFormat="1" ht="18">
      <c r="B142" s="620"/>
      <c r="C142" s="676" t="s">
        <v>732</v>
      </c>
      <c r="D142" s="1247"/>
      <c r="E142" s="678"/>
      <c r="F142" s="678"/>
      <c r="G142" s="678"/>
      <c r="H142" s="678"/>
      <c r="I142" s="678"/>
      <c r="J142" s="678"/>
      <c r="K142" s="678"/>
      <c r="L142" s="678"/>
      <c r="M142" s="678"/>
      <c r="N142" s="678"/>
      <c r="O142" s="678"/>
      <c r="P142" s="618"/>
      <c r="Q142" s="618"/>
      <c r="R142" s="618"/>
      <c r="S142" s="608"/>
      <c r="U142" s="954"/>
      <c r="V142" s="956"/>
      <c r="W142" s="956"/>
      <c r="X142" s="956"/>
      <c r="Y142" s="956"/>
      <c r="Z142" s="956"/>
      <c r="AA142" s="956"/>
      <c r="AB142" s="956"/>
      <c r="AC142" s="956"/>
      <c r="AD142" s="956"/>
      <c r="AE142" s="956"/>
      <c r="AF142" s="956"/>
      <c r="AG142" s="956"/>
      <c r="AH142" s="956"/>
      <c r="AI142" s="957"/>
    </row>
    <row r="143" spans="2:35" s="597" customFormat="1" ht="18">
      <c r="B143" s="620"/>
      <c r="C143" s="1248" t="s">
        <v>744</v>
      </c>
      <c r="D143" s="1247"/>
      <c r="E143" s="678"/>
      <c r="F143" s="678"/>
      <c r="G143" s="678"/>
      <c r="H143" s="678"/>
      <c r="I143" s="678"/>
      <c r="J143" s="678"/>
      <c r="K143" s="678"/>
      <c r="L143" s="678"/>
      <c r="M143" s="678"/>
      <c r="N143" s="678"/>
      <c r="O143" s="678"/>
      <c r="P143" s="618"/>
      <c r="Q143" s="618"/>
      <c r="R143" s="618"/>
      <c r="S143" s="608"/>
      <c r="U143" s="954"/>
      <c r="V143" s="956"/>
      <c r="W143" s="956"/>
      <c r="X143" s="956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6"/>
      <c r="AI143" s="957"/>
    </row>
    <row r="144" spans="2:35" s="597" customFormat="1" ht="18">
      <c r="B144" s="620"/>
      <c r="C144" s="1248" t="s">
        <v>742</v>
      </c>
      <c r="D144" s="1247"/>
      <c r="E144" s="678"/>
      <c r="F144" s="678"/>
      <c r="G144" s="1246">
        <f>ejercicio-1</f>
        <v>2020</v>
      </c>
      <c r="H144" s="678" t="s">
        <v>743</v>
      </c>
      <c r="I144" s="678"/>
      <c r="J144" s="678"/>
      <c r="K144" s="1246">
        <f>ejercicio</f>
        <v>2021</v>
      </c>
      <c r="L144" s="678"/>
      <c r="M144" s="678"/>
      <c r="N144" s="599"/>
      <c r="O144" s="678"/>
      <c r="P144" s="618"/>
      <c r="Q144" s="618"/>
      <c r="R144" s="618"/>
      <c r="S144" s="608"/>
      <c r="U144" s="954"/>
      <c r="V144" s="956"/>
      <c r="W144" s="956"/>
      <c r="X144" s="956"/>
      <c r="Y144" s="956"/>
      <c r="Z144" s="956"/>
      <c r="AA144" s="956"/>
      <c r="AB144" s="956"/>
      <c r="AC144" s="956"/>
      <c r="AD144" s="956"/>
      <c r="AE144" s="956"/>
      <c r="AF144" s="956"/>
      <c r="AG144" s="956"/>
      <c r="AH144" s="956"/>
      <c r="AI144" s="957"/>
    </row>
    <row r="145" spans="2:35" s="597" customFormat="1" ht="18">
      <c r="B145" s="620"/>
      <c r="C145" s="1248" t="s">
        <v>746</v>
      </c>
      <c r="D145" s="1247"/>
      <c r="E145" s="678"/>
      <c r="F145" s="678"/>
      <c r="G145" s="678"/>
      <c r="H145" s="678"/>
      <c r="I145" s="678"/>
      <c r="J145" s="678"/>
      <c r="K145" s="678"/>
      <c r="L145" s="678"/>
      <c r="M145" s="678"/>
      <c r="N145" s="678"/>
      <c r="O145" s="678"/>
      <c r="P145" s="618"/>
      <c r="Q145" s="618"/>
      <c r="R145" s="618"/>
      <c r="S145" s="608"/>
      <c r="U145" s="954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7"/>
    </row>
    <row r="146" spans="2:35" s="597" customFormat="1" ht="18">
      <c r="B146" s="620"/>
      <c r="C146" s="1247" t="s">
        <v>745</v>
      </c>
      <c r="D146" s="1247"/>
      <c r="E146" s="678"/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18"/>
      <c r="Q146" s="618"/>
      <c r="R146" s="618"/>
      <c r="S146" s="608"/>
      <c r="U146" s="954"/>
      <c r="V146" s="956"/>
      <c r="W146" s="956"/>
      <c r="X146" s="956"/>
      <c r="Y146" s="956"/>
      <c r="Z146" s="956"/>
      <c r="AA146" s="956"/>
      <c r="AB146" s="956"/>
      <c r="AC146" s="956"/>
      <c r="AD146" s="956"/>
      <c r="AE146" s="956"/>
      <c r="AF146" s="956"/>
      <c r="AG146" s="956"/>
      <c r="AH146" s="956"/>
      <c r="AI146" s="957"/>
    </row>
    <row r="147" spans="2:35" s="597" customFormat="1" ht="18">
      <c r="B147" s="620"/>
      <c r="C147" s="1248" t="s">
        <v>747</v>
      </c>
      <c r="D147" s="1247"/>
      <c r="E147" s="678"/>
      <c r="F147" s="678"/>
      <c r="G147" s="678"/>
      <c r="H147" s="678"/>
      <c r="I147" s="678"/>
      <c r="J147" s="678"/>
      <c r="K147" s="678"/>
      <c r="L147" s="678"/>
      <c r="M147" s="678"/>
      <c r="N147" s="678"/>
      <c r="O147" s="678"/>
      <c r="P147" s="618"/>
      <c r="Q147" s="618"/>
      <c r="R147" s="618"/>
      <c r="S147" s="608"/>
      <c r="U147" s="954"/>
      <c r="V147" s="956"/>
      <c r="W147" s="956"/>
      <c r="X147" s="956"/>
      <c r="Y147" s="956"/>
      <c r="Z147" s="956"/>
      <c r="AA147" s="956"/>
      <c r="AB147" s="956"/>
      <c r="AC147" s="956"/>
      <c r="AD147" s="956"/>
      <c r="AE147" s="956"/>
      <c r="AF147" s="956"/>
      <c r="AG147" s="956"/>
      <c r="AH147" s="956"/>
      <c r="AI147" s="957"/>
    </row>
    <row r="148" spans="2:35" s="597" customFormat="1" ht="18">
      <c r="B148" s="620"/>
      <c r="C148" s="1247" t="s">
        <v>733</v>
      </c>
      <c r="D148" s="1247"/>
      <c r="E148" s="678"/>
      <c r="F148" s="678"/>
      <c r="G148" s="678"/>
      <c r="H148" s="678"/>
      <c r="I148" s="678"/>
      <c r="J148" s="678"/>
      <c r="K148" s="678"/>
      <c r="L148" s="678"/>
      <c r="M148" s="678"/>
      <c r="N148" s="678"/>
      <c r="O148" s="678"/>
      <c r="P148" s="618"/>
      <c r="Q148" s="618"/>
      <c r="R148" s="618"/>
      <c r="S148" s="608"/>
      <c r="U148" s="954"/>
      <c r="V148" s="956"/>
      <c r="W148" s="956"/>
      <c r="X148" s="956"/>
      <c r="Y148" s="956"/>
      <c r="Z148" s="956"/>
      <c r="AA148" s="956"/>
      <c r="AB148" s="956"/>
      <c r="AC148" s="956"/>
      <c r="AD148" s="956"/>
      <c r="AE148" s="956"/>
      <c r="AF148" s="956"/>
      <c r="AG148" s="956"/>
      <c r="AH148" s="956"/>
      <c r="AI148" s="957"/>
    </row>
    <row r="149" spans="2:35" s="597" customFormat="1" ht="18">
      <c r="B149" s="620"/>
      <c r="C149" s="1247" t="s">
        <v>753</v>
      </c>
      <c r="D149" s="1247"/>
      <c r="E149" s="678"/>
      <c r="F149" s="678"/>
      <c r="G149" s="678"/>
      <c r="H149" s="678"/>
      <c r="I149" s="678"/>
      <c r="J149" s="678"/>
      <c r="K149" s="678"/>
      <c r="L149" s="678"/>
      <c r="M149" s="678"/>
      <c r="N149" s="678"/>
      <c r="O149" s="678"/>
      <c r="P149" s="618"/>
      <c r="Q149" s="618"/>
      <c r="R149" s="618"/>
      <c r="S149" s="608"/>
      <c r="U149" s="954"/>
      <c r="V149" s="956"/>
      <c r="W149" s="956"/>
      <c r="X149" s="956"/>
      <c r="Y149" s="956"/>
      <c r="Z149" s="956"/>
      <c r="AA149" s="956"/>
      <c r="AB149" s="956"/>
      <c r="AC149" s="956"/>
      <c r="AD149" s="956"/>
      <c r="AE149" s="956"/>
      <c r="AF149" s="956"/>
      <c r="AG149" s="956"/>
      <c r="AH149" s="956"/>
      <c r="AI149" s="957"/>
    </row>
    <row r="150" spans="2:35" s="597" customFormat="1" ht="18">
      <c r="B150" s="620"/>
      <c r="C150" s="1247" t="s">
        <v>734</v>
      </c>
      <c r="D150" s="1247"/>
      <c r="E150" s="678"/>
      <c r="F150" s="678"/>
      <c r="G150" s="678"/>
      <c r="H150" s="678"/>
      <c r="I150" s="678"/>
      <c r="J150" s="678"/>
      <c r="K150" s="678"/>
      <c r="L150" s="678"/>
      <c r="M150" s="678"/>
      <c r="N150" s="678"/>
      <c r="O150" s="678"/>
      <c r="P150" s="618"/>
      <c r="Q150" s="618"/>
      <c r="R150" s="618"/>
      <c r="S150" s="608"/>
      <c r="U150" s="954"/>
      <c r="V150" s="956"/>
      <c r="W150" s="956"/>
      <c r="X150" s="956"/>
      <c r="Y150" s="956"/>
      <c r="Z150" s="956"/>
      <c r="AA150" s="956"/>
      <c r="AB150" s="956"/>
      <c r="AC150" s="956"/>
      <c r="AD150" s="956"/>
      <c r="AE150" s="956"/>
      <c r="AF150" s="956"/>
      <c r="AG150" s="956"/>
      <c r="AH150" s="956"/>
      <c r="AI150" s="957"/>
    </row>
    <row r="151" spans="2:35" s="597" customFormat="1" ht="18">
      <c r="B151" s="620"/>
      <c r="C151" s="1248" t="s">
        <v>748</v>
      </c>
      <c r="D151" s="1247"/>
      <c r="E151" s="678"/>
      <c r="F151" s="678"/>
      <c r="G151" s="678"/>
      <c r="H151" s="678"/>
      <c r="I151" s="678"/>
      <c r="J151" s="678"/>
      <c r="K151" s="678"/>
      <c r="L151" s="678"/>
      <c r="M151" s="678"/>
      <c r="N151" s="678"/>
      <c r="O151" s="678"/>
      <c r="P151" s="618"/>
      <c r="Q151" s="618"/>
      <c r="R151" s="618"/>
      <c r="S151" s="608"/>
      <c r="U151" s="954"/>
      <c r="V151" s="956"/>
      <c r="W151" s="956"/>
      <c r="X151" s="956"/>
      <c r="Y151" s="956"/>
      <c r="Z151" s="956"/>
      <c r="AA151" s="956"/>
      <c r="AB151" s="956"/>
      <c r="AC151" s="956"/>
      <c r="AD151" s="956"/>
      <c r="AE151" s="956"/>
      <c r="AF151" s="956"/>
      <c r="AG151" s="956"/>
      <c r="AH151" s="956"/>
      <c r="AI151" s="957"/>
    </row>
    <row r="152" spans="2:35" s="597" customFormat="1" ht="18">
      <c r="B152" s="620"/>
      <c r="C152" s="1248" t="s">
        <v>755</v>
      </c>
      <c r="D152" s="1247"/>
      <c r="E152" s="678"/>
      <c r="F152" s="678"/>
      <c r="G152" s="678"/>
      <c r="H152" s="678"/>
      <c r="I152" s="678"/>
      <c r="J152" s="678"/>
      <c r="K152" s="678"/>
      <c r="L152" s="678"/>
      <c r="M152" s="678"/>
      <c r="N152" s="678"/>
      <c r="O152" s="678"/>
      <c r="P152" s="618"/>
      <c r="Q152" s="618"/>
      <c r="R152" s="618"/>
      <c r="S152" s="608"/>
      <c r="U152" s="954"/>
      <c r="V152" s="956"/>
      <c r="W152" s="956"/>
      <c r="X152" s="956"/>
      <c r="Y152" s="956"/>
      <c r="Z152" s="956"/>
      <c r="AA152" s="956"/>
      <c r="AB152" s="956"/>
      <c r="AC152" s="956"/>
      <c r="AD152" s="956"/>
      <c r="AE152" s="956"/>
      <c r="AF152" s="956"/>
      <c r="AG152" s="956"/>
      <c r="AH152" s="956"/>
      <c r="AI152" s="957"/>
    </row>
    <row r="153" spans="2:35" s="597" customFormat="1" ht="18">
      <c r="B153" s="620"/>
      <c r="C153" s="1247" t="s">
        <v>739</v>
      </c>
      <c r="D153" s="1247"/>
      <c r="E153" s="678"/>
      <c r="F153" s="678"/>
      <c r="G153" s="678"/>
      <c r="H153" s="678"/>
      <c r="I153" s="678"/>
      <c r="J153" s="678"/>
      <c r="K153" s="678"/>
      <c r="L153" s="678"/>
      <c r="M153" s="678"/>
      <c r="N153" s="678"/>
      <c r="O153" s="678"/>
      <c r="P153" s="618"/>
      <c r="Q153" s="618"/>
      <c r="R153" s="618"/>
      <c r="S153" s="608"/>
      <c r="U153" s="954"/>
      <c r="V153" s="956"/>
      <c r="W153" s="956"/>
      <c r="X153" s="956"/>
      <c r="Y153" s="956"/>
      <c r="Z153" s="956"/>
      <c r="AA153" s="956"/>
      <c r="AB153" s="956"/>
      <c r="AC153" s="956"/>
      <c r="AD153" s="956"/>
      <c r="AE153" s="956"/>
      <c r="AF153" s="956"/>
      <c r="AG153" s="956"/>
      <c r="AH153" s="956"/>
      <c r="AI153" s="957"/>
    </row>
    <row r="154" spans="2:35" s="597" customFormat="1" ht="18">
      <c r="B154" s="620"/>
      <c r="C154" s="1248" t="s">
        <v>749</v>
      </c>
      <c r="D154" s="1247"/>
      <c r="E154" s="678"/>
      <c r="F154" s="678"/>
      <c r="G154" s="678"/>
      <c r="H154" s="678"/>
      <c r="I154" s="678"/>
      <c r="J154" s="678"/>
      <c r="K154" s="678"/>
      <c r="L154" s="678"/>
      <c r="M154" s="678"/>
      <c r="N154" s="678"/>
      <c r="O154" s="678"/>
      <c r="P154" s="618"/>
      <c r="Q154" s="618"/>
      <c r="R154" s="618"/>
      <c r="S154" s="608"/>
      <c r="U154" s="954"/>
      <c r="V154" s="956"/>
      <c r="W154" s="956"/>
      <c r="X154" s="956"/>
      <c r="Y154" s="956"/>
      <c r="Z154" s="956"/>
      <c r="AA154" s="956"/>
      <c r="AB154" s="956"/>
      <c r="AC154" s="956"/>
      <c r="AD154" s="956"/>
      <c r="AE154" s="956"/>
      <c r="AF154" s="956"/>
      <c r="AG154" s="956"/>
      <c r="AH154" s="956"/>
      <c r="AI154" s="957"/>
    </row>
    <row r="155" spans="2:35" s="1253" customFormat="1" ht="18">
      <c r="B155" s="1249"/>
      <c r="C155" s="1250" t="s">
        <v>754</v>
      </c>
      <c r="D155" s="1251"/>
      <c r="E155" s="1252"/>
      <c r="F155" s="1252"/>
      <c r="G155" s="1252"/>
      <c r="H155" s="1252"/>
      <c r="I155" s="1252"/>
      <c r="J155" s="1252"/>
      <c r="K155" s="678"/>
      <c r="L155" s="678"/>
      <c r="M155" s="678"/>
      <c r="N155" s="678"/>
      <c r="O155" s="678"/>
      <c r="P155" s="618"/>
      <c r="Q155" s="618"/>
      <c r="R155" s="618"/>
      <c r="S155" s="957"/>
      <c r="U155" s="954"/>
      <c r="V155" s="956"/>
      <c r="W155" s="956"/>
      <c r="X155" s="956"/>
      <c r="Y155" s="956"/>
      <c r="Z155" s="956"/>
      <c r="AA155" s="956"/>
      <c r="AB155" s="956"/>
      <c r="AC155" s="956"/>
      <c r="AD155" s="956"/>
      <c r="AE155" s="956"/>
      <c r="AF155" s="956"/>
      <c r="AG155" s="956"/>
      <c r="AH155" s="956"/>
      <c r="AI155" s="957"/>
    </row>
    <row r="156" spans="2:35" s="597" customFormat="1" ht="18">
      <c r="B156" s="620"/>
      <c r="C156" s="1247" t="s">
        <v>740</v>
      </c>
      <c r="D156" s="1247"/>
      <c r="E156" s="678"/>
      <c r="F156" s="678"/>
      <c r="G156" s="678"/>
      <c r="H156" s="678"/>
      <c r="I156" s="678"/>
      <c r="J156" s="678"/>
      <c r="K156" s="678"/>
      <c r="L156" s="678"/>
      <c r="M156" s="678"/>
      <c r="N156" s="678"/>
      <c r="O156" s="678"/>
      <c r="P156" s="618"/>
      <c r="Q156" s="618"/>
      <c r="R156" s="618"/>
      <c r="S156" s="608"/>
      <c r="U156" s="954"/>
      <c r="V156" s="956"/>
      <c r="W156" s="956"/>
      <c r="X156" s="956"/>
      <c r="Y156" s="956"/>
      <c r="Z156" s="956"/>
      <c r="AA156" s="956"/>
      <c r="AB156" s="956"/>
      <c r="AC156" s="956"/>
      <c r="AD156" s="956"/>
      <c r="AE156" s="956"/>
      <c r="AF156" s="956"/>
      <c r="AG156" s="956"/>
      <c r="AH156" s="956"/>
      <c r="AI156" s="957"/>
    </row>
    <row r="157" spans="2:35" s="597" customFormat="1" ht="18">
      <c r="B157" s="620"/>
      <c r="C157" s="1248" t="s">
        <v>750</v>
      </c>
      <c r="D157" s="1247"/>
      <c r="E157" s="678"/>
      <c r="F157" s="678"/>
      <c r="G157" s="678"/>
      <c r="H157" s="678"/>
      <c r="I157" s="678"/>
      <c r="J157" s="678"/>
      <c r="K157" s="678"/>
      <c r="L157" s="678"/>
      <c r="M157" s="678"/>
      <c r="N157" s="678"/>
      <c r="O157" s="678"/>
      <c r="P157" s="618"/>
      <c r="Q157" s="618"/>
      <c r="R157" s="618"/>
      <c r="S157" s="608"/>
      <c r="U157" s="954"/>
      <c r="V157" s="956"/>
      <c r="W157" s="956"/>
      <c r="X157" s="956"/>
      <c r="Y157" s="956"/>
      <c r="Z157" s="956"/>
      <c r="AA157" s="956"/>
      <c r="AB157" s="956"/>
      <c r="AC157" s="956"/>
      <c r="AD157" s="956"/>
      <c r="AE157" s="956"/>
      <c r="AF157" s="956"/>
      <c r="AG157" s="956"/>
      <c r="AH157" s="956"/>
      <c r="AI157" s="957"/>
    </row>
    <row r="158" spans="2:35" s="597" customFormat="1" ht="18">
      <c r="B158" s="620"/>
      <c r="C158" s="1247" t="s">
        <v>741</v>
      </c>
      <c r="D158" s="1247"/>
      <c r="E158" s="678"/>
      <c r="F158" s="678"/>
      <c r="G158" s="678"/>
      <c r="H158" s="678"/>
      <c r="I158" s="678"/>
      <c r="J158" s="678"/>
      <c r="K158" s="678"/>
      <c r="L158" s="678"/>
      <c r="M158" s="678"/>
      <c r="N158" s="678"/>
      <c r="O158" s="678"/>
      <c r="P158" s="618"/>
      <c r="Q158" s="618"/>
      <c r="R158" s="618"/>
      <c r="S158" s="608"/>
      <c r="U158" s="954"/>
      <c r="V158" s="956"/>
      <c r="W158" s="956"/>
      <c r="X158" s="956"/>
      <c r="Y158" s="956"/>
      <c r="Z158" s="956"/>
      <c r="AA158" s="956"/>
      <c r="AB158" s="956"/>
      <c r="AC158" s="956"/>
      <c r="AD158" s="956"/>
      <c r="AE158" s="956"/>
      <c r="AF158" s="956"/>
      <c r="AG158" s="956"/>
      <c r="AH158" s="956"/>
      <c r="AI158" s="957"/>
    </row>
    <row r="159" spans="2:35" s="597" customFormat="1" ht="23.1" customHeight="1" thickBot="1">
      <c r="B159" s="679"/>
      <c r="C159" s="1498"/>
      <c r="D159" s="1498"/>
      <c r="E159" s="1498"/>
      <c r="F159" s="1498"/>
      <c r="G159" s="1498"/>
      <c r="H159" s="1233"/>
      <c r="I159" s="1233"/>
      <c r="J159" s="1233"/>
      <c r="K159" s="1233"/>
      <c r="L159" s="1233"/>
      <c r="M159" s="1233"/>
      <c r="N159" s="1233"/>
      <c r="O159" s="1233"/>
      <c r="P159" s="1234"/>
      <c r="Q159" s="1328"/>
      <c r="R159" s="1372"/>
      <c r="S159" s="681"/>
      <c r="U159" s="990"/>
      <c r="V159" s="991"/>
      <c r="W159" s="991"/>
      <c r="X159" s="991"/>
      <c r="Y159" s="991"/>
      <c r="Z159" s="991"/>
      <c r="AA159" s="991"/>
      <c r="AB159" s="991"/>
      <c r="AC159" s="991"/>
      <c r="AD159" s="991"/>
      <c r="AE159" s="991"/>
      <c r="AF159" s="991"/>
      <c r="AG159" s="991"/>
      <c r="AH159" s="991"/>
      <c r="AI159" s="992"/>
    </row>
    <row r="160" spans="2:35" s="597" customFormat="1" ht="23.1" customHeight="1">
      <c r="C160" s="606"/>
      <c r="D160" s="606"/>
      <c r="E160" s="607"/>
      <c r="F160" s="607"/>
      <c r="G160" s="607"/>
      <c r="H160" s="607"/>
      <c r="I160" s="607"/>
      <c r="J160" s="607"/>
      <c r="K160" s="607"/>
      <c r="L160" s="607"/>
      <c r="M160" s="607"/>
      <c r="N160" s="607"/>
      <c r="O160" s="607"/>
      <c r="P160" s="607"/>
      <c r="Q160" s="607"/>
      <c r="R160" s="607"/>
      <c r="T160" s="597" t="s">
        <v>885</v>
      </c>
    </row>
    <row r="161" spans="3:18" s="597" customFormat="1" ht="12.75">
      <c r="C161" s="682" t="s">
        <v>70</v>
      </c>
      <c r="D161" s="606"/>
      <c r="E161" s="607"/>
      <c r="F161" s="607"/>
      <c r="G161" s="607"/>
      <c r="H161" s="607"/>
      <c r="I161" s="607"/>
      <c r="J161" s="607"/>
      <c r="K161" s="607"/>
      <c r="L161" s="607"/>
      <c r="M161" s="607"/>
      <c r="N161" s="607"/>
      <c r="O161" s="607"/>
      <c r="P161" s="993" t="s">
        <v>53</v>
      </c>
      <c r="Q161" s="993"/>
      <c r="R161" s="993"/>
    </row>
    <row r="162" spans="3:18" s="597" customFormat="1" ht="12.75">
      <c r="C162" s="684" t="s">
        <v>71</v>
      </c>
      <c r="D162" s="606"/>
      <c r="E162" s="607"/>
      <c r="F162" s="607"/>
      <c r="G162" s="607"/>
      <c r="H162" s="607"/>
      <c r="I162" s="607"/>
      <c r="J162" s="607"/>
      <c r="K162" s="607"/>
      <c r="L162" s="607"/>
      <c r="M162" s="607"/>
      <c r="N162" s="607"/>
      <c r="O162" s="607"/>
      <c r="P162" s="607"/>
      <c r="Q162" s="607"/>
      <c r="R162" s="607"/>
    </row>
    <row r="163" spans="3:18" s="597" customFormat="1" ht="12.75">
      <c r="C163" s="684" t="s">
        <v>72</v>
      </c>
      <c r="D163" s="606"/>
      <c r="E163" s="607"/>
      <c r="F163" s="607"/>
      <c r="G163" s="607"/>
      <c r="H163" s="607"/>
      <c r="I163" s="607"/>
      <c r="J163" s="607"/>
      <c r="K163" s="607"/>
      <c r="L163" s="607"/>
      <c r="M163" s="607"/>
      <c r="N163" s="607"/>
      <c r="O163" s="607"/>
      <c r="P163" s="607"/>
      <c r="Q163" s="607"/>
      <c r="R163" s="607"/>
    </row>
    <row r="164" spans="3:18" s="597" customFormat="1" ht="12.75">
      <c r="C164" s="684" t="s">
        <v>73</v>
      </c>
      <c r="D164" s="606"/>
      <c r="E164" s="607"/>
      <c r="F164" s="607"/>
      <c r="G164" s="607"/>
      <c r="H164" s="607"/>
      <c r="I164" s="607"/>
      <c r="J164" s="607"/>
      <c r="K164" s="607"/>
      <c r="L164" s="607"/>
      <c r="M164" s="607"/>
      <c r="N164" s="607"/>
      <c r="O164" s="607"/>
      <c r="P164" s="607"/>
      <c r="Q164" s="607"/>
      <c r="R164" s="607"/>
    </row>
    <row r="165" spans="3:18" s="597" customFormat="1" ht="12.75">
      <c r="C165" s="684" t="s">
        <v>74</v>
      </c>
      <c r="D165" s="606"/>
      <c r="E165" s="607"/>
      <c r="F165" s="607"/>
      <c r="G165" s="607"/>
      <c r="H165" s="607"/>
      <c r="I165" s="607"/>
      <c r="J165" s="607"/>
      <c r="K165" s="607"/>
      <c r="L165" s="607"/>
      <c r="M165" s="607"/>
      <c r="N165" s="607"/>
      <c r="O165" s="607"/>
      <c r="P165" s="607"/>
      <c r="Q165" s="607"/>
      <c r="R165" s="607"/>
    </row>
    <row r="166" spans="3:18" s="597" customFormat="1" ht="23.1" customHeight="1">
      <c r="C166" s="606"/>
      <c r="D166" s="606"/>
      <c r="E166" s="607"/>
      <c r="F166" s="607"/>
      <c r="G166" s="607"/>
      <c r="H166" s="607"/>
      <c r="I166" s="607"/>
      <c r="J166" s="607"/>
      <c r="K166" s="607"/>
      <c r="L166" s="607"/>
      <c r="M166" s="607"/>
      <c r="N166" s="607"/>
      <c r="O166" s="607"/>
      <c r="P166" s="607"/>
      <c r="Q166" s="607"/>
      <c r="R166" s="607"/>
    </row>
    <row r="167" spans="3:18" s="597" customFormat="1" ht="12.75">
      <c r="C167" s="606"/>
      <c r="D167" s="606"/>
      <c r="E167" s="607"/>
      <c r="F167" s="607"/>
      <c r="G167" s="607"/>
      <c r="H167" s="607"/>
      <c r="I167" s="607"/>
      <c r="J167" s="607"/>
      <c r="K167" s="607"/>
      <c r="L167" s="607"/>
      <c r="M167" s="607"/>
      <c r="N167" s="607"/>
      <c r="O167" s="607"/>
      <c r="P167" s="607"/>
      <c r="Q167" s="607"/>
      <c r="R167" s="607"/>
    </row>
    <row r="168" spans="3:18" s="597" customFormat="1" ht="12.75" hidden="1">
      <c r="C168" s="1254" t="s">
        <v>1130</v>
      </c>
      <c r="D168" s="606"/>
      <c r="E168" s="607"/>
      <c r="F168" s="607"/>
      <c r="G168" s="607"/>
      <c r="H168" s="607"/>
      <c r="I168" s="607"/>
      <c r="J168" s="607"/>
      <c r="K168" s="607"/>
      <c r="L168" s="607"/>
      <c r="M168" s="607"/>
      <c r="N168" s="607"/>
      <c r="O168" s="607"/>
      <c r="P168" s="607"/>
      <c r="Q168" s="607"/>
      <c r="R168" s="607"/>
    </row>
    <row r="169" spans="3:18" s="597" customFormat="1" ht="12.75" hidden="1">
      <c r="C169" s="606" t="s">
        <v>70</v>
      </c>
      <c r="D169" s="606"/>
      <c r="E169" s="607"/>
      <c r="F169" s="607"/>
      <c r="G169" s="607"/>
      <c r="H169" s="607"/>
      <c r="I169" s="607"/>
      <c r="J169" s="607"/>
      <c r="K169" s="607"/>
      <c r="L169" s="607"/>
      <c r="M169" s="607"/>
      <c r="N169" s="607"/>
      <c r="O169" s="607"/>
      <c r="P169" s="607"/>
      <c r="Q169" s="607"/>
      <c r="R169" s="607"/>
    </row>
    <row r="170" spans="3:18" s="597" customFormat="1" ht="12.75" hidden="1">
      <c r="C170" s="597" t="s">
        <v>1125</v>
      </c>
      <c r="E170" s="599"/>
      <c r="F170" s="599"/>
      <c r="G170" s="607"/>
      <c r="H170" s="607"/>
      <c r="I170" s="607"/>
      <c r="J170" s="607"/>
      <c r="K170" s="607"/>
      <c r="L170" s="607"/>
      <c r="M170" s="607"/>
      <c r="N170" s="607"/>
      <c r="O170" s="607"/>
      <c r="P170" s="607"/>
      <c r="Q170" s="607"/>
      <c r="R170" s="607"/>
    </row>
    <row r="171" spans="3:18" s="597" customFormat="1" ht="12.75" hidden="1">
      <c r="C171" s="597" t="s">
        <v>1120</v>
      </c>
      <c r="E171" s="599"/>
      <c r="F171" s="599"/>
      <c r="G171" s="599"/>
      <c r="H171" s="599"/>
      <c r="I171" s="599"/>
      <c r="J171" s="599"/>
      <c r="K171" s="599"/>
      <c r="L171" s="599"/>
      <c r="M171" s="599"/>
      <c r="N171" s="599"/>
      <c r="O171" s="599"/>
      <c r="P171" s="599"/>
      <c r="Q171" s="599"/>
      <c r="R171" s="599"/>
    </row>
    <row r="172" spans="3:18" ht="12.75" hidden="1">
      <c r="C172" s="96" t="s">
        <v>1121</v>
      </c>
    </row>
  </sheetData>
  <sheetProtection algorithmName="SHA-512" hashValue="GcBxR/8kc5hzqjPhe1kMdAv+tARYYJyRXA2oPnM95rzffDN/0dnroV/BFjZPZDeKGKaaMjJbnfIufJ2dGcUUXQ==" saltValue="pYn4VJAPcE8/2jJODQZTYA==" spinCount="100000" sheet="1" insertRows="0"/>
  <mergeCells count="48">
    <mergeCell ref="C16:D16"/>
    <mergeCell ref="G101:L101"/>
    <mergeCell ref="H102:I102"/>
    <mergeCell ref="E101:F102"/>
    <mergeCell ref="K102:L102"/>
    <mergeCell ref="E56:F56"/>
    <mergeCell ref="G54:H54"/>
    <mergeCell ref="I54:J54"/>
    <mergeCell ref="E54:F55"/>
    <mergeCell ref="H16:I16"/>
    <mergeCell ref="K16:L16"/>
    <mergeCell ref="C47:F47"/>
    <mergeCell ref="C46:F46"/>
    <mergeCell ref="Q6:Q7"/>
    <mergeCell ref="C12:D12"/>
    <mergeCell ref="C15:D15"/>
    <mergeCell ref="D9:R9"/>
    <mergeCell ref="G15:L15"/>
    <mergeCell ref="M15:N15"/>
    <mergeCell ref="E15:F15"/>
    <mergeCell ref="C118:D118"/>
    <mergeCell ref="C17:D17"/>
    <mergeCell ref="C159:G159"/>
    <mergeCell ref="W53:X54"/>
    <mergeCell ref="W100:X101"/>
    <mergeCell ref="C56:D56"/>
    <mergeCell ref="C103:D103"/>
    <mergeCell ref="M101:N102"/>
    <mergeCell ref="C114:F114"/>
    <mergeCell ref="C93:F93"/>
    <mergeCell ref="C101:D102"/>
    <mergeCell ref="C54:D55"/>
    <mergeCell ref="E103:F103"/>
    <mergeCell ref="C129:F129"/>
    <mergeCell ref="E119:F119"/>
    <mergeCell ref="W15:X16"/>
    <mergeCell ref="E125:F125"/>
    <mergeCell ref="E126:F126"/>
    <mergeCell ref="E127:F127"/>
    <mergeCell ref="E128:F128"/>
    <mergeCell ref="M16:N16"/>
    <mergeCell ref="E16:F17"/>
    <mergeCell ref="E120:F120"/>
    <mergeCell ref="E121:F121"/>
    <mergeCell ref="E122:F122"/>
    <mergeCell ref="E123:F123"/>
    <mergeCell ref="E124:F124"/>
    <mergeCell ref="E118:F118"/>
  </mergeCells>
  <phoneticPr fontId="21" type="noConversion"/>
  <dataValidations count="1">
    <dataValidation type="list" allowBlank="1" showInputMessage="1" showErrorMessage="1" sqref="E57:E92 E104:E113 E21:E43" xr:uid="{00000000-0002-0000-0D00-000000000000}">
      <formula1>$C$169:$C$172</formula1>
    </dataValidation>
  </dataValidations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2:AI163"/>
  <sheetViews>
    <sheetView zoomScale="61" zoomScaleNormal="55" zoomScalePageLayoutView="125" workbookViewId="0">
      <selection activeCell="L50" sqref="L50"/>
    </sheetView>
  </sheetViews>
  <sheetFormatPr baseColWidth="10" defaultColWidth="10.6640625" defaultRowHeight="23.1" customHeight="1"/>
  <cols>
    <col min="1" max="1" width="4.109375" style="597" bestFit="1" customWidth="1"/>
    <col min="2" max="2" width="3.109375" style="597" customWidth="1"/>
    <col min="3" max="3" width="13.5546875" style="597" customWidth="1"/>
    <col min="4" max="4" width="26.5546875" style="597" customWidth="1"/>
    <col min="5" max="6" width="13.44140625" style="599" customWidth="1"/>
    <col min="7" max="7" width="20" style="599" customWidth="1"/>
    <col min="8" max="8" width="13.44140625" style="599" customWidth="1"/>
    <col min="9" max="9" width="11.109375" style="599" customWidth="1"/>
    <col min="10" max="10" width="16" style="599" customWidth="1"/>
    <col min="11" max="12" width="15.88671875" style="599" customWidth="1"/>
    <col min="13" max="13" width="16.5546875" style="599" customWidth="1"/>
    <col min="14" max="14" width="17" style="599" customWidth="1"/>
    <col min="15" max="19" width="15.88671875" style="599" customWidth="1"/>
    <col min="20" max="20" width="3.33203125" style="597" customWidth="1"/>
    <col min="21" max="21" width="10.6640625" style="597"/>
    <col min="22" max="22" width="11.109375" style="597" bestFit="1" customWidth="1"/>
    <col min="23" max="16384" width="10.6640625" style="597"/>
  </cols>
  <sheetData>
    <row r="2" spans="1:35" ht="23.1" customHeight="1">
      <c r="D2" s="298" t="str">
        <f>_GENERAL!D2</f>
        <v>Área de Presidencia, Hacienda y Modernización</v>
      </c>
    </row>
    <row r="3" spans="1:35" ht="23.1" customHeight="1">
      <c r="D3" s="298" t="str">
        <f>_GENERAL!D3</f>
        <v>Dirección Insular de Hacienda</v>
      </c>
    </row>
    <row r="4" spans="1:35" ht="23.1" customHeight="1" thickBot="1">
      <c r="A4" s="597" t="s">
        <v>884</v>
      </c>
    </row>
    <row r="5" spans="1:35" ht="9" customHeight="1">
      <c r="B5" s="600"/>
      <c r="C5" s="601"/>
      <c r="D5" s="601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3"/>
      <c r="V5" s="951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3"/>
    </row>
    <row r="6" spans="1:35" ht="30" customHeight="1">
      <c r="B6" s="604"/>
      <c r="C6" s="605" t="s">
        <v>0</v>
      </c>
      <c r="D6" s="606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1497">
        <f>ejercicio</f>
        <v>2021</v>
      </c>
      <c r="T6" s="608"/>
      <c r="V6" s="954"/>
      <c r="W6" s="955" t="s">
        <v>628</v>
      </c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7"/>
    </row>
    <row r="7" spans="1:35" ht="30" customHeight="1">
      <c r="B7" s="604"/>
      <c r="C7" s="605" t="s">
        <v>1</v>
      </c>
      <c r="D7" s="606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1497"/>
      <c r="T7" s="608"/>
      <c r="V7" s="954"/>
      <c r="W7" s="956"/>
      <c r="X7" s="956"/>
      <c r="Y7" s="956"/>
      <c r="Z7" s="956"/>
      <c r="AA7" s="956"/>
      <c r="AB7" s="956"/>
      <c r="AC7" s="956"/>
      <c r="AD7" s="956"/>
      <c r="AE7" s="956"/>
      <c r="AF7" s="956"/>
      <c r="AG7" s="956"/>
      <c r="AH7" s="956"/>
      <c r="AI7" s="957"/>
    </row>
    <row r="8" spans="1:35" ht="30" customHeight="1">
      <c r="B8" s="604"/>
      <c r="C8" s="610"/>
      <c r="D8" s="606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8"/>
      <c r="V8" s="954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6"/>
      <c r="AH8" s="956"/>
      <c r="AI8" s="957"/>
    </row>
    <row r="9" spans="1:35" s="613" customFormat="1" ht="30" customHeight="1">
      <c r="B9" s="611"/>
      <c r="C9" s="612" t="s">
        <v>2</v>
      </c>
      <c r="D9" s="1499" t="str">
        <f>Entidad</f>
        <v>Spet, turismo de Tenerife s.a</v>
      </c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609"/>
      <c r="V9" s="954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7"/>
    </row>
    <row r="10" spans="1:35" ht="6.95" customHeight="1">
      <c r="B10" s="604"/>
      <c r="C10" s="606"/>
      <c r="D10" s="606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8"/>
      <c r="V10" s="954"/>
      <c r="W10" s="956"/>
      <c r="X10" s="956"/>
      <c r="Y10" s="956"/>
      <c r="Z10" s="956"/>
      <c r="AA10" s="956"/>
      <c r="AB10" s="956"/>
      <c r="AC10" s="956"/>
      <c r="AD10" s="956"/>
      <c r="AE10" s="956"/>
      <c r="AF10" s="956"/>
      <c r="AG10" s="956"/>
      <c r="AH10" s="956"/>
      <c r="AI10" s="957"/>
    </row>
    <row r="11" spans="1:35" s="617" customFormat="1" ht="30" customHeight="1">
      <c r="B11" s="614"/>
      <c r="C11" s="615" t="s">
        <v>656</v>
      </c>
      <c r="D11" s="615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958"/>
      <c r="V11" s="954"/>
      <c r="W11" s="956"/>
      <c r="X11" s="956"/>
      <c r="Y11" s="956"/>
      <c r="Z11" s="956"/>
      <c r="AA11" s="956"/>
      <c r="AB11" s="956"/>
      <c r="AC11" s="956"/>
      <c r="AD11" s="956"/>
      <c r="AE11" s="956"/>
      <c r="AF11" s="956"/>
      <c r="AG11" s="956"/>
      <c r="AH11" s="956"/>
      <c r="AI11" s="957"/>
    </row>
    <row r="12" spans="1:35" s="617" customFormat="1" ht="30" customHeight="1">
      <c r="B12" s="614"/>
      <c r="C12" s="1512"/>
      <c r="D12" s="1512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958"/>
      <c r="V12" s="954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7"/>
    </row>
    <row r="13" spans="1:35" ht="29.1" customHeight="1">
      <c r="B13" s="620"/>
      <c r="C13" s="959" t="s">
        <v>767</v>
      </c>
      <c r="D13" s="925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08"/>
      <c r="V13" s="954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956"/>
      <c r="AI13" s="957"/>
    </row>
    <row r="14" spans="1:35" ht="9" customHeight="1">
      <c r="B14" s="620"/>
      <c r="C14" s="925"/>
      <c r="D14" s="925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08"/>
      <c r="V14" s="954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6"/>
      <c r="AH14" s="956"/>
      <c r="AI14" s="957"/>
    </row>
    <row r="15" spans="1:35" ht="23.1" customHeight="1">
      <c r="B15" s="620"/>
      <c r="C15" s="925"/>
      <c r="D15" s="925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08"/>
      <c r="V15" s="954"/>
      <c r="W15" s="956"/>
      <c r="X15" s="956"/>
      <c r="Y15" s="956"/>
      <c r="Z15" s="956"/>
      <c r="AA15" s="956"/>
      <c r="AB15" s="956"/>
      <c r="AC15" s="956"/>
      <c r="AD15" s="956"/>
      <c r="AE15" s="956"/>
      <c r="AF15" s="956"/>
      <c r="AG15" s="956"/>
      <c r="AH15" s="956"/>
      <c r="AI15" s="957"/>
    </row>
    <row r="16" spans="1:35" ht="39" customHeight="1">
      <c r="B16" s="620"/>
      <c r="C16" s="960" t="s">
        <v>460</v>
      </c>
      <c r="D16" s="961" t="s">
        <v>462</v>
      </c>
      <c r="E16" s="960" t="s">
        <v>616</v>
      </c>
      <c r="F16" s="960" t="s">
        <v>616</v>
      </c>
      <c r="G16" s="960" t="s">
        <v>464</v>
      </c>
      <c r="H16" s="960" t="s">
        <v>468</v>
      </c>
      <c r="I16" s="960" t="s">
        <v>470</v>
      </c>
      <c r="J16" s="960" t="s">
        <v>669</v>
      </c>
      <c r="K16" s="960" t="s">
        <v>466</v>
      </c>
      <c r="L16" s="960" t="s">
        <v>618</v>
      </c>
      <c r="M16" s="962" t="s">
        <v>629</v>
      </c>
      <c r="N16" s="960" t="s">
        <v>1009</v>
      </c>
      <c r="O16" s="960" t="s">
        <v>938</v>
      </c>
      <c r="P16" s="963" t="s">
        <v>939</v>
      </c>
      <c r="Q16" s="960" t="s">
        <v>618</v>
      </c>
      <c r="R16" s="1613" t="s">
        <v>940</v>
      </c>
      <c r="S16" s="1614"/>
      <c r="T16" s="608"/>
      <c r="V16" s="954"/>
      <c r="W16" s="956"/>
      <c r="X16" s="956"/>
      <c r="Y16" s="956"/>
      <c r="Z16" s="956"/>
      <c r="AA16" s="956"/>
      <c r="AB16" s="956"/>
      <c r="AC16" s="956"/>
      <c r="AD16" s="956"/>
      <c r="AE16" s="956"/>
      <c r="AF16" s="956"/>
      <c r="AG16" s="956"/>
      <c r="AH16" s="956"/>
      <c r="AI16" s="957"/>
    </row>
    <row r="17" spans="2:35" ht="23.1" customHeight="1">
      <c r="B17" s="620"/>
      <c r="C17" s="964" t="s">
        <v>461</v>
      </c>
      <c r="D17" s="965" t="s">
        <v>461</v>
      </c>
      <c r="E17" s="964" t="s">
        <v>463</v>
      </c>
      <c r="F17" s="964" t="s">
        <v>617</v>
      </c>
      <c r="G17" s="964" t="s">
        <v>465</v>
      </c>
      <c r="H17" s="964" t="s">
        <v>469</v>
      </c>
      <c r="I17" s="1307" t="s">
        <v>1008</v>
      </c>
      <c r="J17" s="964" t="s">
        <v>697</v>
      </c>
      <c r="K17" s="964" t="s">
        <v>937</v>
      </c>
      <c r="L17" s="964">
        <f>ejercicio-1</f>
        <v>2020</v>
      </c>
      <c r="M17" s="964">
        <f>ejercicio</f>
        <v>2021</v>
      </c>
      <c r="N17" s="964">
        <f>ejercicio</f>
        <v>2021</v>
      </c>
      <c r="O17" s="964">
        <f>ejercicio</f>
        <v>2021</v>
      </c>
      <c r="P17" s="964">
        <f>ejercicio</f>
        <v>2021</v>
      </c>
      <c r="Q17" s="964">
        <f>ejercicio</f>
        <v>2021</v>
      </c>
      <c r="R17" s="966" t="s">
        <v>619</v>
      </c>
      <c r="S17" s="967" t="s">
        <v>620</v>
      </c>
      <c r="T17" s="608"/>
      <c r="V17" s="954"/>
      <c r="W17" s="956"/>
      <c r="X17" s="956"/>
      <c r="Y17" s="956"/>
      <c r="Z17" s="956"/>
      <c r="AA17" s="956"/>
      <c r="AB17" s="956"/>
      <c r="AC17" s="956"/>
      <c r="AD17" s="956"/>
      <c r="AE17" s="956"/>
      <c r="AF17" s="956"/>
      <c r="AG17" s="956"/>
      <c r="AH17" s="956"/>
      <c r="AI17" s="957"/>
    </row>
    <row r="18" spans="2:35" ht="23.1" customHeight="1">
      <c r="B18" s="620"/>
      <c r="C18" s="507"/>
      <c r="D18" s="922"/>
      <c r="E18" s="921"/>
      <c r="F18" s="921"/>
      <c r="G18" s="1196"/>
      <c r="H18" s="1197"/>
      <c r="I18" s="1197"/>
      <c r="J18" s="771"/>
      <c r="K18" s="569"/>
      <c r="L18" s="569"/>
      <c r="M18" s="772"/>
      <c r="N18" s="772"/>
      <c r="O18" s="772"/>
      <c r="P18" s="701"/>
      <c r="Q18" s="968">
        <f t="shared" ref="Q18:Q42" si="0">L18+M18-N18</f>
        <v>0</v>
      </c>
      <c r="R18" s="831"/>
      <c r="S18" s="832"/>
      <c r="T18" s="608"/>
      <c r="V18" s="954"/>
      <c r="W18" s="956"/>
      <c r="X18" s="956"/>
      <c r="Y18" s="956"/>
      <c r="Z18" s="956"/>
      <c r="AA18" s="956"/>
      <c r="AB18" s="956"/>
      <c r="AC18" s="956"/>
      <c r="AD18" s="956"/>
      <c r="AE18" s="956"/>
      <c r="AF18" s="956"/>
      <c r="AG18" s="956"/>
      <c r="AH18" s="956"/>
      <c r="AI18" s="957"/>
    </row>
    <row r="19" spans="2:35" ht="23.1" customHeight="1">
      <c r="B19" s="620"/>
      <c r="C19" s="507"/>
      <c r="D19" s="922"/>
      <c r="E19" s="1198"/>
      <c r="F19" s="921"/>
      <c r="G19" s="1196"/>
      <c r="H19" s="1197"/>
      <c r="I19" s="1197"/>
      <c r="J19" s="1197"/>
      <c r="K19" s="569"/>
      <c r="L19" s="569"/>
      <c r="M19" s="994"/>
      <c r="N19" s="569"/>
      <c r="O19" s="569"/>
      <c r="P19" s="701"/>
      <c r="Q19" s="968">
        <f t="shared" si="0"/>
        <v>0</v>
      </c>
      <c r="R19" s="833"/>
      <c r="S19" s="834"/>
      <c r="T19" s="608"/>
      <c r="V19" s="954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6"/>
      <c r="AH19" s="956"/>
      <c r="AI19" s="957"/>
    </row>
    <row r="20" spans="2:35" ht="23.1" customHeight="1">
      <c r="B20" s="620"/>
      <c r="C20" s="507"/>
      <c r="D20" s="922"/>
      <c r="E20" s="921"/>
      <c r="F20" s="921"/>
      <c r="G20" s="1196"/>
      <c r="H20" s="1197"/>
      <c r="I20" s="1197"/>
      <c r="J20" s="1197"/>
      <c r="K20" s="569"/>
      <c r="L20" s="569"/>
      <c r="M20" s="569"/>
      <c r="N20" s="569"/>
      <c r="O20" s="569"/>
      <c r="P20" s="701"/>
      <c r="Q20" s="968">
        <f t="shared" si="0"/>
        <v>0</v>
      </c>
      <c r="R20" s="833"/>
      <c r="S20" s="834"/>
      <c r="T20" s="608"/>
      <c r="V20" s="954"/>
      <c r="W20" s="956"/>
      <c r="X20" s="956"/>
      <c r="Y20" s="956"/>
      <c r="Z20" s="956"/>
      <c r="AA20" s="956"/>
      <c r="AB20" s="956"/>
      <c r="AC20" s="956"/>
      <c r="AD20" s="956"/>
      <c r="AE20" s="956"/>
      <c r="AF20" s="956"/>
      <c r="AG20" s="956"/>
      <c r="AH20" s="956"/>
      <c r="AI20" s="957"/>
    </row>
    <row r="21" spans="2:35" ht="23.1" customHeight="1">
      <c r="B21" s="620"/>
      <c r="C21" s="507"/>
      <c r="D21" s="922"/>
      <c r="E21" s="921"/>
      <c r="F21" s="921"/>
      <c r="G21" s="1196"/>
      <c r="H21" s="1197"/>
      <c r="I21" s="1197"/>
      <c r="J21" s="1197"/>
      <c r="K21" s="569"/>
      <c r="L21" s="569"/>
      <c r="M21" s="569"/>
      <c r="N21" s="569"/>
      <c r="O21" s="569"/>
      <c r="P21" s="701"/>
      <c r="Q21" s="968">
        <f t="shared" si="0"/>
        <v>0</v>
      </c>
      <c r="R21" s="833"/>
      <c r="S21" s="834"/>
      <c r="T21" s="608"/>
      <c r="V21" s="954"/>
      <c r="W21" s="956"/>
      <c r="X21" s="956"/>
      <c r="Y21" s="956"/>
      <c r="Z21" s="956"/>
      <c r="AA21" s="956"/>
      <c r="AB21" s="956"/>
      <c r="AC21" s="956"/>
      <c r="AD21" s="956"/>
      <c r="AE21" s="956"/>
      <c r="AF21" s="956"/>
      <c r="AG21" s="956"/>
      <c r="AH21" s="956"/>
      <c r="AI21" s="957"/>
    </row>
    <row r="22" spans="2:35" ht="23.1" customHeight="1">
      <c r="B22" s="620"/>
      <c r="C22" s="507"/>
      <c r="D22" s="504"/>
      <c r="E22" s="921"/>
      <c r="F22" s="921"/>
      <c r="G22" s="507"/>
      <c r="H22" s="561"/>
      <c r="I22" s="561"/>
      <c r="J22" s="561"/>
      <c r="K22" s="569"/>
      <c r="L22" s="569"/>
      <c r="M22" s="569"/>
      <c r="N22" s="569"/>
      <c r="O22" s="569"/>
      <c r="P22" s="701"/>
      <c r="Q22" s="968">
        <f t="shared" si="0"/>
        <v>0</v>
      </c>
      <c r="R22" s="833"/>
      <c r="S22" s="834"/>
      <c r="T22" s="608"/>
      <c r="V22" s="954"/>
      <c r="W22" s="956"/>
      <c r="X22" s="956"/>
      <c r="Y22" s="956"/>
      <c r="Z22" s="956"/>
      <c r="AA22" s="956"/>
      <c r="AB22" s="956"/>
      <c r="AC22" s="956"/>
      <c r="AD22" s="956"/>
      <c r="AE22" s="956"/>
      <c r="AF22" s="956"/>
      <c r="AG22" s="956"/>
      <c r="AH22" s="956"/>
      <c r="AI22" s="957"/>
    </row>
    <row r="23" spans="2:35" ht="23.1" customHeight="1">
      <c r="B23" s="620"/>
      <c r="C23" s="507"/>
      <c r="D23" s="504"/>
      <c r="E23" s="921"/>
      <c r="F23" s="921"/>
      <c r="G23" s="507"/>
      <c r="H23" s="561"/>
      <c r="I23" s="561"/>
      <c r="J23" s="561"/>
      <c r="K23" s="569"/>
      <c r="L23" s="569"/>
      <c r="M23" s="569"/>
      <c r="N23" s="569"/>
      <c r="O23" s="569"/>
      <c r="P23" s="701"/>
      <c r="Q23" s="968">
        <f t="shared" si="0"/>
        <v>0</v>
      </c>
      <c r="R23" s="833"/>
      <c r="S23" s="834"/>
      <c r="T23" s="608"/>
      <c r="V23" s="954"/>
      <c r="W23" s="956"/>
      <c r="X23" s="956"/>
      <c r="Y23" s="956"/>
      <c r="Z23" s="956"/>
      <c r="AA23" s="956"/>
      <c r="AB23" s="956"/>
      <c r="AC23" s="956"/>
      <c r="AD23" s="956"/>
      <c r="AE23" s="956"/>
      <c r="AF23" s="956"/>
      <c r="AG23" s="956"/>
      <c r="AH23" s="956"/>
      <c r="AI23" s="957"/>
    </row>
    <row r="24" spans="2:35" ht="23.1" customHeight="1">
      <c r="B24" s="620"/>
      <c r="C24" s="507"/>
      <c r="D24" s="504"/>
      <c r="E24" s="921"/>
      <c r="F24" s="921"/>
      <c r="G24" s="507"/>
      <c r="H24" s="561"/>
      <c r="I24" s="561"/>
      <c r="J24" s="561"/>
      <c r="K24" s="569"/>
      <c r="L24" s="569"/>
      <c r="M24" s="569"/>
      <c r="N24" s="569"/>
      <c r="O24" s="569"/>
      <c r="P24" s="701"/>
      <c r="Q24" s="968">
        <f t="shared" si="0"/>
        <v>0</v>
      </c>
      <c r="R24" s="833"/>
      <c r="S24" s="834"/>
      <c r="T24" s="608"/>
      <c r="V24" s="954"/>
      <c r="W24" s="956"/>
      <c r="X24" s="956"/>
      <c r="Y24" s="956"/>
      <c r="Z24" s="956"/>
      <c r="AA24" s="956"/>
      <c r="AB24" s="956"/>
      <c r="AC24" s="956"/>
      <c r="AD24" s="956"/>
      <c r="AE24" s="956"/>
      <c r="AF24" s="956"/>
      <c r="AG24" s="956"/>
      <c r="AH24" s="956"/>
      <c r="AI24" s="957"/>
    </row>
    <row r="25" spans="2:35" ht="23.1" customHeight="1">
      <c r="B25" s="620"/>
      <c r="C25" s="507"/>
      <c r="D25" s="504"/>
      <c r="E25" s="921"/>
      <c r="F25" s="921"/>
      <c r="G25" s="507"/>
      <c r="H25" s="561"/>
      <c r="I25" s="561"/>
      <c r="J25" s="561"/>
      <c r="K25" s="569"/>
      <c r="L25" s="569"/>
      <c r="M25" s="569"/>
      <c r="N25" s="569"/>
      <c r="O25" s="569"/>
      <c r="P25" s="701"/>
      <c r="Q25" s="968">
        <f t="shared" si="0"/>
        <v>0</v>
      </c>
      <c r="R25" s="833"/>
      <c r="S25" s="834"/>
      <c r="T25" s="608"/>
      <c r="V25" s="954"/>
      <c r="W25" s="956"/>
      <c r="X25" s="956"/>
      <c r="Y25" s="956"/>
      <c r="Z25" s="956"/>
      <c r="AA25" s="956"/>
      <c r="AB25" s="956"/>
      <c r="AC25" s="956"/>
      <c r="AD25" s="956"/>
      <c r="AE25" s="956"/>
      <c r="AF25" s="956"/>
      <c r="AG25" s="956"/>
      <c r="AH25" s="956"/>
      <c r="AI25" s="957"/>
    </row>
    <row r="26" spans="2:35" ht="23.1" customHeight="1">
      <c r="B26" s="620"/>
      <c r="C26" s="507"/>
      <c r="D26" s="504"/>
      <c r="E26" s="921"/>
      <c r="F26" s="921"/>
      <c r="G26" s="507"/>
      <c r="H26" s="561"/>
      <c r="I26" s="561"/>
      <c r="J26" s="561"/>
      <c r="K26" s="569"/>
      <c r="L26" s="569"/>
      <c r="M26" s="569"/>
      <c r="N26" s="569"/>
      <c r="O26" s="569"/>
      <c r="P26" s="701"/>
      <c r="Q26" s="968">
        <f t="shared" si="0"/>
        <v>0</v>
      </c>
      <c r="R26" s="833"/>
      <c r="S26" s="834"/>
      <c r="T26" s="608"/>
      <c r="V26" s="954"/>
      <c r="W26" s="956"/>
      <c r="X26" s="956"/>
      <c r="Y26" s="956"/>
      <c r="Z26" s="956"/>
      <c r="AA26" s="956"/>
      <c r="AB26" s="956"/>
      <c r="AC26" s="956"/>
      <c r="AD26" s="956"/>
      <c r="AE26" s="956"/>
      <c r="AF26" s="956"/>
      <c r="AG26" s="956"/>
      <c r="AH26" s="956"/>
      <c r="AI26" s="957"/>
    </row>
    <row r="27" spans="2:35" ht="23.1" customHeight="1">
      <c r="B27" s="620"/>
      <c r="C27" s="507"/>
      <c r="D27" s="504"/>
      <c r="E27" s="921"/>
      <c r="F27" s="921"/>
      <c r="G27" s="507"/>
      <c r="H27" s="561"/>
      <c r="I27" s="561"/>
      <c r="J27" s="561"/>
      <c r="K27" s="569"/>
      <c r="L27" s="569"/>
      <c r="M27" s="569"/>
      <c r="N27" s="569"/>
      <c r="O27" s="569"/>
      <c r="P27" s="701"/>
      <c r="Q27" s="968">
        <f t="shared" si="0"/>
        <v>0</v>
      </c>
      <c r="R27" s="833"/>
      <c r="S27" s="834"/>
      <c r="T27" s="608"/>
      <c r="V27" s="954"/>
      <c r="W27" s="956"/>
      <c r="X27" s="956"/>
      <c r="Y27" s="956"/>
      <c r="Z27" s="956"/>
      <c r="AA27" s="956"/>
      <c r="AB27" s="956"/>
      <c r="AC27" s="956"/>
      <c r="AD27" s="956"/>
      <c r="AE27" s="956"/>
      <c r="AF27" s="956"/>
      <c r="AG27" s="956"/>
      <c r="AH27" s="956"/>
      <c r="AI27" s="957"/>
    </row>
    <row r="28" spans="2:35" ht="23.1" customHeight="1">
      <c r="B28" s="620"/>
      <c r="C28" s="507"/>
      <c r="D28" s="504"/>
      <c r="E28" s="561"/>
      <c r="F28" s="561"/>
      <c r="G28" s="507"/>
      <c r="H28" s="561"/>
      <c r="I28" s="561"/>
      <c r="J28" s="561"/>
      <c r="K28" s="569"/>
      <c r="L28" s="569"/>
      <c r="M28" s="569"/>
      <c r="N28" s="569"/>
      <c r="O28" s="569"/>
      <c r="P28" s="701"/>
      <c r="Q28" s="968">
        <f t="shared" si="0"/>
        <v>0</v>
      </c>
      <c r="R28" s="833"/>
      <c r="S28" s="834"/>
      <c r="T28" s="608"/>
      <c r="V28" s="954"/>
      <c r="W28" s="956"/>
      <c r="X28" s="956"/>
      <c r="Y28" s="956"/>
      <c r="Z28" s="956"/>
      <c r="AA28" s="956"/>
      <c r="AB28" s="956"/>
      <c r="AC28" s="956"/>
      <c r="AD28" s="956"/>
      <c r="AE28" s="956"/>
      <c r="AF28" s="956"/>
      <c r="AG28" s="956"/>
      <c r="AH28" s="956"/>
      <c r="AI28" s="957"/>
    </row>
    <row r="29" spans="2:35" ht="23.1" customHeight="1">
      <c r="B29" s="620"/>
      <c r="C29" s="507"/>
      <c r="D29" s="504"/>
      <c r="E29" s="561"/>
      <c r="F29" s="561"/>
      <c r="G29" s="507"/>
      <c r="H29" s="561"/>
      <c r="I29" s="561"/>
      <c r="J29" s="561"/>
      <c r="K29" s="569"/>
      <c r="L29" s="569"/>
      <c r="M29" s="569"/>
      <c r="N29" s="569"/>
      <c r="O29" s="569"/>
      <c r="P29" s="701"/>
      <c r="Q29" s="968">
        <f t="shared" si="0"/>
        <v>0</v>
      </c>
      <c r="R29" s="833"/>
      <c r="S29" s="834"/>
      <c r="T29" s="608"/>
      <c r="V29" s="954"/>
      <c r="W29" s="956"/>
      <c r="X29" s="956"/>
      <c r="Y29" s="956"/>
      <c r="Z29" s="956"/>
      <c r="AA29" s="956"/>
      <c r="AB29" s="956"/>
      <c r="AC29" s="956"/>
      <c r="AD29" s="956"/>
      <c r="AE29" s="956"/>
      <c r="AF29" s="956"/>
      <c r="AG29" s="956"/>
      <c r="AH29" s="956"/>
      <c r="AI29" s="957"/>
    </row>
    <row r="30" spans="2:35" ht="23.1" customHeight="1">
      <c r="B30" s="620"/>
      <c r="C30" s="507"/>
      <c r="D30" s="504"/>
      <c r="E30" s="561"/>
      <c r="F30" s="561"/>
      <c r="G30" s="507"/>
      <c r="H30" s="561"/>
      <c r="I30" s="561"/>
      <c r="J30" s="561"/>
      <c r="K30" s="569"/>
      <c r="L30" s="569"/>
      <c r="M30" s="569"/>
      <c r="N30" s="569"/>
      <c r="O30" s="569"/>
      <c r="P30" s="701"/>
      <c r="Q30" s="968">
        <f t="shared" si="0"/>
        <v>0</v>
      </c>
      <c r="R30" s="833"/>
      <c r="S30" s="834"/>
      <c r="T30" s="608"/>
      <c r="V30" s="954"/>
      <c r="W30" s="956"/>
      <c r="X30" s="956"/>
      <c r="Y30" s="956"/>
      <c r="Z30" s="956"/>
      <c r="AA30" s="956"/>
      <c r="AB30" s="956"/>
      <c r="AC30" s="956"/>
      <c r="AD30" s="956"/>
      <c r="AE30" s="956"/>
      <c r="AF30" s="956"/>
      <c r="AG30" s="956"/>
      <c r="AH30" s="956"/>
      <c r="AI30" s="957"/>
    </row>
    <row r="31" spans="2:35" ht="23.1" customHeight="1">
      <c r="B31" s="620"/>
      <c r="C31" s="507"/>
      <c r="D31" s="504"/>
      <c r="E31" s="561"/>
      <c r="F31" s="561"/>
      <c r="G31" s="507"/>
      <c r="H31" s="561"/>
      <c r="I31" s="561"/>
      <c r="J31" s="561"/>
      <c r="K31" s="569"/>
      <c r="L31" s="569"/>
      <c r="M31" s="569"/>
      <c r="N31" s="569"/>
      <c r="O31" s="569"/>
      <c r="P31" s="701"/>
      <c r="Q31" s="968">
        <f t="shared" si="0"/>
        <v>0</v>
      </c>
      <c r="R31" s="833"/>
      <c r="S31" s="834"/>
      <c r="T31" s="608"/>
      <c r="V31" s="954"/>
      <c r="W31" s="956"/>
      <c r="X31" s="956"/>
      <c r="Y31" s="956"/>
      <c r="Z31" s="956"/>
      <c r="AA31" s="956"/>
      <c r="AB31" s="956"/>
      <c r="AC31" s="956"/>
      <c r="AD31" s="956"/>
      <c r="AE31" s="956"/>
      <c r="AF31" s="956"/>
      <c r="AG31" s="956"/>
      <c r="AH31" s="956"/>
      <c r="AI31" s="957"/>
    </row>
    <row r="32" spans="2:35" ht="23.1" customHeight="1">
      <c r="B32" s="620"/>
      <c r="C32" s="507"/>
      <c r="D32" s="504"/>
      <c r="E32" s="561"/>
      <c r="F32" s="561"/>
      <c r="G32" s="507"/>
      <c r="H32" s="561"/>
      <c r="I32" s="561"/>
      <c r="J32" s="561"/>
      <c r="K32" s="569"/>
      <c r="L32" s="569"/>
      <c r="M32" s="569"/>
      <c r="N32" s="569"/>
      <c r="O32" s="569"/>
      <c r="P32" s="701"/>
      <c r="Q32" s="968">
        <f t="shared" si="0"/>
        <v>0</v>
      </c>
      <c r="R32" s="833"/>
      <c r="S32" s="834"/>
      <c r="T32" s="608"/>
      <c r="V32" s="954"/>
      <c r="W32" s="956"/>
      <c r="X32" s="956"/>
      <c r="Y32" s="956"/>
      <c r="Z32" s="956"/>
      <c r="AA32" s="956"/>
      <c r="AB32" s="956"/>
      <c r="AC32" s="956"/>
      <c r="AD32" s="956"/>
      <c r="AE32" s="956"/>
      <c r="AF32" s="956"/>
      <c r="AG32" s="956"/>
      <c r="AH32" s="956"/>
      <c r="AI32" s="957"/>
    </row>
    <row r="33" spans="2:35" ht="23.1" customHeight="1">
      <c r="B33" s="620"/>
      <c r="C33" s="507"/>
      <c r="D33" s="504"/>
      <c r="E33" s="561"/>
      <c r="F33" s="561"/>
      <c r="G33" s="507"/>
      <c r="H33" s="561"/>
      <c r="I33" s="561"/>
      <c r="J33" s="561"/>
      <c r="K33" s="569"/>
      <c r="L33" s="569"/>
      <c r="M33" s="569"/>
      <c r="N33" s="569"/>
      <c r="O33" s="569"/>
      <c r="P33" s="701"/>
      <c r="Q33" s="968">
        <f t="shared" si="0"/>
        <v>0</v>
      </c>
      <c r="R33" s="833"/>
      <c r="S33" s="834"/>
      <c r="T33" s="608"/>
      <c r="V33" s="954"/>
      <c r="W33" s="956"/>
      <c r="X33" s="956"/>
      <c r="Y33" s="956"/>
      <c r="Z33" s="956"/>
      <c r="AA33" s="956"/>
      <c r="AB33" s="956"/>
      <c r="AC33" s="956"/>
      <c r="AD33" s="956"/>
      <c r="AE33" s="956"/>
      <c r="AF33" s="956"/>
      <c r="AG33" s="956"/>
      <c r="AH33" s="956"/>
      <c r="AI33" s="957"/>
    </row>
    <row r="34" spans="2:35" ht="23.1" customHeight="1">
      <c r="B34" s="620"/>
      <c r="C34" s="507"/>
      <c r="D34" s="504"/>
      <c r="E34" s="561"/>
      <c r="F34" s="561"/>
      <c r="G34" s="507"/>
      <c r="H34" s="561"/>
      <c r="I34" s="561"/>
      <c r="J34" s="561"/>
      <c r="K34" s="569"/>
      <c r="L34" s="569"/>
      <c r="M34" s="569"/>
      <c r="N34" s="569"/>
      <c r="O34" s="569"/>
      <c r="P34" s="701"/>
      <c r="Q34" s="968">
        <f t="shared" si="0"/>
        <v>0</v>
      </c>
      <c r="R34" s="833"/>
      <c r="S34" s="834"/>
      <c r="T34" s="608"/>
      <c r="V34" s="954"/>
      <c r="W34" s="956"/>
      <c r="X34" s="956"/>
      <c r="Y34" s="956"/>
      <c r="Z34" s="956"/>
      <c r="AA34" s="956"/>
      <c r="AB34" s="956"/>
      <c r="AC34" s="956"/>
      <c r="AD34" s="956"/>
      <c r="AE34" s="956"/>
      <c r="AF34" s="956"/>
      <c r="AG34" s="956"/>
      <c r="AH34" s="956"/>
      <c r="AI34" s="957"/>
    </row>
    <row r="35" spans="2:35" ht="23.1" customHeight="1">
      <c r="B35" s="620"/>
      <c r="C35" s="507"/>
      <c r="D35" s="504"/>
      <c r="E35" s="561"/>
      <c r="F35" s="561"/>
      <c r="G35" s="507"/>
      <c r="H35" s="561"/>
      <c r="I35" s="561"/>
      <c r="J35" s="561"/>
      <c r="K35" s="569"/>
      <c r="L35" s="569"/>
      <c r="M35" s="569"/>
      <c r="N35" s="569"/>
      <c r="O35" s="569"/>
      <c r="P35" s="701"/>
      <c r="Q35" s="968">
        <f t="shared" si="0"/>
        <v>0</v>
      </c>
      <c r="R35" s="833"/>
      <c r="S35" s="834"/>
      <c r="T35" s="608"/>
      <c r="V35" s="954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7"/>
    </row>
    <row r="36" spans="2:35" ht="23.1" customHeight="1">
      <c r="B36" s="620"/>
      <c r="C36" s="507"/>
      <c r="D36" s="504"/>
      <c r="E36" s="561"/>
      <c r="F36" s="561"/>
      <c r="G36" s="507"/>
      <c r="H36" s="561"/>
      <c r="I36" s="561"/>
      <c r="J36" s="561"/>
      <c r="K36" s="569"/>
      <c r="L36" s="569"/>
      <c r="M36" s="569"/>
      <c r="N36" s="569"/>
      <c r="O36" s="569"/>
      <c r="P36" s="701"/>
      <c r="Q36" s="968">
        <f t="shared" si="0"/>
        <v>0</v>
      </c>
      <c r="R36" s="833"/>
      <c r="S36" s="834"/>
      <c r="T36" s="608"/>
      <c r="V36" s="954"/>
      <c r="W36" s="956"/>
      <c r="X36" s="956"/>
      <c r="Y36" s="956"/>
      <c r="Z36" s="956"/>
      <c r="AA36" s="956"/>
      <c r="AB36" s="956"/>
      <c r="AC36" s="956"/>
      <c r="AD36" s="956"/>
      <c r="AE36" s="956"/>
      <c r="AF36" s="956"/>
      <c r="AG36" s="956"/>
      <c r="AH36" s="956"/>
      <c r="AI36" s="957"/>
    </row>
    <row r="37" spans="2:35" ht="23.1" customHeight="1">
      <c r="B37" s="620"/>
      <c r="C37" s="507"/>
      <c r="D37" s="504"/>
      <c r="E37" s="561"/>
      <c r="F37" s="561"/>
      <c r="G37" s="507"/>
      <c r="H37" s="561"/>
      <c r="I37" s="561"/>
      <c r="J37" s="561"/>
      <c r="K37" s="569"/>
      <c r="L37" s="569"/>
      <c r="M37" s="569"/>
      <c r="N37" s="569"/>
      <c r="O37" s="569"/>
      <c r="P37" s="701"/>
      <c r="Q37" s="968">
        <f t="shared" si="0"/>
        <v>0</v>
      </c>
      <c r="R37" s="833"/>
      <c r="S37" s="834"/>
      <c r="T37" s="608"/>
      <c r="V37" s="954"/>
      <c r="W37" s="956"/>
      <c r="X37" s="956"/>
      <c r="Y37" s="956"/>
      <c r="Z37" s="956"/>
      <c r="AA37" s="956"/>
      <c r="AB37" s="956"/>
      <c r="AC37" s="956"/>
      <c r="AD37" s="956"/>
      <c r="AE37" s="956"/>
      <c r="AF37" s="956"/>
      <c r="AG37" s="956"/>
      <c r="AH37" s="956"/>
      <c r="AI37" s="957"/>
    </row>
    <row r="38" spans="2:35" ht="23.1" customHeight="1">
      <c r="B38" s="620"/>
      <c r="C38" s="507"/>
      <c r="D38" s="504"/>
      <c r="E38" s="561"/>
      <c r="F38" s="561"/>
      <c r="G38" s="507"/>
      <c r="H38" s="561"/>
      <c r="I38" s="561"/>
      <c r="J38" s="561"/>
      <c r="K38" s="569"/>
      <c r="L38" s="569"/>
      <c r="M38" s="569"/>
      <c r="N38" s="569"/>
      <c r="O38" s="569"/>
      <c r="P38" s="701"/>
      <c r="Q38" s="968">
        <f t="shared" si="0"/>
        <v>0</v>
      </c>
      <c r="R38" s="833"/>
      <c r="S38" s="834"/>
      <c r="T38" s="608"/>
      <c r="V38" s="954"/>
      <c r="W38" s="956"/>
      <c r="X38" s="956"/>
      <c r="Y38" s="956"/>
      <c r="Z38" s="956"/>
      <c r="AA38" s="956"/>
      <c r="AB38" s="956"/>
      <c r="AC38" s="956"/>
      <c r="AD38" s="956"/>
      <c r="AE38" s="956"/>
      <c r="AF38" s="956"/>
      <c r="AG38" s="956"/>
      <c r="AH38" s="956"/>
      <c r="AI38" s="957"/>
    </row>
    <row r="39" spans="2:35" ht="23.1" customHeight="1">
      <c r="B39" s="620"/>
      <c r="C39" s="507"/>
      <c r="D39" s="504"/>
      <c r="E39" s="561"/>
      <c r="F39" s="561"/>
      <c r="G39" s="507"/>
      <c r="H39" s="561"/>
      <c r="I39" s="561"/>
      <c r="J39" s="561"/>
      <c r="K39" s="569"/>
      <c r="L39" s="569"/>
      <c r="M39" s="569"/>
      <c r="N39" s="569"/>
      <c r="O39" s="569"/>
      <c r="P39" s="701"/>
      <c r="Q39" s="968">
        <f t="shared" si="0"/>
        <v>0</v>
      </c>
      <c r="R39" s="833"/>
      <c r="S39" s="834"/>
      <c r="T39" s="608"/>
      <c r="V39" s="954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7"/>
    </row>
    <row r="40" spans="2:35" ht="23.1" customHeight="1">
      <c r="B40" s="620"/>
      <c r="C40" s="507"/>
      <c r="D40" s="504"/>
      <c r="E40" s="561"/>
      <c r="F40" s="561"/>
      <c r="G40" s="507"/>
      <c r="H40" s="561"/>
      <c r="I40" s="561"/>
      <c r="J40" s="561"/>
      <c r="K40" s="569"/>
      <c r="L40" s="569"/>
      <c r="M40" s="569"/>
      <c r="N40" s="569"/>
      <c r="O40" s="569"/>
      <c r="P40" s="701"/>
      <c r="Q40" s="968">
        <f t="shared" si="0"/>
        <v>0</v>
      </c>
      <c r="R40" s="833"/>
      <c r="S40" s="834"/>
      <c r="T40" s="608"/>
      <c r="V40" s="954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7"/>
    </row>
    <row r="41" spans="2:35" ht="23.1" customHeight="1">
      <c r="B41" s="620"/>
      <c r="C41" s="507"/>
      <c r="D41" s="505"/>
      <c r="E41" s="562"/>
      <c r="F41" s="562"/>
      <c r="G41" s="508"/>
      <c r="H41" s="562"/>
      <c r="I41" s="562"/>
      <c r="J41" s="562"/>
      <c r="K41" s="570"/>
      <c r="L41" s="570"/>
      <c r="M41" s="570"/>
      <c r="N41" s="570"/>
      <c r="O41" s="570"/>
      <c r="P41" s="702"/>
      <c r="Q41" s="969">
        <f t="shared" si="0"/>
        <v>0</v>
      </c>
      <c r="R41" s="833"/>
      <c r="S41" s="834"/>
      <c r="T41" s="608"/>
      <c r="V41" s="954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7"/>
    </row>
    <row r="42" spans="2:35" ht="23.1" customHeight="1">
      <c r="B42" s="620"/>
      <c r="C42" s="509"/>
      <c r="D42" s="506"/>
      <c r="E42" s="563"/>
      <c r="F42" s="563"/>
      <c r="G42" s="509"/>
      <c r="H42" s="563"/>
      <c r="I42" s="563"/>
      <c r="J42" s="563"/>
      <c r="K42" s="571"/>
      <c r="L42" s="571"/>
      <c r="M42" s="571"/>
      <c r="N42" s="571"/>
      <c r="O42" s="571"/>
      <c r="P42" s="703"/>
      <c r="Q42" s="970">
        <f t="shared" si="0"/>
        <v>0</v>
      </c>
      <c r="R42" s="835"/>
      <c r="S42" s="836"/>
      <c r="T42" s="608"/>
      <c r="V42" s="954"/>
      <c r="W42" s="956"/>
      <c r="X42" s="956"/>
      <c r="Y42" s="956"/>
      <c r="Z42" s="956"/>
      <c r="AA42" s="956"/>
      <c r="AB42" s="956"/>
      <c r="AC42" s="956"/>
      <c r="AD42" s="956"/>
      <c r="AE42" s="956"/>
      <c r="AF42" s="956"/>
      <c r="AG42" s="956"/>
      <c r="AH42" s="956"/>
      <c r="AI42" s="957"/>
    </row>
    <row r="43" spans="2:35" ht="23.1" customHeight="1" thickBot="1">
      <c r="B43" s="620"/>
      <c r="C43" s="598"/>
      <c r="D43" s="598"/>
      <c r="E43" s="948"/>
      <c r="F43" s="948"/>
      <c r="G43" s="948"/>
      <c r="H43" s="1615" t="s">
        <v>467</v>
      </c>
      <c r="I43" s="1616"/>
      <c r="J43" s="1617"/>
      <c r="K43" s="971">
        <f t="shared" ref="K43:S43" si="1">SUM(K18:K42)</f>
        <v>0</v>
      </c>
      <c r="L43" s="972">
        <f t="shared" si="1"/>
        <v>0</v>
      </c>
      <c r="M43" s="973">
        <f t="shared" si="1"/>
        <v>0</v>
      </c>
      <c r="N43" s="973">
        <f t="shared" si="1"/>
        <v>0</v>
      </c>
      <c r="O43" s="971">
        <f>SUM(O18:O42)</f>
        <v>0</v>
      </c>
      <c r="P43" s="971">
        <f>SUM(P18:P42)</f>
        <v>0</v>
      </c>
      <c r="Q43" s="974">
        <f t="shared" si="1"/>
        <v>0</v>
      </c>
      <c r="R43" s="973">
        <f t="shared" si="1"/>
        <v>0</v>
      </c>
      <c r="S43" s="656">
        <f t="shared" si="1"/>
        <v>0</v>
      </c>
      <c r="T43" s="608"/>
      <c r="V43" s="975"/>
      <c r="W43" s="956"/>
      <c r="X43" s="956"/>
      <c r="Y43" s="956"/>
      <c r="Z43" s="956"/>
      <c r="AA43" s="956"/>
      <c r="AB43" s="956"/>
      <c r="AC43" s="956"/>
      <c r="AD43" s="956"/>
      <c r="AE43" s="956"/>
      <c r="AF43" s="956"/>
      <c r="AG43" s="956"/>
      <c r="AH43" s="956"/>
      <c r="AI43" s="957"/>
    </row>
    <row r="44" spans="2:35" ht="23.1" customHeight="1">
      <c r="B44" s="620"/>
      <c r="C44" s="598"/>
      <c r="D44" s="598"/>
      <c r="E44" s="948"/>
      <c r="F44" s="948"/>
      <c r="G44" s="948"/>
      <c r="H44" s="976"/>
      <c r="I44" s="976"/>
      <c r="J44" s="976"/>
      <c r="K44" s="948"/>
      <c r="L44" s="948"/>
      <c r="M44" s="948"/>
      <c r="N44" s="948"/>
      <c r="O44" s="948"/>
      <c r="P44" s="948"/>
      <c r="Q44" s="948"/>
      <c r="R44" s="948"/>
      <c r="S44" s="948"/>
      <c r="T44" s="608"/>
      <c r="V44" s="975"/>
      <c r="W44" s="956"/>
      <c r="X44" s="956"/>
      <c r="Y44" s="956"/>
      <c r="Z44" s="956"/>
      <c r="AA44" s="956"/>
      <c r="AB44" s="956"/>
      <c r="AC44" s="956"/>
      <c r="AD44" s="956"/>
      <c r="AE44" s="956"/>
      <c r="AF44" s="956"/>
      <c r="AG44" s="956"/>
      <c r="AH44" s="956"/>
      <c r="AI44" s="957"/>
    </row>
    <row r="45" spans="2:35" ht="23.1" customHeight="1">
      <c r="B45" s="620"/>
      <c r="C45" s="959" t="s">
        <v>768</v>
      </c>
      <c r="D45" s="925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08"/>
      <c r="V45" s="954"/>
      <c r="W45" s="956"/>
      <c r="X45" s="956"/>
      <c r="Y45" s="956"/>
      <c r="Z45" s="956"/>
      <c r="AA45" s="956"/>
      <c r="AB45" s="956"/>
      <c r="AC45" s="956"/>
      <c r="AD45" s="956"/>
      <c r="AE45" s="956"/>
      <c r="AF45" s="956"/>
      <c r="AG45" s="956"/>
      <c r="AH45" s="956"/>
      <c r="AI45" s="957"/>
    </row>
    <row r="46" spans="2:35" ht="23.1" customHeight="1">
      <c r="B46" s="620"/>
      <c r="C46" s="925"/>
      <c r="D46" s="925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08"/>
      <c r="V46" s="954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7"/>
    </row>
    <row r="47" spans="2:35" ht="23.1" customHeight="1">
      <c r="B47" s="620"/>
      <c r="C47" s="1306" t="s">
        <v>1003</v>
      </c>
      <c r="D47" s="1303"/>
      <c r="E47" s="1304"/>
      <c r="F47" s="1304"/>
      <c r="G47" s="1304"/>
      <c r="H47" s="1304"/>
      <c r="I47" s="1304"/>
      <c r="J47" s="1304"/>
      <c r="K47" s="1304"/>
      <c r="L47" s="1304"/>
      <c r="M47" s="1304"/>
      <c r="N47" s="1304"/>
      <c r="O47" s="1304"/>
      <c r="P47" s="1304"/>
      <c r="Q47" s="1304"/>
      <c r="R47" s="1304"/>
      <c r="S47" s="1305"/>
      <c r="T47" s="608"/>
      <c r="V47" s="954"/>
      <c r="W47" s="956"/>
      <c r="X47" s="956"/>
      <c r="Y47" s="956"/>
      <c r="Z47" s="956"/>
      <c r="AA47" s="956"/>
      <c r="AB47" s="956"/>
      <c r="AC47" s="956"/>
      <c r="AD47" s="956"/>
      <c r="AE47" s="956"/>
      <c r="AF47" s="956"/>
      <c r="AG47" s="956"/>
      <c r="AH47" s="956"/>
      <c r="AI47" s="957"/>
    </row>
    <row r="48" spans="2:35" ht="42" customHeight="1">
      <c r="B48" s="620"/>
      <c r="C48" s="1299" t="s">
        <v>460</v>
      </c>
      <c r="D48" s="1300" t="s">
        <v>1004</v>
      </c>
      <c r="E48" s="1299" t="s">
        <v>616</v>
      </c>
      <c r="F48" s="1299" t="s">
        <v>1006</v>
      </c>
      <c r="G48" s="1299" t="s">
        <v>464</v>
      </c>
      <c r="H48" s="1299" t="s">
        <v>468</v>
      </c>
      <c r="I48" s="960" t="s">
        <v>470</v>
      </c>
      <c r="J48" s="960" t="s">
        <v>669</v>
      </c>
      <c r="K48" s="1299" t="s">
        <v>466</v>
      </c>
      <c r="L48" s="1299" t="s">
        <v>618</v>
      </c>
      <c r="M48" s="1301" t="s">
        <v>1018</v>
      </c>
      <c r="N48" s="962" t="s">
        <v>1010</v>
      </c>
      <c r="O48" s="1314" t="s">
        <v>1015</v>
      </c>
      <c r="P48" s="1302" t="s">
        <v>1014</v>
      </c>
      <c r="Q48" s="1299" t="s">
        <v>618</v>
      </c>
      <c r="R48" s="1618" t="s">
        <v>940</v>
      </c>
      <c r="S48" s="1619"/>
      <c r="T48" s="608"/>
      <c r="V48" s="954"/>
      <c r="W48" s="956"/>
      <c r="X48" s="956"/>
      <c r="Y48" s="956"/>
      <c r="Z48" s="956"/>
      <c r="AA48" s="956"/>
      <c r="AB48" s="956"/>
      <c r="AC48" s="956"/>
      <c r="AD48" s="956"/>
      <c r="AE48" s="956"/>
      <c r="AF48" s="956"/>
      <c r="AG48" s="956"/>
      <c r="AH48" s="956"/>
      <c r="AI48" s="957"/>
    </row>
    <row r="49" spans="2:35" ht="23.1" customHeight="1">
      <c r="B49" s="620"/>
      <c r="C49" s="964" t="s">
        <v>461</v>
      </c>
      <c r="D49" s="965" t="s">
        <v>1005</v>
      </c>
      <c r="E49" s="964" t="s">
        <v>463</v>
      </c>
      <c r="F49" s="964" t="s">
        <v>1007</v>
      </c>
      <c r="G49" s="964" t="s">
        <v>769</v>
      </c>
      <c r="H49" s="964" t="s">
        <v>469</v>
      </c>
      <c r="I49" s="1307" t="s">
        <v>1008</v>
      </c>
      <c r="J49" s="964" t="s">
        <v>697</v>
      </c>
      <c r="K49" s="964" t="s">
        <v>937</v>
      </c>
      <c r="L49" s="964">
        <f>ejercicio-1</f>
        <v>2020</v>
      </c>
      <c r="M49" s="964">
        <f>ejercicio</f>
        <v>2021</v>
      </c>
      <c r="N49" s="964">
        <f>ejercicio</f>
        <v>2021</v>
      </c>
      <c r="O49" s="964">
        <f>ejercicio</f>
        <v>2021</v>
      </c>
      <c r="P49" s="964">
        <f>ejercicio</f>
        <v>2021</v>
      </c>
      <c r="Q49" s="964">
        <f>ejercicio</f>
        <v>2021</v>
      </c>
      <c r="R49" s="966" t="s">
        <v>619</v>
      </c>
      <c r="S49" s="967" t="s">
        <v>620</v>
      </c>
      <c r="T49" s="608"/>
      <c r="V49" s="954"/>
      <c r="W49" s="956"/>
      <c r="X49" s="956"/>
      <c r="Y49" s="956"/>
      <c r="Z49" s="956"/>
      <c r="AA49" s="956"/>
      <c r="AB49" s="956"/>
      <c r="AC49" s="956"/>
      <c r="AD49" s="956"/>
      <c r="AE49" s="956"/>
      <c r="AF49" s="956"/>
      <c r="AG49" s="956"/>
      <c r="AH49" s="956"/>
      <c r="AI49" s="957"/>
    </row>
    <row r="50" spans="2:35" ht="23.1" customHeight="1">
      <c r="B50" s="620"/>
      <c r="C50" s="1196"/>
      <c r="D50" s="1215" t="s">
        <v>1222</v>
      </c>
      <c r="E50" s="921"/>
      <c r="F50" s="921"/>
      <c r="G50" s="1196" t="s">
        <v>1221</v>
      </c>
      <c r="H50" s="561">
        <v>1720001</v>
      </c>
      <c r="I50" s="1309"/>
      <c r="J50" s="1310"/>
      <c r="K50" s="569">
        <v>14060000</v>
      </c>
      <c r="L50" s="569">
        <v>3516582.05</v>
      </c>
      <c r="M50" s="772"/>
      <c r="N50" s="772">
        <v>3515000</v>
      </c>
      <c r="O50" s="772"/>
      <c r="P50" s="701"/>
      <c r="Q50" s="968">
        <f>L50+M50-N50-O50</f>
        <v>1582.0499999998137</v>
      </c>
      <c r="R50" s="831"/>
      <c r="S50" s="832">
        <v>1582.05</v>
      </c>
      <c r="T50" s="608"/>
      <c r="V50" s="954"/>
      <c r="W50" s="956"/>
      <c r="X50" s="956"/>
      <c r="Y50" s="956"/>
      <c r="Z50" s="956"/>
      <c r="AA50" s="956"/>
      <c r="AB50" s="956"/>
      <c r="AC50" s="956"/>
      <c r="AD50" s="956"/>
      <c r="AE50" s="956"/>
      <c r="AF50" s="956"/>
      <c r="AG50" s="956"/>
      <c r="AH50" s="956"/>
      <c r="AI50" s="957"/>
    </row>
    <row r="51" spans="2:35" ht="23.1" customHeight="1">
      <c r="B51" s="620"/>
      <c r="C51" s="507"/>
      <c r="D51" s="922"/>
      <c r="E51" s="561"/>
      <c r="F51" s="561"/>
      <c r="G51" s="1196"/>
      <c r="H51" s="1197"/>
      <c r="I51" s="1309"/>
      <c r="J51" s="1309"/>
      <c r="K51" s="569"/>
      <c r="L51" s="569"/>
      <c r="M51" s="569"/>
      <c r="N51" s="569"/>
      <c r="O51" s="569"/>
      <c r="P51" s="701"/>
      <c r="Q51" s="968">
        <f t="shared" ref="Q51:Q74" si="2">L51+M51-N51-O51</f>
        <v>0</v>
      </c>
      <c r="R51" s="833"/>
      <c r="S51" s="834"/>
      <c r="T51" s="608"/>
      <c r="V51" s="954"/>
      <c r="W51" s="956"/>
      <c r="X51" s="956"/>
      <c r="Y51" s="956"/>
      <c r="Z51" s="956"/>
      <c r="AA51" s="956"/>
      <c r="AB51" s="956"/>
      <c r="AC51" s="956"/>
      <c r="AD51" s="956"/>
      <c r="AE51" s="956"/>
      <c r="AF51" s="956"/>
      <c r="AG51" s="956"/>
      <c r="AH51" s="956"/>
      <c r="AI51" s="957"/>
    </row>
    <row r="52" spans="2:35" ht="23.1" customHeight="1">
      <c r="B52" s="620"/>
      <c r="C52" s="507"/>
      <c r="D52" s="504"/>
      <c r="E52" s="561" t="s">
        <v>605</v>
      </c>
      <c r="F52" s="561"/>
      <c r="G52" s="507"/>
      <c r="H52" s="561"/>
      <c r="I52" s="1311"/>
      <c r="J52" s="1311"/>
      <c r="K52" s="569"/>
      <c r="L52" s="569"/>
      <c r="M52" s="569"/>
      <c r="N52" s="569"/>
      <c r="O52" s="569"/>
      <c r="P52" s="701"/>
      <c r="Q52" s="968">
        <f t="shared" si="2"/>
        <v>0</v>
      </c>
      <c r="R52" s="833"/>
      <c r="S52" s="834"/>
      <c r="T52" s="608"/>
      <c r="V52" s="954"/>
      <c r="W52" s="956"/>
      <c r="X52" s="956"/>
      <c r="Y52" s="956"/>
      <c r="Z52" s="956"/>
      <c r="AA52" s="956"/>
      <c r="AB52" s="956"/>
      <c r="AC52" s="956"/>
      <c r="AD52" s="956"/>
      <c r="AE52" s="956"/>
      <c r="AF52" s="956"/>
      <c r="AG52" s="956"/>
      <c r="AH52" s="956"/>
      <c r="AI52" s="957"/>
    </row>
    <row r="53" spans="2:35" ht="23.1" customHeight="1">
      <c r="B53" s="620"/>
      <c r="C53" s="507"/>
      <c r="D53" s="504"/>
      <c r="E53" s="561"/>
      <c r="F53" s="561"/>
      <c r="G53" s="507"/>
      <c r="H53" s="561"/>
      <c r="I53" s="1311"/>
      <c r="J53" s="1311"/>
      <c r="K53" s="569"/>
      <c r="L53" s="569"/>
      <c r="M53" s="569"/>
      <c r="N53" s="569"/>
      <c r="O53" s="569"/>
      <c r="P53" s="701"/>
      <c r="Q53" s="968">
        <f t="shared" si="2"/>
        <v>0</v>
      </c>
      <c r="R53" s="833"/>
      <c r="S53" s="834"/>
      <c r="T53" s="608"/>
      <c r="V53" s="954"/>
      <c r="W53" s="956"/>
      <c r="X53" s="956"/>
      <c r="Y53" s="956"/>
      <c r="Z53" s="956"/>
      <c r="AA53" s="956"/>
      <c r="AB53" s="956"/>
      <c r="AC53" s="956"/>
      <c r="AD53" s="956"/>
      <c r="AE53" s="956"/>
      <c r="AF53" s="956"/>
      <c r="AG53" s="956"/>
      <c r="AH53" s="956"/>
      <c r="AI53" s="957"/>
    </row>
    <row r="54" spans="2:35" ht="23.1" customHeight="1">
      <c r="B54" s="620"/>
      <c r="C54" s="507"/>
      <c r="D54" s="504"/>
      <c r="E54" s="561"/>
      <c r="F54" s="561"/>
      <c r="G54" s="507"/>
      <c r="H54" s="561"/>
      <c r="I54" s="1311"/>
      <c r="J54" s="1311"/>
      <c r="K54" s="569"/>
      <c r="L54" s="569"/>
      <c r="M54" s="569"/>
      <c r="N54" s="569"/>
      <c r="O54" s="569"/>
      <c r="P54" s="701"/>
      <c r="Q54" s="968">
        <f t="shared" si="2"/>
        <v>0</v>
      </c>
      <c r="R54" s="833"/>
      <c r="S54" s="834"/>
      <c r="T54" s="608"/>
      <c r="V54" s="954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7"/>
    </row>
    <row r="55" spans="2:35" ht="23.1" customHeight="1">
      <c r="B55" s="620"/>
      <c r="C55" s="507"/>
      <c r="D55" s="504"/>
      <c r="E55" s="561"/>
      <c r="F55" s="561"/>
      <c r="G55" s="507"/>
      <c r="H55" s="561"/>
      <c r="I55" s="1311"/>
      <c r="J55" s="1311"/>
      <c r="K55" s="569"/>
      <c r="L55" s="569"/>
      <c r="M55" s="569"/>
      <c r="N55" s="569"/>
      <c r="O55" s="569"/>
      <c r="P55" s="701"/>
      <c r="Q55" s="968">
        <f t="shared" si="2"/>
        <v>0</v>
      </c>
      <c r="R55" s="833"/>
      <c r="S55" s="834"/>
      <c r="T55" s="608"/>
      <c r="V55" s="954"/>
      <c r="W55" s="956"/>
      <c r="X55" s="956"/>
      <c r="Y55" s="956"/>
      <c r="Z55" s="956"/>
      <c r="AA55" s="956"/>
      <c r="AB55" s="956"/>
      <c r="AC55" s="956"/>
      <c r="AD55" s="956"/>
      <c r="AE55" s="956"/>
      <c r="AF55" s="956"/>
      <c r="AG55" s="956"/>
      <c r="AH55" s="956"/>
      <c r="AI55" s="957"/>
    </row>
    <row r="56" spans="2:35" ht="23.1" customHeight="1">
      <c r="B56" s="620"/>
      <c r="C56" s="507"/>
      <c r="D56" s="504"/>
      <c r="E56" s="561"/>
      <c r="F56" s="561"/>
      <c r="G56" s="507"/>
      <c r="H56" s="561"/>
      <c r="I56" s="1311"/>
      <c r="J56" s="1311"/>
      <c r="K56" s="569"/>
      <c r="L56" s="569"/>
      <c r="M56" s="569"/>
      <c r="N56" s="569"/>
      <c r="O56" s="569"/>
      <c r="P56" s="701"/>
      <c r="Q56" s="968">
        <f t="shared" si="2"/>
        <v>0</v>
      </c>
      <c r="R56" s="833"/>
      <c r="S56" s="834"/>
      <c r="T56" s="608"/>
      <c r="V56" s="954"/>
      <c r="W56" s="956"/>
      <c r="X56" s="956"/>
      <c r="Y56" s="956"/>
      <c r="Z56" s="956"/>
      <c r="AA56" s="956"/>
      <c r="AB56" s="956"/>
      <c r="AC56" s="956"/>
      <c r="AD56" s="956"/>
      <c r="AE56" s="956"/>
      <c r="AF56" s="956"/>
      <c r="AG56" s="956"/>
      <c r="AH56" s="956"/>
      <c r="AI56" s="957"/>
    </row>
    <row r="57" spans="2:35" ht="23.1" customHeight="1">
      <c r="B57" s="620"/>
      <c r="C57" s="507"/>
      <c r="D57" s="504"/>
      <c r="E57" s="561"/>
      <c r="F57" s="561"/>
      <c r="G57" s="507"/>
      <c r="H57" s="561"/>
      <c r="I57" s="1311"/>
      <c r="J57" s="1311"/>
      <c r="K57" s="569"/>
      <c r="L57" s="569"/>
      <c r="M57" s="569"/>
      <c r="N57" s="569"/>
      <c r="O57" s="569"/>
      <c r="P57" s="701"/>
      <c r="Q57" s="968">
        <f t="shared" si="2"/>
        <v>0</v>
      </c>
      <c r="R57" s="833"/>
      <c r="S57" s="834"/>
      <c r="T57" s="608"/>
      <c r="V57" s="954"/>
      <c r="W57" s="956"/>
      <c r="X57" s="956"/>
      <c r="Y57" s="956"/>
      <c r="Z57" s="956"/>
      <c r="AA57" s="956"/>
      <c r="AB57" s="956"/>
      <c r="AC57" s="956"/>
      <c r="AD57" s="956"/>
      <c r="AE57" s="956"/>
      <c r="AF57" s="956"/>
      <c r="AG57" s="956"/>
      <c r="AH57" s="956"/>
      <c r="AI57" s="957"/>
    </row>
    <row r="58" spans="2:35" ht="23.1" customHeight="1">
      <c r="B58" s="620"/>
      <c r="C58" s="507"/>
      <c r="D58" s="504"/>
      <c r="E58" s="561"/>
      <c r="F58" s="561"/>
      <c r="G58" s="507"/>
      <c r="H58" s="561"/>
      <c r="I58" s="1311"/>
      <c r="J58" s="1311"/>
      <c r="K58" s="569"/>
      <c r="L58" s="569"/>
      <c r="M58" s="569"/>
      <c r="N58" s="569"/>
      <c r="O58" s="569"/>
      <c r="P58" s="701"/>
      <c r="Q58" s="968">
        <f t="shared" si="2"/>
        <v>0</v>
      </c>
      <c r="R58" s="833"/>
      <c r="S58" s="834"/>
      <c r="T58" s="608"/>
      <c r="V58" s="954"/>
      <c r="W58" s="956"/>
      <c r="X58" s="956"/>
      <c r="Y58" s="956"/>
      <c r="Z58" s="956"/>
      <c r="AA58" s="956"/>
      <c r="AB58" s="956"/>
      <c r="AC58" s="956"/>
      <c r="AD58" s="956"/>
      <c r="AE58" s="956"/>
      <c r="AF58" s="956"/>
      <c r="AG58" s="956"/>
      <c r="AH58" s="956"/>
      <c r="AI58" s="957"/>
    </row>
    <row r="59" spans="2:35" ht="23.1" customHeight="1">
      <c r="B59" s="620"/>
      <c r="C59" s="507"/>
      <c r="D59" s="504"/>
      <c r="E59" s="561"/>
      <c r="F59" s="561"/>
      <c r="G59" s="507"/>
      <c r="H59" s="561"/>
      <c r="I59" s="1311"/>
      <c r="J59" s="1311"/>
      <c r="K59" s="569"/>
      <c r="L59" s="569"/>
      <c r="M59" s="569"/>
      <c r="N59" s="569"/>
      <c r="O59" s="569"/>
      <c r="P59" s="701"/>
      <c r="Q59" s="968">
        <f t="shared" si="2"/>
        <v>0</v>
      </c>
      <c r="R59" s="833"/>
      <c r="S59" s="834"/>
      <c r="T59" s="608"/>
      <c r="V59" s="954"/>
      <c r="W59" s="956"/>
      <c r="X59" s="956"/>
      <c r="Y59" s="956"/>
      <c r="Z59" s="956"/>
      <c r="AA59" s="956"/>
      <c r="AB59" s="956"/>
      <c r="AC59" s="956"/>
      <c r="AD59" s="956"/>
      <c r="AE59" s="956"/>
      <c r="AF59" s="956"/>
      <c r="AG59" s="956"/>
      <c r="AH59" s="956"/>
      <c r="AI59" s="957"/>
    </row>
    <row r="60" spans="2:35" ht="23.1" customHeight="1">
      <c r="B60" s="620"/>
      <c r="C60" s="507"/>
      <c r="D60" s="504"/>
      <c r="E60" s="561"/>
      <c r="F60" s="561"/>
      <c r="G60" s="507"/>
      <c r="H60" s="561"/>
      <c r="I60" s="1311"/>
      <c r="J60" s="1311"/>
      <c r="K60" s="569"/>
      <c r="L60" s="569"/>
      <c r="M60" s="569"/>
      <c r="N60" s="569"/>
      <c r="O60" s="569"/>
      <c r="P60" s="701"/>
      <c r="Q60" s="968">
        <f t="shared" si="2"/>
        <v>0</v>
      </c>
      <c r="R60" s="833"/>
      <c r="S60" s="834"/>
      <c r="T60" s="608"/>
      <c r="V60" s="954"/>
      <c r="W60" s="956"/>
      <c r="X60" s="956"/>
      <c r="Y60" s="956"/>
      <c r="Z60" s="956"/>
      <c r="AA60" s="956"/>
      <c r="AB60" s="956"/>
      <c r="AC60" s="956"/>
      <c r="AD60" s="956"/>
      <c r="AE60" s="956"/>
      <c r="AF60" s="956"/>
      <c r="AG60" s="956"/>
      <c r="AH60" s="956"/>
      <c r="AI60" s="957"/>
    </row>
    <row r="61" spans="2:35" ht="23.1" customHeight="1">
      <c r="B61" s="620"/>
      <c r="C61" s="507"/>
      <c r="D61" s="504"/>
      <c r="E61" s="561"/>
      <c r="F61" s="561"/>
      <c r="G61" s="507"/>
      <c r="H61" s="561"/>
      <c r="I61" s="1311"/>
      <c r="J61" s="1311"/>
      <c r="K61" s="569"/>
      <c r="L61" s="569"/>
      <c r="M61" s="569"/>
      <c r="N61" s="569"/>
      <c r="O61" s="569"/>
      <c r="P61" s="701"/>
      <c r="Q61" s="968">
        <f t="shared" si="2"/>
        <v>0</v>
      </c>
      <c r="R61" s="833"/>
      <c r="S61" s="834"/>
      <c r="T61" s="608"/>
      <c r="V61" s="954"/>
      <c r="W61" s="956"/>
      <c r="X61" s="956"/>
      <c r="Y61" s="956"/>
      <c r="Z61" s="956"/>
      <c r="AA61" s="956"/>
      <c r="AB61" s="956"/>
      <c r="AC61" s="956"/>
      <c r="AD61" s="956"/>
      <c r="AE61" s="956"/>
      <c r="AF61" s="956"/>
      <c r="AG61" s="956"/>
      <c r="AH61" s="956"/>
      <c r="AI61" s="957"/>
    </row>
    <row r="62" spans="2:35" ht="23.1" customHeight="1">
      <c r="B62" s="620"/>
      <c r="C62" s="507"/>
      <c r="D62" s="504"/>
      <c r="E62" s="561"/>
      <c r="F62" s="561"/>
      <c r="G62" s="507"/>
      <c r="H62" s="561"/>
      <c r="I62" s="1311"/>
      <c r="J62" s="1311"/>
      <c r="K62" s="569"/>
      <c r="L62" s="569"/>
      <c r="M62" s="569"/>
      <c r="N62" s="569"/>
      <c r="O62" s="569"/>
      <c r="P62" s="701"/>
      <c r="Q62" s="968">
        <f t="shared" si="2"/>
        <v>0</v>
      </c>
      <c r="R62" s="833"/>
      <c r="S62" s="834"/>
      <c r="T62" s="608"/>
      <c r="V62" s="954"/>
      <c r="W62" s="956"/>
      <c r="X62" s="956"/>
      <c r="Y62" s="956"/>
      <c r="Z62" s="956"/>
      <c r="AA62" s="956"/>
      <c r="AB62" s="956"/>
      <c r="AC62" s="956"/>
      <c r="AD62" s="956"/>
      <c r="AE62" s="956"/>
      <c r="AF62" s="956"/>
      <c r="AG62" s="956"/>
      <c r="AH62" s="956"/>
      <c r="AI62" s="957"/>
    </row>
    <row r="63" spans="2:35" ht="23.1" customHeight="1">
      <c r="B63" s="620"/>
      <c r="C63" s="507"/>
      <c r="D63" s="504"/>
      <c r="E63" s="561"/>
      <c r="F63" s="561"/>
      <c r="G63" s="507"/>
      <c r="H63" s="561"/>
      <c r="I63" s="1311"/>
      <c r="J63" s="1311"/>
      <c r="K63" s="569"/>
      <c r="L63" s="569"/>
      <c r="M63" s="569"/>
      <c r="N63" s="569"/>
      <c r="O63" s="569"/>
      <c r="P63" s="701"/>
      <c r="Q63" s="968">
        <f t="shared" si="2"/>
        <v>0</v>
      </c>
      <c r="R63" s="833"/>
      <c r="S63" s="834"/>
      <c r="T63" s="608"/>
      <c r="V63" s="954"/>
      <c r="W63" s="956"/>
      <c r="X63" s="956"/>
      <c r="Y63" s="956"/>
      <c r="Z63" s="956"/>
      <c r="AA63" s="956"/>
      <c r="AB63" s="956"/>
      <c r="AC63" s="956"/>
      <c r="AD63" s="956"/>
      <c r="AE63" s="956"/>
      <c r="AF63" s="956"/>
      <c r="AG63" s="956"/>
      <c r="AH63" s="956"/>
      <c r="AI63" s="957"/>
    </row>
    <row r="64" spans="2:35" ht="23.1" customHeight="1">
      <c r="B64" s="620"/>
      <c r="C64" s="507"/>
      <c r="D64" s="504"/>
      <c r="E64" s="561"/>
      <c r="F64" s="561"/>
      <c r="G64" s="507"/>
      <c r="H64" s="561"/>
      <c r="I64" s="1311"/>
      <c r="J64" s="1311"/>
      <c r="K64" s="569"/>
      <c r="L64" s="569"/>
      <c r="M64" s="569"/>
      <c r="N64" s="569"/>
      <c r="O64" s="569"/>
      <c r="P64" s="701"/>
      <c r="Q64" s="968">
        <f t="shared" si="2"/>
        <v>0</v>
      </c>
      <c r="R64" s="833"/>
      <c r="S64" s="834"/>
      <c r="T64" s="608"/>
      <c r="V64" s="954"/>
      <c r="W64" s="956"/>
      <c r="X64" s="956"/>
      <c r="Y64" s="956"/>
      <c r="Z64" s="956"/>
      <c r="AA64" s="956"/>
      <c r="AB64" s="956"/>
      <c r="AC64" s="956"/>
      <c r="AD64" s="956"/>
      <c r="AE64" s="956"/>
      <c r="AF64" s="956"/>
      <c r="AG64" s="956"/>
      <c r="AH64" s="956"/>
      <c r="AI64" s="957"/>
    </row>
    <row r="65" spans="2:35" ht="23.1" customHeight="1">
      <c r="B65" s="620"/>
      <c r="C65" s="507"/>
      <c r="D65" s="504"/>
      <c r="E65" s="561"/>
      <c r="F65" s="561"/>
      <c r="G65" s="507"/>
      <c r="H65" s="561"/>
      <c r="I65" s="1311"/>
      <c r="J65" s="1311"/>
      <c r="K65" s="569"/>
      <c r="L65" s="569"/>
      <c r="M65" s="569"/>
      <c r="N65" s="569"/>
      <c r="O65" s="569"/>
      <c r="P65" s="701"/>
      <c r="Q65" s="968">
        <f t="shared" si="2"/>
        <v>0</v>
      </c>
      <c r="R65" s="833"/>
      <c r="S65" s="834"/>
      <c r="T65" s="608"/>
      <c r="V65" s="954"/>
      <c r="W65" s="956"/>
      <c r="X65" s="956"/>
      <c r="Y65" s="956"/>
      <c r="Z65" s="956"/>
      <c r="AA65" s="956"/>
      <c r="AB65" s="956"/>
      <c r="AC65" s="956"/>
      <c r="AD65" s="956"/>
      <c r="AE65" s="956"/>
      <c r="AF65" s="956"/>
      <c r="AG65" s="956"/>
      <c r="AH65" s="956"/>
      <c r="AI65" s="957"/>
    </row>
    <row r="66" spans="2:35" ht="23.1" customHeight="1">
      <c r="B66" s="620"/>
      <c r="C66" s="507"/>
      <c r="D66" s="504"/>
      <c r="E66" s="561"/>
      <c r="F66" s="561"/>
      <c r="G66" s="507"/>
      <c r="H66" s="561"/>
      <c r="I66" s="1311"/>
      <c r="J66" s="1311"/>
      <c r="K66" s="569"/>
      <c r="L66" s="569"/>
      <c r="M66" s="569"/>
      <c r="N66" s="569"/>
      <c r="O66" s="569"/>
      <c r="P66" s="701"/>
      <c r="Q66" s="968">
        <f t="shared" si="2"/>
        <v>0</v>
      </c>
      <c r="R66" s="833"/>
      <c r="S66" s="834"/>
      <c r="T66" s="608"/>
      <c r="V66" s="954"/>
      <c r="W66" s="956"/>
      <c r="X66" s="956"/>
      <c r="Y66" s="956"/>
      <c r="Z66" s="956"/>
      <c r="AA66" s="956"/>
      <c r="AB66" s="956"/>
      <c r="AC66" s="956"/>
      <c r="AD66" s="956"/>
      <c r="AE66" s="956"/>
      <c r="AF66" s="956"/>
      <c r="AG66" s="956"/>
      <c r="AH66" s="956"/>
      <c r="AI66" s="957"/>
    </row>
    <row r="67" spans="2:35" ht="23.1" customHeight="1">
      <c r="B67" s="620"/>
      <c r="C67" s="507"/>
      <c r="D67" s="504"/>
      <c r="E67" s="561"/>
      <c r="F67" s="561"/>
      <c r="G67" s="507"/>
      <c r="H67" s="561"/>
      <c r="I67" s="1311"/>
      <c r="J67" s="1311"/>
      <c r="K67" s="569"/>
      <c r="L67" s="569"/>
      <c r="M67" s="569"/>
      <c r="N67" s="569"/>
      <c r="O67" s="569"/>
      <c r="P67" s="701"/>
      <c r="Q67" s="968">
        <f t="shared" si="2"/>
        <v>0</v>
      </c>
      <c r="R67" s="833"/>
      <c r="S67" s="834"/>
      <c r="T67" s="608"/>
      <c r="V67" s="954"/>
      <c r="W67" s="956"/>
      <c r="X67" s="956"/>
      <c r="Y67" s="956"/>
      <c r="Z67" s="956"/>
      <c r="AA67" s="956"/>
      <c r="AB67" s="956"/>
      <c r="AC67" s="956"/>
      <c r="AD67" s="956"/>
      <c r="AE67" s="956"/>
      <c r="AF67" s="956"/>
      <c r="AG67" s="956"/>
      <c r="AH67" s="956"/>
      <c r="AI67" s="957"/>
    </row>
    <row r="68" spans="2:35" ht="23.1" customHeight="1">
      <c r="B68" s="620"/>
      <c r="C68" s="507"/>
      <c r="D68" s="504"/>
      <c r="E68" s="561"/>
      <c r="F68" s="561"/>
      <c r="G68" s="507"/>
      <c r="H68" s="561"/>
      <c r="I68" s="1311"/>
      <c r="J68" s="1311"/>
      <c r="K68" s="569"/>
      <c r="L68" s="569"/>
      <c r="M68" s="569"/>
      <c r="N68" s="569"/>
      <c r="O68" s="569"/>
      <c r="P68" s="701"/>
      <c r="Q68" s="968">
        <f t="shared" si="2"/>
        <v>0</v>
      </c>
      <c r="R68" s="833"/>
      <c r="S68" s="834"/>
      <c r="T68" s="608"/>
      <c r="V68" s="954"/>
      <c r="W68" s="956"/>
      <c r="X68" s="956"/>
      <c r="Y68" s="956"/>
      <c r="Z68" s="956"/>
      <c r="AA68" s="956"/>
      <c r="AB68" s="956"/>
      <c r="AC68" s="956"/>
      <c r="AD68" s="956"/>
      <c r="AE68" s="956"/>
      <c r="AF68" s="956"/>
      <c r="AG68" s="956"/>
      <c r="AH68" s="956"/>
      <c r="AI68" s="957"/>
    </row>
    <row r="69" spans="2:35" ht="23.1" customHeight="1">
      <c r="B69" s="620"/>
      <c r="C69" s="507"/>
      <c r="D69" s="504"/>
      <c r="E69" s="561"/>
      <c r="F69" s="561"/>
      <c r="G69" s="507"/>
      <c r="H69" s="561"/>
      <c r="I69" s="1311"/>
      <c r="J69" s="1311"/>
      <c r="K69" s="569"/>
      <c r="L69" s="569"/>
      <c r="M69" s="569"/>
      <c r="N69" s="569"/>
      <c r="O69" s="569"/>
      <c r="P69" s="701"/>
      <c r="Q69" s="968">
        <f t="shared" si="2"/>
        <v>0</v>
      </c>
      <c r="R69" s="833"/>
      <c r="S69" s="834"/>
      <c r="T69" s="608"/>
      <c r="V69" s="954"/>
      <c r="W69" s="956"/>
      <c r="X69" s="956"/>
      <c r="Y69" s="956"/>
      <c r="Z69" s="956"/>
      <c r="AA69" s="956"/>
      <c r="AB69" s="956"/>
      <c r="AC69" s="956"/>
      <c r="AD69" s="956"/>
      <c r="AE69" s="956"/>
      <c r="AF69" s="956"/>
      <c r="AG69" s="956"/>
      <c r="AH69" s="956"/>
      <c r="AI69" s="957"/>
    </row>
    <row r="70" spans="2:35" ht="23.1" customHeight="1">
      <c r="B70" s="620"/>
      <c r="C70" s="507"/>
      <c r="D70" s="504"/>
      <c r="E70" s="561"/>
      <c r="F70" s="561"/>
      <c r="G70" s="507"/>
      <c r="H70" s="561"/>
      <c r="I70" s="1311"/>
      <c r="J70" s="1311"/>
      <c r="K70" s="569"/>
      <c r="L70" s="569"/>
      <c r="M70" s="569"/>
      <c r="N70" s="569"/>
      <c r="O70" s="569"/>
      <c r="P70" s="701"/>
      <c r="Q70" s="968">
        <f t="shared" si="2"/>
        <v>0</v>
      </c>
      <c r="R70" s="833"/>
      <c r="S70" s="834"/>
      <c r="T70" s="608"/>
      <c r="V70" s="954"/>
      <c r="W70" s="956"/>
      <c r="X70" s="956"/>
      <c r="Y70" s="956"/>
      <c r="Z70" s="956"/>
      <c r="AA70" s="956"/>
      <c r="AB70" s="956"/>
      <c r="AC70" s="956"/>
      <c r="AD70" s="956"/>
      <c r="AE70" s="956"/>
      <c r="AF70" s="956"/>
      <c r="AG70" s="956"/>
      <c r="AH70" s="956"/>
      <c r="AI70" s="957"/>
    </row>
    <row r="71" spans="2:35" ht="23.1" customHeight="1">
      <c r="B71" s="620"/>
      <c r="C71" s="507"/>
      <c r="D71" s="504"/>
      <c r="E71" s="561"/>
      <c r="F71" s="561"/>
      <c r="G71" s="507"/>
      <c r="H71" s="561"/>
      <c r="I71" s="1311"/>
      <c r="J71" s="1311"/>
      <c r="K71" s="569"/>
      <c r="L71" s="569"/>
      <c r="M71" s="569"/>
      <c r="N71" s="569"/>
      <c r="O71" s="569"/>
      <c r="P71" s="701"/>
      <c r="Q71" s="968">
        <f t="shared" si="2"/>
        <v>0</v>
      </c>
      <c r="R71" s="833"/>
      <c r="S71" s="834"/>
      <c r="T71" s="608"/>
      <c r="V71" s="954"/>
      <c r="W71" s="956"/>
      <c r="X71" s="956"/>
      <c r="Y71" s="956"/>
      <c r="Z71" s="956"/>
      <c r="AA71" s="956"/>
      <c r="AB71" s="956"/>
      <c r="AC71" s="956"/>
      <c r="AD71" s="956"/>
      <c r="AE71" s="956"/>
      <c r="AF71" s="956"/>
      <c r="AG71" s="956"/>
      <c r="AH71" s="956"/>
      <c r="AI71" s="957"/>
    </row>
    <row r="72" spans="2:35" ht="23.1" customHeight="1">
      <c r="B72" s="620"/>
      <c r="C72" s="507"/>
      <c r="D72" s="504"/>
      <c r="E72" s="561"/>
      <c r="F72" s="561"/>
      <c r="G72" s="507"/>
      <c r="H72" s="561"/>
      <c r="I72" s="1311"/>
      <c r="J72" s="1311"/>
      <c r="K72" s="569"/>
      <c r="L72" s="569"/>
      <c r="M72" s="569"/>
      <c r="N72" s="569"/>
      <c r="O72" s="569"/>
      <c r="P72" s="701"/>
      <c r="Q72" s="968">
        <f t="shared" si="2"/>
        <v>0</v>
      </c>
      <c r="R72" s="833"/>
      <c r="S72" s="834"/>
      <c r="T72" s="608"/>
      <c r="V72" s="954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7"/>
    </row>
    <row r="73" spans="2:35" ht="23.1" customHeight="1">
      <c r="B73" s="620"/>
      <c r="C73" s="507"/>
      <c r="D73" s="505"/>
      <c r="E73" s="562"/>
      <c r="F73" s="562"/>
      <c r="G73" s="508"/>
      <c r="H73" s="562"/>
      <c r="I73" s="1312"/>
      <c r="J73" s="1312"/>
      <c r="K73" s="570"/>
      <c r="L73" s="570"/>
      <c r="M73" s="570"/>
      <c r="N73" s="570"/>
      <c r="O73" s="570"/>
      <c r="P73" s="702"/>
      <c r="Q73" s="968">
        <f t="shared" si="2"/>
        <v>0</v>
      </c>
      <c r="R73" s="833"/>
      <c r="S73" s="834"/>
      <c r="T73" s="608"/>
      <c r="V73" s="954"/>
      <c r="W73" s="956"/>
      <c r="X73" s="956"/>
      <c r="Y73" s="956"/>
      <c r="Z73" s="956"/>
      <c r="AA73" s="956"/>
      <c r="AB73" s="956"/>
      <c r="AC73" s="956"/>
      <c r="AD73" s="956"/>
      <c r="AE73" s="956"/>
      <c r="AF73" s="956"/>
      <c r="AG73" s="956"/>
      <c r="AH73" s="956"/>
      <c r="AI73" s="957"/>
    </row>
    <row r="74" spans="2:35" ht="23.1" customHeight="1">
      <c r="B74" s="620"/>
      <c r="C74" s="509"/>
      <c r="D74" s="506"/>
      <c r="E74" s="563"/>
      <c r="F74" s="563"/>
      <c r="G74" s="509"/>
      <c r="H74" s="563"/>
      <c r="I74" s="1313"/>
      <c r="J74" s="1313"/>
      <c r="K74" s="571"/>
      <c r="L74" s="571"/>
      <c r="M74" s="571"/>
      <c r="N74" s="571"/>
      <c r="O74" s="571"/>
      <c r="P74" s="703"/>
      <c r="Q74" s="968">
        <f t="shared" si="2"/>
        <v>0</v>
      </c>
      <c r="R74" s="835"/>
      <c r="S74" s="836"/>
      <c r="T74" s="608"/>
      <c r="V74" s="954"/>
      <c r="W74" s="956"/>
      <c r="X74" s="956"/>
      <c r="Y74" s="956"/>
      <c r="Z74" s="956"/>
      <c r="AA74" s="956"/>
      <c r="AB74" s="956"/>
      <c r="AC74" s="956"/>
      <c r="AD74" s="956"/>
      <c r="AE74" s="956"/>
      <c r="AF74" s="956"/>
      <c r="AG74" s="956"/>
      <c r="AH74" s="956"/>
      <c r="AI74" s="957"/>
    </row>
    <row r="75" spans="2:35" ht="23.1" customHeight="1" thickBot="1">
      <c r="B75" s="620"/>
      <c r="C75" s="598"/>
      <c r="D75" s="598"/>
      <c r="E75" s="948"/>
      <c r="F75" s="948"/>
      <c r="G75" s="948"/>
      <c r="H75" s="1615" t="s">
        <v>1011</v>
      </c>
      <c r="I75" s="1616"/>
      <c r="J75" s="1617"/>
      <c r="K75" s="971">
        <f t="shared" ref="K75:S75" si="3">SUM(K50:K74)</f>
        <v>14060000</v>
      </c>
      <c r="L75" s="971">
        <f t="shared" si="3"/>
        <v>3516582.05</v>
      </c>
      <c r="M75" s="971">
        <f t="shared" si="3"/>
        <v>0</v>
      </c>
      <c r="N75" s="971">
        <f t="shared" si="3"/>
        <v>3515000</v>
      </c>
      <c r="O75" s="971">
        <f t="shared" si="3"/>
        <v>0</v>
      </c>
      <c r="P75" s="971">
        <f t="shared" si="3"/>
        <v>0</v>
      </c>
      <c r="Q75" s="974">
        <f t="shared" si="3"/>
        <v>1582.0499999998137</v>
      </c>
      <c r="R75" s="971">
        <f t="shared" si="3"/>
        <v>0</v>
      </c>
      <c r="S75" s="971">
        <f t="shared" si="3"/>
        <v>1582.05</v>
      </c>
      <c r="T75" s="608"/>
      <c r="V75" s="954"/>
      <c r="W75" s="956"/>
      <c r="X75" s="956"/>
      <c r="Y75" s="956"/>
      <c r="Z75" s="956"/>
      <c r="AA75" s="956"/>
      <c r="AB75" s="956"/>
      <c r="AC75" s="956"/>
      <c r="AD75" s="956"/>
      <c r="AE75" s="956"/>
      <c r="AF75" s="956"/>
      <c r="AG75" s="956"/>
      <c r="AH75" s="956"/>
      <c r="AI75" s="957"/>
    </row>
    <row r="76" spans="2:35" ht="23.1" customHeight="1">
      <c r="B76" s="620"/>
      <c r="C76" s="598"/>
      <c r="D76" s="598"/>
      <c r="E76" s="948"/>
      <c r="F76" s="948"/>
      <c r="G76" s="948"/>
      <c r="H76" s="976"/>
      <c r="I76" s="976"/>
      <c r="J76" s="976"/>
      <c r="K76" s="948"/>
      <c r="L76" s="948"/>
      <c r="M76" s="948"/>
      <c r="N76" s="948"/>
      <c r="O76" s="948"/>
      <c r="P76" s="948"/>
      <c r="Q76" s="1308"/>
      <c r="R76" s="948"/>
      <c r="S76" s="948"/>
      <c r="T76" s="608"/>
      <c r="V76" s="954"/>
      <c r="W76" s="956"/>
      <c r="X76" s="956"/>
      <c r="Y76" s="956"/>
      <c r="Z76" s="956"/>
      <c r="AA76" s="956"/>
      <c r="AB76" s="956"/>
      <c r="AC76" s="956"/>
      <c r="AD76" s="956"/>
      <c r="AE76" s="956"/>
      <c r="AF76" s="956"/>
      <c r="AG76" s="956"/>
      <c r="AH76" s="956"/>
      <c r="AI76" s="957"/>
    </row>
    <row r="77" spans="2:35" ht="23.1" customHeight="1">
      <c r="B77" s="620"/>
      <c r="C77" s="1306" t="s">
        <v>1012</v>
      </c>
      <c r="D77" s="1303"/>
      <c r="E77" s="1304"/>
      <c r="F77" s="1304"/>
      <c r="G77" s="1304"/>
      <c r="H77" s="1304"/>
      <c r="I77" s="1304"/>
      <c r="J77" s="1304"/>
      <c r="K77" s="1304"/>
      <c r="L77" s="1304"/>
      <c r="M77" s="1304"/>
      <c r="N77" s="1304"/>
      <c r="O77" s="1304"/>
      <c r="P77" s="1304"/>
      <c r="Q77" s="1304"/>
      <c r="R77" s="1304"/>
      <c r="S77" s="1305"/>
      <c r="T77" s="608"/>
      <c r="V77" s="954"/>
      <c r="W77" s="956"/>
      <c r="X77" s="956"/>
      <c r="Y77" s="956"/>
      <c r="Z77" s="956"/>
      <c r="AA77" s="956"/>
      <c r="AB77" s="956"/>
      <c r="AC77" s="956"/>
      <c r="AD77" s="956"/>
      <c r="AE77" s="956"/>
      <c r="AF77" s="956"/>
      <c r="AG77" s="956"/>
      <c r="AH77" s="956"/>
      <c r="AI77" s="957"/>
    </row>
    <row r="78" spans="2:35" ht="62.1" customHeight="1">
      <c r="B78" s="620"/>
      <c r="C78" s="960" t="s">
        <v>460</v>
      </c>
      <c r="D78" s="961" t="s">
        <v>462</v>
      </c>
      <c r="E78" s="960" t="s">
        <v>616</v>
      </c>
      <c r="F78" s="960" t="s">
        <v>616</v>
      </c>
      <c r="G78" s="960" t="s">
        <v>464</v>
      </c>
      <c r="H78" s="960" t="s">
        <v>468</v>
      </c>
      <c r="I78" s="960" t="s">
        <v>470</v>
      </c>
      <c r="J78" s="960" t="s">
        <v>669</v>
      </c>
      <c r="K78" s="960" t="s">
        <v>466</v>
      </c>
      <c r="L78" s="960" t="s">
        <v>618</v>
      </c>
      <c r="M78" s="962" t="s">
        <v>629</v>
      </c>
      <c r="N78" s="960" t="s">
        <v>1009</v>
      </c>
      <c r="O78" s="1302" t="s">
        <v>1016</v>
      </c>
      <c r="P78" s="963" t="s">
        <v>939</v>
      </c>
      <c r="Q78" s="960" t="s">
        <v>618</v>
      </c>
      <c r="R78" s="1613" t="s">
        <v>940</v>
      </c>
      <c r="S78" s="1614"/>
      <c r="T78" s="608"/>
      <c r="V78" s="954"/>
      <c r="W78" s="956"/>
      <c r="X78" s="956"/>
      <c r="Y78" s="956"/>
      <c r="Z78" s="956"/>
      <c r="AA78" s="956"/>
      <c r="AB78" s="956"/>
      <c r="AC78" s="956"/>
      <c r="AD78" s="956"/>
      <c r="AE78" s="956"/>
      <c r="AF78" s="956"/>
      <c r="AG78" s="956"/>
      <c r="AH78" s="956"/>
      <c r="AI78" s="957"/>
    </row>
    <row r="79" spans="2:35" ht="23.1" customHeight="1">
      <c r="B79" s="620"/>
      <c r="C79" s="964" t="s">
        <v>461</v>
      </c>
      <c r="D79" s="965" t="s">
        <v>461</v>
      </c>
      <c r="E79" s="964" t="s">
        <v>463</v>
      </c>
      <c r="F79" s="964" t="s">
        <v>617</v>
      </c>
      <c r="G79" s="964" t="s">
        <v>465</v>
      </c>
      <c r="H79" s="964" t="s">
        <v>469</v>
      </c>
      <c r="I79" s="1307" t="s">
        <v>1008</v>
      </c>
      <c r="J79" s="964" t="s">
        <v>697</v>
      </c>
      <c r="K79" s="964" t="s">
        <v>937</v>
      </c>
      <c r="L79" s="964">
        <f>ejercicio-1</f>
        <v>2020</v>
      </c>
      <c r="M79" s="964">
        <f>ejercicio</f>
        <v>2021</v>
      </c>
      <c r="N79" s="964">
        <f>ejercicio</f>
        <v>2021</v>
      </c>
      <c r="O79" s="964">
        <f>ejercicio</f>
        <v>2021</v>
      </c>
      <c r="P79" s="964">
        <f>ejercicio</f>
        <v>2021</v>
      </c>
      <c r="Q79" s="964">
        <f>ejercicio</f>
        <v>2021</v>
      </c>
      <c r="R79" s="966" t="s">
        <v>619</v>
      </c>
      <c r="S79" s="967" t="s">
        <v>620</v>
      </c>
      <c r="T79" s="608"/>
      <c r="V79" s="954"/>
      <c r="W79" s="956"/>
      <c r="X79" s="956"/>
      <c r="Y79" s="956"/>
      <c r="Z79" s="956"/>
      <c r="AA79" s="956"/>
      <c r="AB79" s="956"/>
      <c r="AC79" s="956"/>
      <c r="AD79" s="956"/>
      <c r="AE79" s="956"/>
      <c r="AF79" s="956"/>
      <c r="AG79" s="956"/>
      <c r="AH79" s="956"/>
      <c r="AI79" s="957"/>
    </row>
    <row r="80" spans="2:35" ht="23.1" customHeight="1">
      <c r="B80" s="620"/>
      <c r="C80" s="1196"/>
      <c r="D80" s="922"/>
      <c r="E80" s="561"/>
      <c r="F80" s="561"/>
      <c r="G80" s="1196"/>
      <c r="H80" s="561"/>
      <c r="I80" s="561"/>
      <c r="J80" s="561"/>
      <c r="K80" s="569"/>
      <c r="L80" s="569"/>
      <c r="M80" s="772"/>
      <c r="N80" s="772"/>
      <c r="O80" s="772"/>
      <c r="P80" s="701"/>
      <c r="Q80" s="968">
        <f>L80+M80-N80+O80</f>
        <v>0</v>
      </c>
      <c r="R80" s="831"/>
      <c r="S80" s="832"/>
      <c r="T80" s="608"/>
      <c r="V80" s="954"/>
      <c r="W80" s="956"/>
      <c r="X80" s="956"/>
      <c r="Y80" s="956"/>
      <c r="Z80" s="956"/>
      <c r="AA80" s="956"/>
      <c r="AB80" s="956"/>
      <c r="AC80" s="956"/>
      <c r="AD80" s="956"/>
      <c r="AE80" s="956"/>
      <c r="AF80" s="956"/>
      <c r="AG80" s="956"/>
      <c r="AH80" s="956"/>
      <c r="AI80" s="957"/>
    </row>
    <row r="81" spans="2:35" ht="23.1" customHeight="1">
      <c r="B81" s="620"/>
      <c r="C81" s="507"/>
      <c r="D81" s="922"/>
      <c r="E81" s="561"/>
      <c r="F81" s="561"/>
      <c r="G81" s="1196"/>
      <c r="H81" s="1197"/>
      <c r="I81" s="1197"/>
      <c r="J81" s="1197"/>
      <c r="K81" s="569"/>
      <c r="L81" s="569"/>
      <c r="M81" s="569"/>
      <c r="N81" s="569"/>
      <c r="O81" s="569"/>
      <c r="P81" s="701"/>
      <c r="Q81" s="968">
        <f t="shared" ref="Q81:Q104" si="4">L81+M81-N81+O81</f>
        <v>0</v>
      </c>
      <c r="R81" s="833"/>
      <c r="S81" s="834"/>
      <c r="T81" s="608"/>
      <c r="V81" s="954"/>
      <c r="W81" s="956"/>
      <c r="X81" s="956"/>
      <c r="Y81" s="956"/>
      <c r="Z81" s="956"/>
      <c r="AA81" s="956"/>
      <c r="AB81" s="956"/>
      <c r="AC81" s="956"/>
      <c r="AD81" s="956"/>
      <c r="AE81" s="956"/>
      <c r="AF81" s="956"/>
      <c r="AG81" s="956"/>
      <c r="AH81" s="956"/>
      <c r="AI81" s="957"/>
    </row>
    <row r="82" spans="2:35" ht="23.1" customHeight="1">
      <c r="B82" s="620"/>
      <c r="C82" s="507"/>
      <c r="D82" s="504"/>
      <c r="E82" s="561" t="s">
        <v>605</v>
      </c>
      <c r="F82" s="561"/>
      <c r="G82" s="507"/>
      <c r="H82" s="561"/>
      <c r="I82" s="561"/>
      <c r="J82" s="561"/>
      <c r="K82" s="569"/>
      <c r="L82" s="569"/>
      <c r="M82" s="569"/>
      <c r="N82" s="569"/>
      <c r="O82" s="569"/>
      <c r="P82" s="701"/>
      <c r="Q82" s="968">
        <f t="shared" si="4"/>
        <v>0</v>
      </c>
      <c r="R82" s="833"/>
      <c r="S82" s="834"/>
      <c r="T82" s="608"/>
      <c r="V82" s="954"/>
      <c r="W82" s="956"/>
      <c r="X82" s="956"/>
      <c r="Y82" s="956"/>
      <c r="Z82" s="956"/>
      <c r="AA82" s="956"/>
      <c r="AB82" s="956"/>
      <c r="AC82" s="956"/>
      <c r="AD82" s="956"/>
      <c r="AE82" s="956"/>
      <c r="AF82" s="956"/>
      <c r="AG82" s="956"/>
      <c r="AH82" s="956"/>
      <c r="AI82" s="957"/>
    </row>
    <row r="83" spans="2:35" ht="23.1" customHeight="1">
      <c r="B83" s="620"/>
      <c r="C83" s="507"/>
      <c r="D83" s="504"/>
      <c r="E83" s="561"/>
      <c r="F83" s="561"/>
      <c r="G83" s="507"/>
      <c r="H83" s="561"/>
      <c r="I83" s="561"/>
      <c r="J83" s="561"/>
      <c r="K83" s="569"/>
      <c r="L83" s="569"/>
      <c r="M83" s="569"/>
      <c r="N83" s="569"/>
      <c r="O83" s="569"/>
      <c r="P83" s="701"/>
      <c r="Q83" s="968">
        <f t="shared" si="4"/>
        <v>0</v>
      </c>
      <c r="R83" s="833"/>
      <c r="S83" s="834"/>
      <c r="T83" s="608"/>
      <c r="V83" s="954"/>
      <c r="W83" s="956"/>
      <c r="X83" s="956"/>
      <c r="Y83" s="956"/>
      <c r="Z83" s="956"/>
      <c r="AA83" s="956"/>
      <c r="AB83" s="956"/>
      <c r="AC83" s="956"/>
      <c r="AD83" s="956"/>
      <c r="AE83" s="956"/>
      <c r="AF83" s="956"/>
      <c r="AG83" s="956"/>
      <c r="AH83" s="956"/>
      <c r="AI83" s="957"/>
    </row>
    <row r="84" spans="2:35" ht="23.1" customHeight="1">
      <c r="B84" s="620"/>
      <c r="C84" s="507"/>
      <c r="D84" s="504"/>
      <c r="E84" s="561"/>
      <c r="F84" s="561"/>
      <c r="G84" s="507"/>
      <c r="H84" s="561"/>
      <c r="I84" s="561"/>
      <c r="J84" s="561"/>
      <c r="K84" s="569"/>
      <c r="L84" s="569"/>
      <c r="M84" s="569"/>
      <c r="N84" s="569"/>
      <c r="O84" s="569"/>
      <c r="P84" s="701"/>
      <c r="Q84" s="968">
        <f t="shared" si="4"/>
        <v>0</v>
      </c>
      <c r="R84" s="833"/>
      <c r="S84" s="834"/>
      <c r="T84" s="608"/>
      <c r="V84" s="954"/>
      <c r="W84" s="956"/>
      <c r="X84" s="956"/>
      <c r="Y84" s="956"/>
      <c r="Z84" s="956"/>
      <c r="AA84" s="956"/>
      <c r="AB84" s="956"/>
      <c r="AC84" s="956"/>
      <c r="AD84" s="956"/>
      <c r="AE84" s="956"/>
      <c r="AF84" s="956"/>
      <c r="AG84" s="956"/>
      <c r="AH84" s="956"/>
      <c r="AI84" s="957"/>
    </row>
    <row r="85" spans="2:35" ht="23.1" customHeight="1">
      <c r="B85" s="620"/>
      <c r="C85" s="507"/>
      <c r="D85" s="504"/>
      <c r="E85" s="561"/>
      <c r="F85" s="561"/>
      <c r="G85" s="507"/>
      <c r="H85" s="561"/>
      <c r="I85" s="561"/>
      <c r="J85" s="561"/>
      <c r="K85" s="569"/>
      <c r="L85" s="569"/>
      <c r="M85" s="569"/>
      <c r="N85" s="569"/>
      <c r="O85" s="569"/>
      <c r="P85" s="701"/>
      <c r="Q85" s="968">
        <f t="shared" si="4"/>
        <v>0</v>
      </c>
      <c r="R85" s="833"/>
      <c r="S85" s="834"/>
      <c r="T85" s="608"/>
      <c r="V85" s="954"/>
      <c r="W85" s="956"/>
      <c r="X85" s="956"/>
      <c r="Y85" s="956"/>
      <c r="Z85" s="956"/>
      <c r="AA85" s="956"/>
      <c r="AB85" s="956"/>
      <c r="AC85" s="956"/>
      <c r="AD85" s="956"/>
      <c r="AE85" s="956"/>
      <c r="AF85" s="956"/>
      <c r="AG85" s="956"/>
      <c r="AH85" s="956"/>
      <c r="AI85" s="957"/>
    </row>
    <row r="86" spans="2:35" ht="23.1" customHeight="1">
      <c r="B86" s="620"/>
      <c r="C86" s="507"/>
      <c r="D86" s="504"/>
      <c r="E86" s="561"/>
      <c r="F86" s="561"/>
      <c r="G86" s="507"/>
      <c r="H86" s="561"/>
      <c r="I86" s="561"/>
      <c r="J86" s="561"/>
      <c r="K86" s="569"/>
      <c r="L86" s="569"/>
      <c r="M86" s="569"/>
      <c r="N86" s="569"/>
      <c r="O86" s="569"/>
      <c r="P86" s="701"/>
      <c r="Q86" s="968">
        <f t="shared" si="4"/>
        <v>0</v>
      </c>
      <c r="R86" s="833"/>
      <c r="S86" s="834"/>
      <c r="T86" s="608"/>
      <c r="V86" s="954"/>
      <c r="W86" s="956"/>
      <c r="X86" s="956"/>
      <c r="Y86" s="956"/>
      <c r="Z86" s="956"/>
      <c r="AA86" s="956"/>
      <c r="AB86" s="956"/>
      <c r="AC86" s="956"/>
      <c r="AD86" s="956"/>
      <c r="AE86" s="956"/>
      <c r="AF86" s="956"/>
      <c r="AG86" s="956"/>
      <c r="AH86" s="956"/>
      <c r="AI86" s="957"/>
    </row>
    <row r="87" spans="2:35" ht="23.1" customHeight="1">
      <c r="B87" s="620"/>
      <c r="C87" s="507"/>
      <c r="D87" s="504"/>
      <c r="E87" s="561"/>
      <c r="F87" s="561"/>
      <c r="G87" s="507"/>
      <c r="H87" s="561"/>
      <c r="I87" s="561"/>
      <c r="J87" s="561"/>
      <c r="K87" s="569"/>
      <c r="L87" s="569"/>
      <c r="M87" s="569"/>
      <c r="N87" s="569"/>
      <c r="O87" s="569"/>
      <c r="P87" s="701"/>
      <c r="Q87" s="968">
        <f t="shared" si="4"/>
        <v>0</v>
      </c>
      <c r="R87" s="833"/>
      <c r="S87" s="834"/>
      <c r="T87" s="608"/>
      <c r="V87" s="954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7"/>
    </row>
    <row r="88" spans="2:35" ht="23.1" customHeight="1">
      <c r="B88" s="620"/>
      <c r="C88" s="507"/>
      <c r="D88" s="504"/>
      <c r="E88" s="561"/>
      <c r="F88" s="561"/>
      <c r="G88" s="507"/>
      <c r="H88" s="561"/>
      <c r="I88" s="561"/>
      <c r="J88" s="561"/>
      <c r="K88" s="569"/>
      <c r="L88" s="569"/>
      <c r="M88" s="569"/>
      <c r="N88" s="569"/>
      <c r="O88" s="569"/>
      <c r="P88" s="701"/>
      <c r="Q88" s="968">
        <f t="shared" si="4"/>
        <v>0</v>
      </c>
      <c r="R88" s="833"/>
      <c r="S88" s="834"/>
      <c r="T88" s="608"/>
      <c r="V88" s="954"/>
      <c r="W88" s="956"/>
      <c r="X88" s="956"/>
      <c r="Y88" s="956"/>
      <c r="Z88" s="956"/>
      <c r="AA88" s="956"/>
      <c r="AB88" s="956"/>
      <c r="AC88" s="956"/>
      <c r="AD88" s="956"/>
      <c r="AE88" s="956"/>
      <c r="AF88" s="956"/>
      <c r="AG88" s="956"/>
      <c r="AH88" s="956"/>
      <c r="AI88" s="957"/>
    </row>
    <row r="89" spans="2:35" ht="23.1" customHeight="1">
      <c r="B89" s="620"/>
      <c r="C89" s="507"/>
      <c r="D89" s="504"/>
      <c r="E89" s="561"/>
      <c r="F89" s="561"/>
      <c r="G89" s="507"/>
      <c r="H89" s="561"/>
      <c r="I89" s="561"/>
      <c r="J89" s="561"/>
      <c r="K89" s="569"/>
      <c r="L89" s="569"/>
      <c r="M89" s="569"/>
      <c r="N89" s="569"/>
      <c r="O89" s="569"/>
      <c r="P89" s="701"/>
      <c r="Q89" s="968">
        <f t="shared" si="4"/>
        <v>0</v>
      </c>
      <c r="R89" s="833"/>
      <c r="S89" s="834"/>
      <c r="T89" s="608"/>
      <c r="V89" s="954"/>
      <c r="W89" s="956"/>
      <c r="X89" s="956"/>
      <c r="Y89" s="956"/>
      <c r="Z89" s="956"/>
      <c r="AA89" s="956"/>
      <c r="AB89" s="956"/>
      <c r="AC89" s="956"/>
      <c r="AD89" s="956"/>
      <c r="AE89" s="956"/>
      <c r="AF89" s="956"/>
      <c r="AG89" s="956"/>
      <c r="AH89" s="956"/>
      <c r="AI89" s="957"/>
    </row>
    <row r="90" spans="2:35" ht="23.1" customHeight="1">
      <c r="B90" s="620"/>
      <c r="C90" s="507"/>
      <c r="D90" s="504"/>
      <c r="E90" s="561"/>
      <c r="F90" s="561"/>
      <c r="G90" s="507"/>
      <c r="H90" s="561"/>
      <c r="I90" s="561"/>
      <c r="J90" s="561"/>
      <c r="K90" s="569"/>
      <c r="L90" s="569"/>
      <c r="M90" s="569"/>
      <c r="N90" s="569"/>
      <c r="O90" s="569"/>
      <c r="P90" s="701"/>
      <c r="Q90" s="968">
        <f t="shared" si="4"/>
        <v>0</v>
      </c>
      <c r="R90" s="833"/>
      <c r="S90" s="834"/>
      <c r="T90" s="608"/>
      <c r="V90" s="954"/>
      <c r="W90" s="956"/>
      <c r="X90" s="956"/>
      <c r="Y90" s="956"/>
      <c r="Z90" s="956"/>
      <c r="AA90" s="956"/>
      <c r="AB90" s="956"/>
      <c r="AC90" s="956"/>
      <c r="AD90" s="956"/>
      <c r="AE90" s="956"/>
      <c r="AF90" s="956"/>
      <c r="AG90" s="956"/>
      <c r="AH90" s="956"/>
      <c r="AI90" s="957"/>
    </row>
    <row r="91" spans="2:35" ht="23.1" customHeight="1">
      <c r="B91" s="620"/>
      <c r="C91" s="507"/>
      <c r="D91" s="504"/>
      <c r="E91" s="561"/>
      <c r="F91" s="561"/>
      <c r="G91" s="507"/>
      <c r="H91" s="561"/>
      <c r="I91" s="561"/>
      <c r="J91" s="561"/>
      <c r="K91" s="569"/>
      <c r="L91" s="569"/>
      <c r="M91" s="569"/>
      <c r="N91" s="569"/>
      <c r="O91" s="569"/>
      <c r="P91" s="701"/>
      <c r="Q91" s="968">
        <f t="shared" si="4"/>
        <v>0</v>
      </c>
      <c r="R91" s="833"/>
      <c r="S91" s="834"/>
      <c r="T91" s="608"/>
      <c r="V91" s="954"/>
      <c r="W91" s="956"/>
      <c r="X91" s="956"/>
      <c r="Y91" s="956"/>
      <c r="Z91" s="956"/>
      <c r="AA91" s="956"/>
      <c r="AB91" s="956"/>
      <c r="AC91" s="956"/>
      <c r="AD91" s="956"/>
      <c r="AE91" s="956"/>
      <c r="AF91" s="956"/>
      <c r="AG91" s="956"/>
      <c r="AH91" s="956"/>
      <c r="AI91" s="957"/>
    </row>
    <row r="92" spans="2:35" ht="23.1" customHeight="1">
      <c r="B92" s="620"/>
      <c r="C92" s="507"/>
      <c r="D92" s="504"/>
      <c r="E92" s="561"/>
      <c r="F92" s="561"/>
      <c r="G92" s="507"/>
      <c r="H92" s="561"/>
      <c r="I92" s="561"/>
      <c r="J92" s="561"/>
      <c r="K92" s="569"/>
      <c r="L92" s="569"/>
      <c r="M92" s="569"/>
      <c r="N92" s="569"/>
      <c r="O92" s="569"/>
      <c r="P92" s="701"/>
      <c r="Q92" s="968">
        <f t="shared" si="4"/>
        <v>0</v>
      </c>
      <c r="R92" s="833"/>
      <c r="S92" s="834"/>
      <c r="T92" s="608"/>
      <c r="V92" s="954"/>
      <c r="W92" s="956"/>
      <c r="X92" s="956"/>
      <c r="Y92" s="956"/>
      <c r="Z92" s="956"/>
      <c r="AA92" s="956"/>
      <c r="AB92" s="956"/>
      <c r="AC92" s="956"/>
      <c r="AD92" s="956"/>
      <c r="AE92" s="956"/>
      <c r="AF92" s="956"/>
      <c r="AG92" s="956"/>
      <c r="AH92" s="956"/>
      <c r="AI92" s="957"/>
    </row>
    <row r="93" spans="2:35" ht="23.1" customHeight="1">
      <c r="B93" s="620"/>
      <c r="C93" s="507"/>
      <c r="D93" s="504"/>
      <c r="E93" s="561"/>
      <c r="F93" s="561"/>
      <c r="G93" s="507"/>
      <c r="H93" s="561"/>
      <c r="I93" s="561"/>
      <c r="J93" s="561"/>
      <c r="K93" s="569"/>
      <c r="L93" s="569"/>
      <c r="M93" s="569"/>
      <c r="N93" s="569"/>
      <c r="O93" s="569"/>
      <c r="P93" s="701"/>
      <c r="Q93" s="968">
        <f t="shared" si="4"/>
        <v>0</v>
      </c>
      <c r="R93" s="833"/>
      <c r="S93" s="834"/>
      <c r="T93" s="608"/>
      <c r="V93" s="954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7"/>
    </row>
    <row r="94" spans="2:35" ht="23.1" customHeight="1">
      <c r="B94" s="620"/>
      <c r="C94" s="507"/>
      <c r="D94" s="504"/>
      <c r="E94" s="561"/>
      <c r="F94" s="561"/>
      <c r="G94" s="507"/>
      <c r="H94" s="561"/>
      <c r="I94" s="561"/>
      <c r="J94" s="561"/>
      <c r="K94" s="569"/>
      <c r="L94" s="569"/>
      <c r="M94" s="569"/>
      <c r="N94" s="569"/>
      <c r="O94" s="569"/>
      <c r="P94" s="701"/>
      <c r="Q94" s="968">
        <f t="shared" si="4"/>
        <v>0</v>
      </c>
      <c r="R94" s="833"/>
      <c r="S94" s="834"/>
      <c r="T94" s="608"/>
      <c r="V94" s="954"/>
      <c r="W94" s="956"/>
      <c r="X94" s="956"/>
      <c r="Y94" s="956"/>
      <c r="Z94" s="956"/>
      <c r="AA94" s="956"/>
      <c r="AB94" s="956"/>
      <c r="AC94" s="956"/>
      <c r="AD94" s="956"/>
      <c r="AE94" s="956"/>
      <c r="AF94" s="956"/>
      <c r="AG94" s="956"/>
      <c r="AH94" s="956"/>
      <c r="AI94" s="957"/>
    </row>
    <row r="95" spans="2:35" ht="23.1" customHeight="1">
      <c r="B95" s="620"/>
      <c r="C95" s="507"/>
      <c r="D95" s="504"/>
      <c r="E95" s="561"/>
      <c r="F95" s="561"/>
      <c r="G95" s="507"/>
      <c r="H95" s="561"/>
      <c r="I95" s="561"/>
      <c r="J95" s="561"/>
      <c r="K95" s="569"/>
      <c r="L95" s="569"/>
      <c r="M95" s="569"/>
      <c r="N95" s="569"/>
      <c r="O95" s="569"/>
      <c r="P95" s="701"/>
      <c r="Q95" s="968">
        <f t="shared" si="4"/>
        <v>0</v>
      </c>
      <c r="R95" s="833"/>
      <c r="S95" s="834"/>
      <c r="T95" s="608"/>
      <c r="V95" s="954"/>
      <c r="W95" s="956"/>
      <c r="X95" s="956"/>
      <c r="Y95" s="956"/>
      <c r="Z95" s="956"/>
      <c r="AA95" s="956"/>
      <c r="AB95" s="956"/>
      <c r="AC95" s="956"/>
      <c r="AD95" s="956"/>
      <c r="AE95" s="956"/>
      <c r="AF95" s="956"/>
      <c r="AG95" s="956"/>
      <c r="AH95" s="956"/>
      <c r="AI95" s="957"/>
    </row>
    <row r="96" spans="2:35" ht="23.1" customHeight="1">
      <c r="B96" s="620"/>
      <c r="C96" s="507"/>
      <c r="D96" s="504"/>
      <c r="E96" s="561"/>
      <c r="F96" s="561"/>
      <c r="G96" s="507"/>
      <c r="H96" s="561"/>
      <c r="I96" s="561"/>
      <c r="J96" s="561"/>
      <c r="K96" s="569"/>
      <c r="L96" s="569"/>
      <c r="M96" s="569"/>
      <c r="N96" s="569"/>
      <c r="O96" s="569"/>
      <c r="P96" s="701"/>
      <c r="Q96" s="968">
        <f t="shared" si="4"/>
        <v>0</v>
      </c>
      <c r="R96" s="833"/>
      <c r="S96" s="834"/>
      <c r="T96" s="608"/>
      <c r="V96" s="954"/>
      <c r="W96" s="956"/>
      <c r="X96" s="956"/>
      <c r="Y96" s="956"/>
      <c r="Z96" s="956"/>
      <c r="AA96" s="956"/>
      <c r="AB96" s="956"/>
      <c r="AC96" s="956"/>
      <c r="AD96" s="956"/>
      <c r="AE96" s="956"/>
      <c r="AF96" s="956"/>
      <c r="AG96" s="956"/>
      <c r="AH96" s="956"/>
      <c r="AI96" s="957"/>
    </row>
    <row r="97" spans="2:35" ht="23.1" customHeight="1">
      <c r="B97" s="620"/>
      <c r="C97" s="507"/>
      <c r="D97" s="504"/>
      <c r="E97" s="561"/>
      <c r="F97" s="561"/>
      <c r="G97" s="507"/>
      <c r="H97" s="561"/>
      <c r="I97" s="561"/>
      <c r="J97" s="561"/>
      <c r="K97" s="569"/>
      <c r="L97" s="569"/>
      <c r="M97" s="569"/>
      <c r="N97" s="569"/>
      <c r="O97" s="569"/>
      <c r="P97" s="701"/>
      <c r="Q97" s="968">
        <f t="shared" si="4"/>
        <v>0</v>
      </c>
      <c r="R97" s="833"/>
      <c r="S97" s="834"/>
      <c r="T97" s="608"/>
      <c r="V97" s="954"/>
      <c r="W97" s="956"/>
      <c r="X97" s="956"/>
      <c r="Y97" s="956"/>
      <c r="Z97" s="956"/>
      <c r="AA97" s="956"/>
      <c r="AB97" s="956"/>
      <c r="AC97" s="956"/>
      <c r="AD97" s="956"/>
      <c r="AE97" s="956"/>
      <c r="AF97" s="956"/>
      <c r="AG97" s="956"/>
      <c r="AH97" s="956"/>
      <c r="AI97" s="957"/>
    </row>
    <row r="98" spans="2:35" ht="23.1" customHeight="1">
      <c r="B98" s="620"/>
      <c r="C98" s="507"/>
      <c r="D98" s="504"/>
      <c r="E98" s="561"/>
      <c r="F98" s="561"/>
      <c r="G98" s="507"/>
      <c r="H98" s="561"/>
      <c r="I98" s="561"/>
      <c r="J98" s="561"/>
      <c r="K98" s="569"/>
      <c r="L98" s="569"/>
      <c r="M98" s="569"/>
      <c r="N98" s="569"/>
      <c r="O98" s="569"/>
      <c r="P98" s="701"/>
      <c r="Q98" s="968">
        <f t="shared" si="4"/>
        <v>0</v>
      </c>
      <c r="R98" s="833"/>
      <c r="S98" s="834"/>
      <c r="T98" s="608"/>
      <c r="V98" s="954"/>
      <c r="W98" s="956"/>
      <c r="X98" s="956"/>
      <c r="Y98" s="956"/>
      <c r="Z98" s="956"/>
      <c r="AA98" s="956"/>
      <c r="AB98" s="956"/>
      <c r="AC98" s="956"/>
      <c r="AD98" s="956"/>
      <c r="AE98" s="956"/>
      <c r="AF98" s="956"/>
      <c r="AG98" s="956"/>
      <c r="AH98" s="956"/>
      <c r="AI98" s="957"/>
    </row>
    <row r="99" spans="2:35" ht="23.1" customHeight="1">
      <c r="B99" s="620"/>
      <c r="C99" s="507"/>
      <c r="D99" s="504"/>
      <c r="E99" s="561"/>
      <c r="F99" s="561"/>
      <c r="G99" s="507"/>
      <c r="H99" s="561"/>
      <c r="I99" s="561"/>
      <c r="J99" s="561"/>
      <c r="K99" s="569"/>
      <c r="L99" s="569"/>
      <c r="M99" s="569"/>
      <c r="N99" s="569"/>
      <c r="O99" s="569"/>
      <c r="P99" s="701"/>
      <c r="Q99" s="968">
        <f t="shared" si="4"/>
        <v>0</v>
      </c>
      <c r="R99" s="833"/>
      <c r="S99" s="834"/>
      <c r="T99" s="608"/>
      <c r="V99" s="954"/>
      <c r="W99" s="956"/>
      <c r="X99" s="956"/>
      <c r="Y99" s="956"/>
      <c r="Z99" s="956"/>
      <c r="AA99" s="956"/>
      <c r="AB99" s="956"/>
      <c r="AC99" s="956"/>
      <c r="AD99" s="956"/>
      <c r="AE99" s="956"/>
      <c r="AF99" s="956"/>
      <c r="AG99" s="956"/>
      <c r="AH99" s="956"/>
      <c r="AI99" s="957"/>
    </row>
    <row r="100" spans="2:35" ht="23.1" customHeight="1">
      <c r="B100" s="620"/>
      <c r="C100" s="507"/>
      <c r="D100" s="504"/>
      <c r="E100" s="561"/>
      <c r="F100" s="561"/>
      <c r="G100" s="507"/>
      <c r="H100" s="561"/>
      <c r="I100" s="561"/>
      <c r="J100" s="561"/>
      <c r="K100" s="569"/>
      <c r="L100" s="569"/>
      <c r="M100" s="569"/>
      <c r="N100" s="569"/>
      <c r="O100" s="569"/>
      <c r="P100" s="701"/>
      <c r="Q100" s="968">
        <f t="shared" si="4"/>
        <v>0</v>
      </c>
      <c r="R100" s="833"/>
      <c r="S100" s="834"/>
      <c r="T100" s="608"/>
      <c r="V100" s="954"/>
      <c r="W100" s="956"/>
      <c r="X100" s="956"/>
      <c r="Y100" s="956"/>
      <c r="Z100" s="956"/>
      <c r="AA100" s="956"/>
      <c r="AB100" s="956"/>
      <c r="AC100" s="956"/>
      <c r="AD100" s="956"/>
      <c r="AE100" s="956"/>
      <c r="AF100" s="956"/>
      <c r="AG100" s="956"/>
      <c r="AH100" s="956"/>
      <c r="AI100" s="957"/>
    </row>
    <row r="101" spans="2:35" ht="23.1" customHeight="1">
      <c r="B101" s="620"/>
      <c r="C101" s="507"/>
      <c r="D101" s="504"/>
      <c r="E101" s="561"/>
      <c r="F101" s="561"/>
      <c r="G101" s="507"/>
      <c r="H101" s="561"/>
      <c r="I101" s="561"/>
      <c r="J101" s="561"/>
      <c r="K101" s="569"/>
      <c r="L101" s="569"/>
      <c r="M101" s="569"/>
      <c r="N101" s="569"/>
      <c r="O101" s="569"/>
      <c r="P101" s="701"/>
      <c r="Q101" s="968">
        <f t="shared" si="4"/>
        <v>0</v>
      </c>
      <c r="R101" s="833"/>
      <c r="S101" s="834"/>
      <c r="T101" s="608"/>
      <c r="V101" s="954"/>
      <c r="W101" s="956"/>
      <c r="X101" s="956"/>
      <c r="Y101" s="956"/>
      <c r="Z101" s="956"/>
      <c r="AA101" s="956"/>
      <c r="AB101" s="956"/>
      <c r="AC101" s="956"/>
      <c r="AD101" s="956"/>
      <c r="AE101" s="956"/>
      <c r="AF101" s="956"/>
      <c r="AG101" s="956"/>
      <c r="AH101" s="956"/>
      <c r="AI101" s="957"/>
    </row>
    <row r="102" spans="2:35" ht="23.1" customHeight="1">
      <c r="B102" s="620"/>
      <c r="C102" s="507"/>
      <c r="D102" s="504"/>
      <c r="E102" s="561"/>
      <c r="F102" s="561"/>
      <c r="G102" s="507"/>
      <c r="H102" s="561"/>
      <c r="I102" s="561"/>
      <c r="J102" s="561"/>
      <c r="K102" s="569"/>
      <c r="L102" s="569"/>
      <c r="M102" s="569"/>
      <c r="N102" s="569"/>
      <c r="O102" s="569"/>
      <c r="P102" s="701"/>
      <c r="Q102" s="968">
        <f t="shared" si="4"/>
        <v>0</v>
      </c>
      <c r="R102" s="833"/>
      <c r="S102" s="834"/>
      <c r="T102" s="608"/>
      <c r="V102" s="954"/>
      <c r="W102" s="956"/>
      <c r="X102" s="956"/>
      <c r="Y102" s="956"/>
      <c r="Z102" s="956"/>
      <c r="AA102" s="956"/>
      <c r="AB102" s="956"/>
      <c r="AC102" s="956"/>
      <c r="AD102" s="956"/>
      <c r="AE102" s="956"/>
      <c r="AF102" s="956"/>
      <c r="AG102" s="956"/>
      <c r="AH102" s="956"/>
      <c r="AI102" s="957"/>
    </row>
    <row r="103" spans="2:35" ht="23.1" customHeight="1">
      <c r="B103" s="620"/>
      <c r="C103" s="507"/>
      <c r="D103" s="505"/>
      <c r="E103" s="562"/>
      <c r="F103" s="562"/>
      <c r="G103" s="508"/>
      <c r="H103" s="562"/>
      <c r="I103" s="562"/>
      <c r="J103" s="562"/>
      <c r="K103" s="570"/>
      <c r="L103" s="570"/>
      <c r="M103" s="570"/>
      <c r="N103" s="570"/>
      <c r="O103" s="570"/>
      <c r="P103" s="702"/>
      <c r="Q103" s="968">
        <f t="shared" si="4"/>
        <v>0</v>
      </c>
      <c r="R103" s="833"/>
      <c r="S103" s="834"/>
      <c r="T103" s="608"/>
      <c r="V103" s="954"/>
      <c r="W103" s="956"/>
      <c r="X103" s="956"/>
      <c r="Y103" s="956"/>
      <c r="Z103" s="956"/>
      <c r="AA103" s="956"/>
      <c r="AB103" s="956"/>
      <c r="AC103" s="956"/>
      <c r="AD103" s="956"/>
      <c r="AE103" s="956"/>
      <c r="AF103" s="956"/>
      <c r="AG103" s="956"/>
      <c r="AH103" s="956"/>
      <c r="AI103" s="957"/>
    </row>
    <row r="104" spans="2:35" ht="23.1" customHeight="1">
      <c r="B104" s="620"/>
      <c r="C104" s="509"/>
      <c r="D104" s="506"/>
      <c r="E104" s="563"/>
      <c r="F104" s="563"/>
      <c r="G104" s="509"/>
      <c r="H104" s="563"/>
      <c r="I104" s="563"/>
      <c r="J104" s="563"/>
      <c r="K104" s="571"/>
      <c r="L104" s="571"/>
      <c r="M104" s="571"/>
      <c r="N104" s="571"/>
      <c r="O104" s="571"/>
      <c r="P104" s="703"/>
      <c r="Q104" s="968">
        <f t="shared" si="4"/>
        <v>0</v>
      </c>
      <c r="R104" s="835"/>
      <c r="S104" s="836"/>
      <c r="T104" s="608"/>
      <c r="V104" s="954"/>
      <c r="W104" s="956"/>
      <c r="X104" s="956"/>
      <c r="Y104" s="956"/>
      <c r="Z104" s="956"/>
      <c r="AA104" s="956"/>
      <c r="AB104" s="956"/>
      <c r="AC104" s="956"/>
      <c r="AD104" s="956"/>
      <c r="AE104" s="956"/>
      <c r="AF104" s="956"/>
      <c r="AG104" s="956"/>
      <c r="AH104" s="956"/>
      <c r="AI104" s="957"/>
    </row>
    <row r="105" spans="2:35" ht="23.1" customHeight="1" thickBot="1">
      <c r="B105" s="620"/>
      <c r="C105" s="598"/>
      <c r="D105" s="598"/>
      <c r="E105" s="948"/>
      <c r="F105" s="948"/>
      <c r="G105" s="948"/>
      <c r="H105" s="1615" t="s">
        <v>1013</v>
      </c>
      <c r="I105" s="1616"/>
      <c r="J105" s="1617"/>
      <c r="K105" s="971">
        <f t="shared" ref="K105:S105" si="5">SUM(K80:K104)</f>
        <v>0</v>
      </c>
      <c r="L105" s="971">
        <f t="shared" si="5"/>
        <v>0</v>
      </c>
      <c r="M105" s="971">
        <f t="shared" si="5"/>
        <v>0</v>
      </c>
      <c r="N105" s="971">
        <f t="shared" si="5"/>
        <v>0</v>
      </c>
      <c r="O105" s="971">
        <f t="shared" si="5"/>
        <v>0</v>
      </c>
      <c r="P105" s="971">
        <f t="shared" si="5"/>
        <v>0</v>
      </c>
      <c r="Q105" s="974">
        <f t="shared" si="5"/>
        <v>0</v>
      </c>
      <c r="R105" s="971">
        <f t="shared" si="5"/>
        <v>0</v>
      </c>
      <c r="S105" s="971">
        <f t="shared" si="5"/>
        <v>0</v>
      </c>
      <c r="T105" s="608"/>
      <c r="V105" s="954"/>
      <c r="W105" s="956"/>
      <c r="X105" s="956"/>
      <c r="Y105" s="956"/>
      <c r="Z105" s="956"/>
      <c r="AA105" s="956"/>
      <c r="AB105" s="956"/>
      <c r="AC105" s="956"/>
      <c r="AD105" s="956"/>
      <c r="AE105" s="956"/>
      <c r="AF105" s="956"/>
      <c r="AG105" s="956"/>
      <c r="AH105" s="956"/>
      <c r="AI105" s="957"/>
    </row>
    <row r="106" spans="2:35" ht="23.1" customHeight="1" thickBot="1">
      <c r="B106" s="620"/>
      <c r="C106" s="598"/>
      <c r="D106" s="598"/>
      <c r="E106" s="948"/>
      <c r="F106" s="948"/>
      <c r="G106" s="948"/>
      <c r="H106" s="1615" t="s">
        <v>1017</v>
      </c>
      <c r="I106" s="1616"/>
      <c r="J106" s="1617"/>
      <c r="K106" s="971">
        <f t="shared" ref="K106:P106" si="6">K105+K75</f>
        <v>14060000</v>
      </c>
      <c r="L106" s="971">
        <f t="shared" si="6"/>
        <v>3516582.05</v>
      </c>
      <c r="M106" s="971">
        <f t="shared" si="6"/>
        <v>0</v>
      </c>
      <c r="N106" s="971">
        <f t="shared" si="6"/>
        <v>3515000</v>
      </c>
      <c r="O106" s="971">
        <f t="shared" si="6"/>
        <v>0</v>
      </c>
      <c r="P106" s="971">
        <f t="shared" si="6"/>
        <v>0</v>
      </c>
      <c r="Q106" s="974">
        <f t="shared" ref="Q106:S106" si="7">Q105+Q75</f>
        <v>1582.0499999998137</v>
      </c>
      <c r="R106" s="973">
        <f t="shared" si="7"/>
        <v>0</v>
      </c>
      <c r="S106" s="656">
        <f t="shared" si="7"/>
        <v>1582.05</v>
      </c>
      <c r="T106" s="608"/>
      <c r="V106" s="954"/>
      <c r="W106" s="956"/>
      <c r="X106" s="956"/>
      <c r="Y106" s="956"/>
      <c r="Z106" s="956"/>
      <c r="AA106" s="956"/>
      <c r="AB106" s="956"/>
      <c r="AC106" s="956"/>
      <c r="AD106" s="956"/>
      <c r="AE106" s="956"/>
      <c r="AF106" s="956"/>
      <c r="AG106" s="956"/>
      <c r="AH106" s="956"/>
      <c r="AI106" s="957"/>
    </row>
    <row r="107" spans="2:35" ht="23.1" customHeight="1">
      <c r="B107" s="620"/>
      <c r="C107" s="598"/>
      <c r="D107" s="598"/>
      <c r="E107" s="948"/>
      <c r="F107" s="948"/>
      <c r="G107" s="948"/>
      <c r="H107" s="976"/>
      <c r="I107" s="976"/>
      <c r="J107" s="976"/>
      <c r="K107" s="948"/>
      <c r="L107" s="948"/>
      <c r="M107" s="948"/>
      <c r="N107" s="948"/>
      <c r="O107" s="948"/>
      <c r="P107" s="948"/>
      <c r="Q107" s="948"/>
      <c r="R107" s="948"/>
      <c r="S107" s="948"/>
      <c r="T107" s="608"/>
      <c r="V107" s="954"/>
      <c r="W107" s="956"/>
      <c r="X107" s="956"/>
      <c r="Y107" s="956"/>
      <c r="Z107" s="956"/>
      <c r="AA107" s="956"/>
      <c r="AB107" s="956"/>
      <c r="AC107" s="956"/>
      <c r="AD107" s="956"/>
      <c r="AE107" s="956"/>
      <c r="AF107" s="956"/>
      <c r="AG107" s="956"/>
      <c r="AH107" s="956"/>
      <c r="AI107" s="957"/>
    </row>
    <row r="108" spans="2:35" ht="23.1" customHeight="1">
      <c r="B108" s="620"/>
      <c r="C108" s="959" t="s">
        <v>770</v>
      </c>
      <c r="D108" s="925"/>
      <c r="E108" s="618"/>
      <c r="F108" s="618"/>
      <c r="G108" s="618"/>
      <c r="H108" s="618"/>
      <c r="I108" s="618"/>
      <c r="J108" s="618"/>
      <c r="K108" s="618"/>
      <c r="L108" s="618"/>
      <c r="M108" s="618"/>
      <c r="N108" s="618"/>
      <c r="O108" s="618"/>
      <c r="P108" s="618"/>
      <c r="Q108" s="618"/>
      <c r="R108" s="618"/>
      <c r="S108" s="618"/>
      <c r="T108" s="608"/>
      <c r="V108" s="954"/>
      <c r="W108" s="956"/>
      <c r="X108" s="956"/>
      <c r="Y108" s="956"/>
      <c r="Z108" s="956"/>
      <c r="AA108" s="956"/>
      <c r="AB108" s="956"/>
      <c r="AC108" s="956"/>
      <c r="AD108" s="956"/>
      <c r="AE108" s="956"/>
      <c r="AF108" s="956"/>
      <c r="AG108" s="956"/>
      <c r="AH108" s="956"/>
      <c r="AI108" s="957"/>
    </row>
    <row r="109" spans="2:35" ht="23.1" customHeight="1">
      <c r="B109" s="620"/>
      <c r="C109" s="925"/>
      <c r="D109" s="925"/>
      <c r="E109" s="618"/>
      <c r="F109" s="618"/>
      <c r="G109" s="618"/>
      <c r="H109" s="618"/>
      <c r="I109" s="618"/>
      <c r="J109" s="618"/>
      <c r="K109" s="618"/>
      <c r="L109" s="618"/>
      <c r="M109" s="618"/>
      <c r="N109" s="618"/>
      <c r="O109" s="618"/>
      <c r="P109" s="618"/>
      <c r="Q109" s="618"/>
      <c r="R109" s="618"/>
      <c r="S109" s="618"/>
      <c r="T109" s="608"/>
      <c r="V109" s="954"/>
      <c r="W109" s="956"/>
      <c r="X109" s="956"/>
      <c r="Y109" s="956"/>
      <c r="Z109" s="956"/>
      <c r="AA109" s="956"/>
      <c r="AB109" s="956"/>
      <c r="AC109" s="956"/>
      <c r="AD109" s="956"/>
      <c r="AE109" s="956"/>
      <c r="AF109" s="956"/>
      <c r="AG109" s="956"/>
      <c r="AH109" s="956"/>
      <c r="AI109" s="957"/>
    </row>
    <row r="110" spans="2:35" ht="23.1" customHeight="1">
      <c r="B110" s="620"/>
      <c r="C110" s="925"/>
      <c r="D110" s="925"/>
      <c r="E110" s="618"/>
      <c r="F110" s="618"/>
      <c r="G110" s="618"/>
      <c r="H110" s="618"/>
      <c r="I110" s="618"/>
      <c r="J110" s="618"/>
      <c r="K110" s="618"/>
      <c r="L110" s="618"/>
      <c r="M110" s="618"/>
      <c r="N110" s="618"/>
      <c r="O110" s="618"/>
      <c r="P110" s="618"/>
      <c r="Q110" s="618"/>
      <c r="R110" s="618"/>
      <c r="S110" s="618"/>
      <c r="T110" s="608"/>
      <c r="V110" s="954"/>
      <c r="W110" s="956"/>
      <c r="X110" s="956"/>
      <c r="Y110" s="956"/>
      <c r="Z110" s="956"/>
      <c r="AA110" s="956"/>
      <c r="AB110" s="956"/>
      <c r="AC110" s="956"/>
      <c r="AD110" s="956"/>
      <c r="AE110" s="956"/>
      <c r="AF110" s="956"/>
      <c r="AG110" s="956"/>
      <c r="AH110" s="956"/>
      <c r="AI110" s="957"/>
    </row>
    <row r="111" spans="2:35" ht="38.1" customHeight="1">
      <c r="B111" s="620"/>
      <c r="C111" s="960" t="s">
        <v>460</v>
      </c>
      <c r="D111" s="961" t="s">
        <v>462</v>
      </c>
      <c r="E111" s="960" t="s">
        <v>616</v>
      </c>
      <c r="F111" s="960" t="s">
        <v>616</v>
      </c>
      <c r="G111" s="960" t="s">
        <v>464</v>
      </c>
      <c r="H111" s="960" t="s">
        <v>468</v>
      </c>
      <c r="I111" s="960" t="s">
        <v>470</v>
      </c>
      <c r="J111" s="960" t="s">
        <v>669</v>
      </c>
      <c r="K111" s="960" t="s">
        <v>466</v>
      </c>
      <c r="L111" s="960" t="s">
        <v>618</v>
      </c>
      <c r="M111" s="962" t="s">
        <v>629</v>
      </c>
      <c r="N111" s="960" t="s">
        <v>1009</v>
      </c>
      <c r="O111" s="960" t="s">
        <v>938</v>
      </c>
      <c r="P111" s="963" t="s">
        <v>939</v>
      </c>
      <c r="Q111" s="960" t="s">
        <v>618</v>
      </c>
      <c r="R111" s="1613" t="s">
        <v>940</v>
      </c>
      <c r="S111" s="1614"/>
      <c r="T111" s="608"/>
      <c r="V111" s="954"/>
      <c r="W111" s="956"/>
      <c r="X111" s="956"/>
      <c r="Y111" s="956"/>
      <c r="Z111" s="956"/>
      <c r="AA111" s="956"/>
      <c r="AB111" s="956"/>
      <c r="AC111" s="956"/>
      <c r="AD111" s="956"/>
      <c r="AE111" s="956"/>
      <c r="AF111" s="956"/>
      <c r="AG111" s="956"/>
      <c r="AH111" s="956"/>
      <c r="AI111" s="957"/>
    </row>
    <row r="112" spans="2:35" ht="23.1" customHeight="1">
      <c r="B112" s="620"/>
      <c r="C112" s="964" t="s">
        <v>461</v>
      </c>
      <c r="D112" s="965" t="s">
        <v>461</v>
      </c>
      <c r="E112" s="964" t="s">
        <v>463</v>
      </c>
      <c r="F112" s="964" t="s">
        <v>617</v>
      </c>
      <c r="G112" s="964" t="s">
        <v>769</v>
      </c>
      <c r="H112" s="964" t="s">
        <v>469</v>
      </c>
      <c r="I112" s="964" t="s">
        <v>654</v>
      </c>
      <c r="J112" s="964" t="s">
        <v>697</v>
      </c>
      <c r="K112" s="964" t="s">
        <v>937</v>
      </c>
      <c r="L112" s="964">
        <f>ejercicio-1</f>
        <v>2020</v>
      </c>
      <c r="M112" s="964">
        <f>ejercicio</f>
        <v>2021</v>
      </c>
      <c r="N112" s="964">
        <f>ejercicio</f>
        <v>2021</v>
      </c>
      <c r="O112" s="964">
        <f>ejercicio</f>
        <v>2021</v>
      </c>
      <c r="P112" s="964">
        <f>ejercicio</f>
        <v>2021</v>
      </c>
      <c r="Q112" s="964">
        <f>ejercicio</f>
        <v>2021</v>
      </c>
      <c r="R112" s="966" t="s">
        <v>619</v>
      </c>
      <c r="S112" s="967" t="s">
        <v>620</v>
      </c>
      <c r="T112" s="608"/>
      <c r="V112" s="954"/>
      <c r="W112" s="956"/>
      <c r="X112" s="956"/>
      <c r="Y112" s="956"/>
      <c r="Z112" s="956"/>
      <c r="AA112" s="956"/>
      <c r="AB112" s="956"/>
      <c r="AC112" s="956"/>
      <c r="AD112" s="956"/>
      <c r="AE112" s="956"/>
      <c r="AF112" s="956"/>
      <c r="AG112" s="956"/>
      <c r="AH112" s="956"/>
      <c r="AI112" s="957"/>
    </row>
    <row r="113" spans="2:35" ht="23.1" customHeight="1">
      <c r="B113" s="620"/>
      <c r="C113" s="507"/>
      <c r="D113" s="504"/>
      <c r="E113" s="561"/>
      <c r="F113" s="561"/>
      <c r="G113" s="507"/>
      <c r="H113" s="561"/>
      <c r="I113" s="561"/>
      <c r="J113" s="771"/>
      <c r="K113" s="569"/>
      <c r="L113" s="569"/>
      <c r="M113" s="772"/>
      <c r="N113" s="772"/>
      <c r="O113" s="772"/>
      <c r="P113" s="701"/>
      <c r="Q113" s="977">
        <f>L113+M113-N113</f>
        <v>0</v>
      </c>
      <c r="R113" s="831"/>
      <c r="S113" s="832"/>
      <c r="T113" s="608"/>
      <c r="V113" s="954"/>
      <c r="W113" s="956"/>
      <c r="X113" s="956"/>
      <c r="Y113" s="956"/>
      <c r="Z113" s="956"/>
      <c r="AA113" s="956"/>
      <c r="AB113" s="956"/>
      <c r="AC113" s="956"/>
      <c r="AD113" s="956"/>
      <c r="AE113" s="956"/>
      <c r="AF113" s="956"/>
      <c r="AG113" s="956"/>
      <c r="AH113" s="956"/>
      <c r="AI113" s="957"/>
    </row>
    <row r="114" spans="2:35" ht="23.1" customHeight="1">
      <c r="B114" s="620"/>
      <c r="C114" s="507"/>
      <c r="D114" s="504"/>
      <c r="E114" s="561"/>
      <c r="F114" s="561"/>
      <c r="G114" s="507"/>
      <c r="H114" s="561"/>
      <c r="I114" s="561"/>
      <c r="J114" s="561"/>
      <c r="K114" s="569"/>
      <c r="L114" s="569"/>
      <c r="M114" s="569"/>
      <c r="N114" s="569"/>
      <c r="O114" s="569"/>
      <c r="P114" s="701"/>
      <c r="Q114" s="968">
        <f t="shared" ref="Q114:Q137" si="8">L114+M114-N114</f>
        <v>0</v>
      </c>
      <c r="R114" s="833"/>
      <c r="S114" s="834"/>
      <c r="T114" s="608"/>
      <c r="V114" s="954"/>
      <c r="W114" s="956"/>
      <c r="X114" s="956"/>
      <c r="Y114" s="956"/>
      <c r="Z114" s="956"/>
      <c r="AA114" s="956"/>
      <c r="AB114" s="956"/>
      <c r="AC114" s="956"/>
      <c r="AD114" s="956"/>
      <c r="AE114" s="956"/>
      <c r="AF114" s="956"/>
      <c r="AG114" s="956"/>
      <c r="AH114" s="956"/>
      <c r="AI114" s="957"/>
    </row>
    <row r="115" spans="2:35" ht="23.1" customHeight="1">
      <c r="B115" s="620"/>
      <c r="C115" s="507"/>
      <c r="D115" s="504"/>
      <c r="E115" s="561" t="s">
        <v>605</v>
      </c>
      <c r="F115" s="561"/>
      <c r="G115" s="507"/>
      <c r="H115" s="561"/>
      <c r="I115" s="561"/>
      <c r="J115" s="561"/>
      <c r="K115" s="569"/>
      <c r="L115" s="569"/>
      <c r="M115" s="569"/>
      <c r="N115" s="569"/>
      <c r="O115" s="569"/>
      <c r="P115" s="701"/>
      <c r="Q115" s="968">
        <f t="shared" si="8"/>
        <v>0</v>
      </c>
      <c r="R115" s="833"/>
      <c r="S115" s="834"/>
      <c r="T115" s="608"/>
      <c r="V115" s="954"/>
      <c r="W115" s="956"/>
      <c r="X115" s="956"/>
      <c r="Y115" s="956"/>
      <c r="Z115" s="956"/>
      <c r="AA115" s="956"/>
      <c r="AB115" s="956"/>
      <c r="AC115" s="956"/>
      <c r="AD115" s="956"/>
      <c r="AE115" s="956"/>
      <c r="AF115" s="956"/>
      <c r="AG115" s="956"/>
      <c r="AH115" s="956"/>
      <c r="AI115" s="957"/>
    </row>
    <row r="116" spans="2:35" ht="23.1" customHeight="1">
      <c r="B116" s="620"/>
      <c r="C116" s="507"/>
      <c r="D116" s="504"/>
      <c r="E116" s="561"/>
      <c r="F116" s="561"/>
      <c r="G116" s="507"/>
      <c r="H116" s="561"/>
      <c r="I116" s="561"/>
      <c r="J116" s="561"/>
      <c r="K116" s="569"/>
      <c r="L116" s="569"/>
      <c r="M116" s="569"/>
      <c r="N116" s="569"/>
      <c r="O116" s="569"/>
      <c r="P116" s="701"/>
      <c r="Q116" s="968">
        <f t="shared" si="8"/>
        <v>0</v>
      </c>
      <c r="R116" s="833"/>
      <c r="S116" s="834"/>
      <c r="T116" s="608"/>
      <c r="V116" s="954"/>
      <c r="W116" s="956"/>
      <c r="X116" s="956"/>
      <c r="Y116" s="956"/>
      <c r="Z116" s="956"/>
      <c r="AA116" s="956"/>
      <c r="AB116" s="956"/>
      <c r="AC116" s="956"/>
      <c r="AD116" s="956"/>
      <c r="AE116" s="956"/>
      <c r="AF116" s="956"/>
      <c r="AG116" s="956"/>
      <c r="AH116" s="956"/>
      <c r="AI116" s="957"/>
    </row>
    <row r="117" spans="2:35" ht="23.1" customHeight="1">
      <c r="B117" s="620"/>
      <c r="C117" s="507"/>
      <c r="D117" s="504"/>
      <c r="E117" s="561"/>
      <c r="F117" s="561"/>
      <c r="G117" s="507"/>
      <c r="H117" s="561"/>
      <c r="I117" s="561"/>
      <c r="J117" s="561"/>
      <c r="K117" s="569"/>
      <c r="L117" s="569"/>
      <c r="M117" s="569"/>
      <c r="N117" s="569"/>
      <c r="O117" s="569"/>
      <c r="P117" s="701"/>
      <c r="Q117" s="968">
        <f t="shared" si="8"/>
        <v>0</v>
      </c>
      <c r="R117" s="833"/>
      <c r="S117" s="834"/>
      <c r="T117" s="608"/>
      <c r="V117" s="954"/>
      <c r="W117" s="956"/>
      <c r="X117" s="956"/>
      <c r="Y117" s="956"/>
      <c r="Z117" s="956"/>
      <c r="AA117" s="956"/>
      <c r="AB117" s="956"/>
      <c r="AC117" s="956"/>
      <c r="AD117" s="956"/>
      <c r="AE117" s="956"/>
      <c r="AF117" s="956"/>
      <c r="AG117" s="956"/>
      <c r="AH117" s="956"/>
      <c r="AI117" s="957"/>
    </row>
    <row r="118" spans="2:35" ht="23.1" customHeight="1">
      <c r="B118" s="620"/>
      <c r="C118" s="507"/>
      <c r="D118" s="504"/>
      <c r="E118" s="561"/>
      <c r="F118" s="561"/>
      <c r="G118" s="507"/>
      <c r="H118" s="561"/>
      <c r="I118" s="561"/>
      <c r="J118" s="561"/>
      <c r="K118" s="569"/>
      <c r="L118" s="569"/>
      <c r="M118" s="569"/>
      <c r="N118" s="569"/>
      <c r="O118" s="569"/>
      <c r="P118" s="701"/>
      <c r="Q118" s="968">
        <f t="shared" si="8"/>
        <v>0</v>
      </c>
      <c r="R118" s="833"/>
      <c r="S118" s="834"/>
      <c r="T118" s="608"/>
      <c r="V118" s="954"/>
      <c r="W118" s="956"/>
      <c r="X118" s="956"/>
      <c r="Y118" s="956"/>
      <c r="Z118" s="956"/>
      <c r="AA118" s="956"/>
      <c r="AB118" s="956"/>
      <c r="AC118" s="956"/>
      <c r="AD118" s="956"/>
      <c r="AE118" s="956"/>
      <c r="AF118" s="956"/>
      <c r="AG118" s="956"/>
      <c r="AH118" s="956"/>
      <c r="AI118" s="957"/>
    </row>
    <row r="119" spans="2:35" ht="23.1" customHeight="1">
      <c r="B119" s="620"/>
      <c r="C119" s="507"/>
      <c r="D119" s="504"/>
      <c r="E119" s="561"/>
      <c r="F119" s="561"/>
      <c r="G119" s="507"/>
      <c r="H119" s="561"/>
      <c r="I119" s="561"/>
      <c r="J119" s="561"/>
      <c r="K119" s="569"/>
      <c r="L119" s="569"/>
      <c r="M119" s="569"/>
      <c r="N119" s="569"/>
      <c r="O119" s="569"/>
      <c r="P119" s="701"/>
      <c r="Q119" s="968">
        <f t="shared" si="8"/>
        <v>0</v>
      </c>
      <c r="R119" s="833"/>
      <c r="S119" s="834"/>
      <c r="T119" s="608"/>
      <c r="V119" s="954"/>
      <c r="W119" s="956"/>
      <c r="X119" s="956"/>
      <c r="Y119" s="956"/>
      <c r="Z119" s="956"/>
      <c r="AA119" s="956"/>
      <c r="AB119" s="956"/>
      <c r="AC119" s="956"/>
      <c r="AD119" s="956"/>
      <c r="AE119" s="956"/>
      <c r="AF119" s="956"/>
      <c r="AG119" s="956"/>
      <c r="AH119" s="956"/>
      <c r="AI119" s="957"/>
    </row>
    <row r="120" spans="2:35" ht="23.1" customHeight="1">
      <c r="B120" s="620"/>
      <c r="C120" s="507"/>
      <c r="D120" s="504"/>
      <c r="E120" s="561"/>
      <c r="F120" s="561"/>
      <c r="G120" s="507"/>
      <c r="H120" s="561"/>
      <c r="I120" s="561"/>
      <c r="J120" s="561"/>
      <c r="K120" s="569"/>
      <c r="L120" s="569"/>
      <c r="M120" s="569"/>
      <c r="N120" s="569"/>
      <c r="O120" s="569"/>
      <c r="P120" s="701"/>
      <c r="Q120" s="968">
        <f t="shared" si="8"/>
        <v>0</v>
      </c>
      <c r="R120" s="833"/>
      <c r="S120" s="834"/>
      <c r="T120" s="608"/>
      <c r="V120" s="954"/>
      <c r="W120" s="956"/>
      <c r="X120" s="956"/>
      <c r="Y120" s="956"/>
      <c r="Z120" s="956"/>
      <c r="AA120" s="956"/>
      <c r="AB120" s="956"/>
      <c r="AC120" s="956"/>
      <c r="AD120" s="956"/>
      <c r="AE120" s="956"/>
      <c r="AF120" s="956"/>
      <c r="AG120" s="956"/>
      <c r="AH120" s="956"/>
      <c r="AI120" s="957"/>
    </row>
    <row r="121" spans="2:35" ht="23.1" customHeight="1">
      <c r="B121" s="620"/>
      <c r="C121" s="507"/>
      <c r="D121" s="504"/>
      <c r="E121" s="561"/>
      <c r="F121" s="561"/>
      <c r="G121" s="507"/>
      <c r="H121" s="561"/>
      <c r="I121" s="561"/>
      <c r="J121" s="561"/>
      <c r="K121" s="569"/>
      <c r="L121" s="569"/>
      <c r="M121" s="569"/>
      <c r="N121" s="569"/>
      <c r="O121" s="569"/>
      <c r="P121" s="701"/>
      <c r="Q121" s="968">
        <f t="shared" si="8"/>
        <v>0</v>
      </c>
      <c r="R121" s="833"/>
      <c r="S121" s="834"/>
      <c r="T121" s="608"/>
      <c r="V121" s="954"/>
      <c r="W121" s="956"/>
      <c r="X121" s="956"/>
      <c r="Y121" s="956"/>
      <c r="Z121" s="956"/>
      <c r="AA121" s="956"/>
      <c r="AB121" s="956"/>
      <c r="AC121" s="956"/>
      <c r="AD121" s="956"/>
      <c r="AE121" s="956"/>
      <c r="AF121" s="956"/>
      <c r="AG121" s="956"/>
      <c r="AH121" s="956"/>
      <c r="AI121" s="957"/>
    </row>
    <row r="122" spans="2:35" ht="23.1" customHeight="1">
      <c r="B122" s="620"/>
      <c r="C122" s="507"/>
      <c r="D122" s="504"/>
      <c r="E122" s="561"/>
      <c r="F122" s="561"/>
      <c r="G122" s="507"/>
      <c r="H122" s="561"/>
      <c r="I122" s="561"/>
      <c r="J122" s="561"/>
      <c r="K122" s="569"/>
      <c r="L122" s="569"/>
      <c r="M122" s="569"/>
      <c r="N122" s="569"/>
      <c r="O122" s="569"/>
      <c r="P122" s="701"/>
      <c r="Q122" s="968">
        <f t="shared" si="8"/>
        <v>0</v>
      </c>
      <c r="R122" s="833"/>
      <c r="S122" s="834"/>
      <c r="T122" s="608"/>
      <c r="V122" s="954"/>
      <c r="W122" s="956"/>
      <c r="X122" s="956"/>
      <c r="Y122" s="956"/>
      <c r="Z122" s="956"/>
      <c r="AA122" s="956"/>
      <c r="AB122" s="956"/>
      <c r="AC122" s="956"/>
      <c r="AD122" s="956"/>
      <c r="AE122" s="956"/>
      <c r="AF122" s="956"/>
      <c r="AG122" s="956"/>
      <c r="AH122" s="956"/>
      <c r="AI122" s="957"/>
    </row>
    <row r="123" spans="2:35" ht="23.1" customHeight="1">
      <c r="B123" s="620"/>
      <c r="C123" s="507"/>
      <c r="D123" s="504"/>
      <c r="E123" s="561"/>
      <c r="F123" s="561"/>
      <c r="G123" s="507"/>
      <c r="H123" s="561"/>
      <c r="I123" s="561"/>
      <c r="J123" s="561"/>
      <c r="K123" s="569"/>
      <c r="L123" s="569"/>
      <c r="M123" s="569"/>
      <c r="N123" s="569"/>
      <c r="O123" s="569"/>
      <c r="P123" s="701"/>
      <c r="Q123" s="968">
        <f t="shared" si="8"/>
        <v>0</v>
      </c>
      <c r="R123" s="833"/>
      <c r="S123" s="834"/>
      <c r="T123" s="608"/>
      <c r="V123" s="954"/>
      <c r="W123" s="956"/>
      <c r="X123" s="956"/>
      <c r="Y123" s="956"/>
      <c r="Z123" s="956"/>
      <c r="AA123" s="956"/>
      <c r="AB123" s="956"/>
      <c r="AC123" s="956"/>
      <c r="AD123" s="956"/>
      <c r="AE123" s="956"/>
      <c r="AF123" s="956"/>
      <c r="AG123" s="956"/>
      <c r="AH123" s="956"/>
      <c r="AI123" s="957"/>
    </row>
    <row r="124" spans="2:35" ht="23.1" customHeight="1">
      <c r="B124" s="620"/>
      <c r="C124" s="507"/>
      <c r="D124" s="504"/>
      <c r="E124" s="561"/>
      <c r="F124" s="561"/>
      <c r="G124" s="507"/>
      <c r="H124" s="561"/>
      <c r="I124" s="561"/>
      <c r="J124" s="561"/>
      <c r="K124" s="569"/>
      <c r="L124" s="569"/>
      <c r="M124" s="569"/>
      <c r="N124" s="569"/>
      <c r="O124" s="569"/>
      <c r="P124" s="701"/>
      <c r="Q124" s="968">
        <f t="shared" si="8"/>
        <v>0</v>
      </c>
      <c r="R124" s="833"/>
      <c r="S124" s="834"/>
      <c r="T124" s="608"/>
      <c r="V124" s="954"/>
      <c r="W124" s="956"/>
      <c r="X124" s="956"/>
      <c r="Y124" s="956"/>
      <c r="Z124" s="956"/>
      <c r="AA124" s="956"/>
      <c r="AB124" s="956"/>
      <c r="AC124" s="956"/>
      <c r="AD124" s="956"/>
      <c r="AE124" s="956"/>
      <c r="AF124" s="956"/>
      <c r="AG124" s="956"/>
      <c r="AH124" s="956"/>
      <c r="AI124" s="957"/>
    </row>
    <row r="125" spans="2:35" ht="23.1" customHeight="1">
      <c r="B125" s="620"/>
      <c r="C125" s="507"/>
      <c r="D125" s="504"/>
      <c r="E125" s="561"/>
      <c r="F125" s="561"/>
      <c r="G125" s="507"/>
      <c r="H125" s="561"/>
      <c r="I125" s="561"/>
      <c r="J125" s="561"/>
      <c r="K125" s="569"/>
      <c r="L125" s="569"/>
      <c r="M125" s="569"/>
      <c r="N125" s="569"/>
      <c r="O125" s="569"/>
      <c r="P125" s="701"/>
      <c r="Q125" s="968">
        <f t="shared" si="8"/>
        <v>0</v>
      </c>
      <c r="R125" s="833"/>
      <c r="S125" s="834"/>
      <c r="T125" s="608"/>
      <c r="V125" s="954"/>
      <c r="W125" s="956"/>
      <c r="X125" s="956"/>
      <c r="Y125" s="956"/>
      <c r="Z125" s="956"/>
      <c r="AA125" s="956"/>
      <c r="AB125" s="956"/>
      <c r="AC125" s="956"/>
      <c r="AD125" s="956"/>
      <c r="AE125" s="956"/>
      <c r="AF125" s="956"/>
      <c r="AG125" s="956"/>
      <c r="AH125" s="956"/>
      <c r="AI125" s="957"/>
    </row>
    <row r="126" spans="2:35" ht="23.1" customHeight="1">
      <c r="B126" s="620"/>
      <c r="C126" s="507"/>
      <c r="D126" s="504"/>
      <c r="E126" s="561"/>
      <c r="F126" s="561"/>
      <c r="G126" s="507"/>
      <c r="H126" s="561"/>
      <c r="I126" s="561"/>
      <c r="J126" s="561"/>
      <c r="K126" s="569"/>
      <c r="L126" s="569"/>
      <c r="M126" s="569"/>
      <c r="N126" s="569"/>
      <c r="O126" s="569"/>
      <c r="P126" s="701"/>
      <c r="Q126" s="968">
        <f t="shared" si="8"/>
        <v>0</v>
      </c>
      <c r="R126" s="833"/>
      <c r="S126" s="834"/>
      <c r="T126" s="608"/>
      <c r="V126" s="954"/>
      <c r="W126" s="956"/>
      <c r="X126" s="956"/>
      <c r="Y126" s="956"/>
      <c r="Z126" s="956"/>
      <c r="AA126" s="956"/>
      <c r="AB126" s="956"/>
      <c r="AC126" s="956"/>
      <c r="AD126" s="956"/>
      <c r="AE126" s="956"/>
      <c r="AF126" s="956"/>
      <c r="AG126" s="956"/>
      <c r="AH126" s="956"/>
      <c r="AI126" s="957"/>
    </row>
    <row r="127" spans="2:35" ht="23.1" customHeight="1">
      <c r="B127" s="620"/>
      <c r="C127" s="507"/>
      <c r="D127" s="504"/>
      <c r="E127" s="561"/>
      <c r="F127" s="561"/>
      <c r="G127" s="507"/>
      <c r="H127" s="561"/>
      <c r="I127" s="561"/>
      <c r="J127" s="561"/>
      <c r="K127" s="569"/>
      <c r="L127" s="569"/>
      <c r="M127" s="569"/>
      <c r="N127" s="569"/>
      <c r="O127" s="569"/>
      <c r="P127" s="701"/>
      <c r="Q127" s="968">
        <f t="shared" si="8"/>
        <v>0</v>
      </c>
      <c r="R127" s="833"/>
      <c r="S127" s="834"/>
      <c r="T127" s="608"/>
      <c r="V127" s="954"/>
      <c r="W127" s="956"/>
      <c r="X127" s="956"/>
      <c r="Y127" s="956"/>
      <c r="Z127" s="956"/>
      <c r="AA127" s="956"/>
      <c r="AB127" s="956"/>
      <c r="AC127" s="956"/>
      <c r="AD127" s="956"/>
      <c r="AE127" s="956"/>
      <c r="AF127" s="956"/>
      <c r="AG127" s="956"/>
      <c r="AH127" s="956"/>
      <c r="AI127" s="957"/>
    </row>
    <row r="128" spans="2:35" ht="23.1" customHeight="1">
      <c r="B128" s="620"/>
      <c r="C128" s="507"/>
      <c r="D128" s="504"/>
      <c r="E128" s="561"/>
      <c r="F128" s="561"/>
      <c r="G128" s="507"/>
      <c r="H128" s="561"/>
      <c r="I128" s="561"/>
      <c r="J128" s="561"/>
      <c r="K128" s="569"/>
      <c r="L128" s="569"/>
      <c r="M128" s="569"/>
      <c r="N128" s="569"/>
      <c r="O128" s="569"/>
      <c r="P128" s="701"/>
      <c r="Q128" s="968">
        <f t="shared" si="8"/>
        <v>0</v>
      </c>
      <c r="R128" s="833"/>
      <c r="S128" s="834"/>
      <c r="T128" s="608"/>
      <c r="V128" s="954"/>
      <c r="W128" s="956"/>
      <c r="X128" s="956"/>
      <c r="Y128" s="956"/>
      <c r="Z128" s="956"/>
      <c r="AA128" s="956"/>
      <c r="AB128" s="956"/>
      <c r="AC128" s="956"/>
      <c r="AD128" s="956"/>
      <c r="AE128" s="956"/>
      <c r="AF128" s="956"/>
      <c r="AG128" s="956"/>
      <c r="AH128" s="956"/>
      <c r="AI128" s="957"/>
    </row>
    <row r="129" spans="2:35" ht="23.1" customHeight="1">
      <c r="B129" s="620"/>
      <c r="C129" s="507"/>
      <c r="D129" s="504"/>
      <c r="E129" s="561"/>
      <c r="F129" s="561"/>
      <c r="G129" s="507"/>
      <c r="H129" s="561"/>
      <c r="I129" s="561"/>
      <c r="J129" s="561"/>
      <c r="K129" s="569"/>
      <c r="L129" s="569"/>
      <c r="M129" s="569"/>
      <c r="N129" s="569"/>
      <c r="O129" s="569"/>
      <c r="P129" s="701"/>
      <c r="Q129" s="968">
        <f t="shared" si="8"/>
        <v>0</v>
      </c>
      <c r="R129" s="833"/>
      <c r="S129" s="834"/>
      <c r="T129" s="608"/>
      <c r="V129" s="954"/>
      <c r="W129" s="956"/>
      <c r="X129" s="956"/>
      <c r="Y129" s="956"/>
      <c r="Z129" s="956"/>
      <c r="AA129" s="956"/>
      <c r="AB129" s="956"/>
      <c r="AC129" s="956"/>
      <c r="AD129" s="956"/>
      <c r="AE129" s="956"/>
      <c r="AF129" s="956"/>
      <c r="AG129" s="956"/>
      <c r="AH129" s="956"/>
      <c r="AI129" s="957"/>
    </row>
    <row r="130" spans="2:35" ht="23.1" customHeight="1">
      <c r="B130" s="620"/>
      <c r="C130" s="507"/>
      <c r="D130" s="504"/>
      <c r="E130" s="561"/>
      <c r="F130" s="561"/>
      <c r="G130" s="507"/>
      <c r="H130" s="561"/>
      <c r="I130" s="561"/>
      <c r="J130" s="561"/>
      <c r="K130" s="569"/>
      <c r="L130" s="569"/>
      <c r="M130" s="569"/>
      <c r="N130" s="569"/>
      <c r="O130" s="569"/>
      <c r="P130" s="701"/>
      <c r="Q130" s="968">
        <f t="shared" si="8"/>
        <v>0</v>
      </c>
      <c r="R130" s="833"/>
      <c r="S130" s="834"/>
      <c r="T130" s="608"/>
      <c r="V130" s="954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7"/>
    </row>
    <row r="131" spans="2:35" ht="23.1" customHeight="1">
      <c r="B131" s="620"/>
      <c r="C131" s="507"/>
      <c r="D131" s="504"/>
      <c r="E131" s="561"/>
      <c r="F131" s="561"/>
      <c r="G131" s="507"/>
      <c r="H131" s="561"/>
      <c r="I131" s="561"/>
      <c r="J131" s="561"/>
      <c r="K131" s="569"/>
      <c r="L131" s="569"/>
      <c r="M131" s="569"/>
      <c r="N131" s="569"/>
      <c r="O131" s="569"/>
      <c r="P131" s="701"/>
      <c r="Q131" s="968">
        <f t="shared" si="8"/>
        <v>0</v>
      </c>
      <c r="R131" s="833"/>
      <c r="S131" s="834"/>
      <c r="T131" s="608"/>
      <c r="V131" s="954"/>
      <c r="W131" s="956"/>
      <c r="X131" s="956"/>
      <c r="Y131" s="956"/>
      <c r="Z131" s="956"/>
      <c r="AA131" s="956"/>
      <c r="AB131" s="956"/>
      <c r="AC131" s="956"/>
      <c r="AD131" s="956"/>
      <c r="AE131" s="956"/>
      <c r="AF131" s="956"/>
      <c r="AG131" s="956"/>
      <c r="AH131" s="956"/>
      <c r="AI131" s="957"/>
    </row>
    <row r="132" spans="2:35" ht="23.1" customHeight="1">
      <c r="B132" s="620"/>
      <c r="C132" s="507"/>
      <c r="D132" s="504"/>
      <c r="E132" s="561"/>
      <c r="F132" s="561"/>
      <c r="G132" s="507"/>
      <c r="H132" s="561"/>
      <c r="I132" s="561"/>
      <c r="J132" s="561"/>
      <c r="K132" s="569"/>
      <c r="L132" s="569"/>
      <c r="M132" s="569"/>
      <c r="N132" s="569"/>
      <c r="O132" s="569"/>
      <c r="P132" s="701"/>
      <c r="Q132" s="968">
        <f t="shared" si="8"/>
        <v>0</v>
      </c>
      <c r="R132" s="833"/>
      <c r="S132" s="834"/>
      <c r="T132" s="608"/>
      <c r="V132" s="954"/>
      <c r="W132" s="956"/>
      <c r="X132" s="956"/>
      <c r="Y132" s="956"/>
      <c r="Z132" s="956"/>
      <c r="AA132" s="956"/>
      <c r="AB132" s="956"/>
      <c r="AC132" s="956"/>
      <c r="AD132" s="956"/>
      <c r="AE132" s="956"/>
      <c r="AF132" s="956"/>
      <c r="AG132" s="956"/>
      <c r="AH132" s="956"/>
      <c r="AI132" s="957"/>
    </row>
    <row r="133" spans="2:35" ht="23.1" customHeight="1">
      <c r="B133" s="620"/>
      <c r="C133" s="507"/>
      <c r="D133" s="504"/>
      <c r="E133" s="561"/>
      <c r="F133" s="561"/>
      <c r="G133" s="507"/>
      <c r="H133" s="561"/>
      <c r="I133" s="561"/>
      <c r="J133" s="561"/>
      <c r="K133" s="569"/>
      <c r="L133" s="569"/>
      <c r="M133" s="569"/>
      <c r="N133" s="569"/>
      <c r="O133" s="569"/>
      <c r="P133" s="701"/>
      <c r="Q133" s="968">
        <f t="shared" si="8"/>
        <v>0</v>
      </c>
      <c r="R133" s="833"/>
      <c r="S133" s="834"/>
      <c r="T133" s="608"/>
      <c r="V133" s="954"/>
      <c r="W133" s="956"/>
      <c r="X133" s="956"/>
      <c r="Y133" s="956"/>
      <c r="Z133" s="956"/>
      <c r="AA133" s="956"/>
      <c r="AB133" s="956"/>
      <c r="AC133" s="956"/>
      <c r="AD133" s="956"/>
      <c r="AE133" s="956"/>
      <c r="AF133" s="956"/>
      <c r="AG133" s="956"/>
      <c r="AH133" s="956"/>
      <c r="AI133" s="957"/>
    </row>
    <row r="134" spans="2:35" ht="23.1" customHeight="1">
      <c r="B134" s="620"/>
      <c r="C134" s="507"/>
      <c r="D134" s="504"/>
      <c r="E134" s="561"/>
      <c r="F134" s="561"/>
      <c r="G134" s="507"/>
      <c r="H134" s="561"/>
      <c r="I134" s="561"/>
      <c r="J134" s="561"/>
      <c r="K134" s="569"/>
      <c r="L134" s="569"/>
      <c r="M134" s="569"/>
      <c r="N134" s="569"/>
      <c r="O134" s="569"/>
      <c r="P134" s="701"/>
      <c r="Q134" s="968">
        <f t="shared" si="8"/>
        <v>0</v>
      </c>
      <c r="R134" s="833"/>
      <c r="S134" s="834"/>
      <c r="T134" s="608"/>
      <c r="V134" s="954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7"/>
    </row>
    <row r="135" spans="2:35" ht="23.1" customHeight="1">
      <c r="B135" s="620"/>
      <c r="C135" s="507"/>
      <c r="D135" s="504"/>
      <c r="E135" s="561"/>
      <c r="F135" s="561"/>
      <c r="G135" s="507"/>
      <c r="H135" s="561"/>
      <c r="I135" s="561"/>
      <c r="J135" s="561"/>
      <c r="K135" s="569"/>
      <c r="L135" s="569"/>
      <c r="M135" s="569"/>
      <c r="N135" s="569"/>
      <c r="O135" s="569"/>
      <c r="P135" s="701"/>
      <c r="Q135" s="968">
        <f t="shared" si="8"/>
        <v>0</v>
      </c>
      <c r="R135" s="833"/>
      <c r="S135" s="834"/>
      <c r="T135" s="608"/>
      <c r="V135" s="954"/>
      <c r="W135" s="956"/>
      <c r="X135" s="956"/>
      <c r="Y135" s="956"/>
      <c r="Z135" s="956"/>
      <c r="AA135" s="956"/>
      <c r="AB135" s="956"/>
      <c r="AC135" s="956"/>
      <c r="AD135" s="956"/>
      <c r="AE135" s="956"/>
      <c r="AF135" s="956"/>
      <c r="AG135" s="956"/>
      <c r="AH135" s="956"/>
      <c r="AI135" s="957"/>
    </row>
    <row r="136" spans="2:35" ht="23.1" customHeight="1">
      <c r="B136" s="620"/>
      <c r="C136" s="507"/>
      <c r="D136" s="505"/>
      <c r="E136" s="562"/>
      <c r="F136" s="562"/>
      <c r="G136" s="508"/>
      <c r="H136" s="562"/>
      <c r="I136" s="562"/>
      <c r="J136" s="562"/>
      <c r="K136" s="570"/>
      <c r="L136" s="570"/>
      <c r="M136" s="570"/>
      <c r="N136" s="570"/>
      <c r="O136" s="570"/>
      <c r="P136" s="702"/>
      <c r="Q136" s="969">
        <f t="shared" si="8"/>
        <v>0</v>
      </c>
      <c r="R136" s="833"/>
      <c r="S136" s="834"/>
      <c r="T136" s="608"/>
      <c r="V136" s="954"/>
      <c r="W136" s="956"/>
      <c r="X136" s="956"/>
      <c r="Y136" s="956"/>
      <c r="Z136" s="956"/>
      <c r="AA136" s="956"/>
      <c r="AB136" s="956"/>
      <c r="AC136" s="956"/>
      <c r="AD136" s="956"/>
      <c r="AE136" s="956"/>
      <c r="AF136" s="956"/>
      <c r="AG136" s="956"/>
      <c r="AH136" s="956"/>
      <c r="AI136" s="957"/>
    </row>
    <row r="137" spans="2:35" ht="23.1" customHeight="1">
      <c r="B137" s="620"/>
      <c r="C137" s="509"/>
      <c r="D137" s="506"/>
      <c r="E137" s="563"/>
      <c r="F137" s="563"/>
      <c r="G137" s="509"/>
      <c r="H137" s="563"/>
      <c r="I137" s="563"/>
      <c r="J137" s="563"/>
      <c r="K137" s="571"/>
      <c r="L137" s="571"/>
      <c r="M137" s="571"/>
      <c r="N137" s="571"/>
      <c r="O137" s="571"/>
      <c r="P137" s="703"/>
      <c r="Q137" s="970">
        <f t="shared" si="8"/>
        <v>0</v>
      </c>
      <c r="R137" s="835"/>
      <c r="S137" s="836"/>
      <c r="T137" s="608"/>
      <c r="V137" s="954"/>
      <c r="W137" s="956"/>
      <c r="X137" s="956"/>
      <c r="Y137" s="956"/>
      <c r="Z137" s="956"/>
      <c r="AA137" s="956"/>
      <c r="AB137" s="956"/>
      <c r="AC137" s="956"/>
      <c r="AD137" s="956"/>
      <c r="AE137" s="956"/>
      <c r="AF137" s="956"/>
      <c r="AG137" s="956"/>
      <c r="AH137" s="956"/>
      <c r="AI137" s="957"/>
    </row>
    <row r="138" spans="2:35" ht="23.1" customHeight="1" thickBot="1">
      <c r="B138" s="620"/>
      <c r="C138" s="598"/>
      <c r="D138" s="598"/>
      <c r="E138" s="948"/>
      <c r="F138" s="948"/>
      <c r="G138" s="948"/>
      <c r="H138" s="1615" t="s">
        <v>467</v>
      </c>
      <c r="I138" s="1616"/>
      <c r="J138" s="1617"/>
      <c r="K138" s="971">
        <f>SUM(K113:K137)</f>
        <v>0</v>
      </c>
      <c r="L138" s="972">
        <f t="shared" ref="L138" si="9">SUM(L113:L137)</f>
        <v>0</v>
      </c>
      <c r="M138" s="973">
        <f>SUM(M113:M137)</f>
        <v>0</v>
      </c>
      <c r="N138" s="973">
        <f t="shared" ref="N138" si="10">SUM(N113:N137)</f>
        <v>0</v>
      </c>
      <c r="O138" s="971">
        <f>SUM(O113:O137)</f>
        <v>0</v>
      </c>
      <c r="P138" s="971">
        <f>SUM(P113:P137)</f>
        <v>0</v>
      </c>
      <c r="Q138" s="974">
        <f>SUM(Q113:Q137)</f>
        <v>0</v>
      </c>
      <c r="R138" s="973">
        <f>SUM(R113:R137)</f>
        <v>0</v>
      </c>
      <c r="S138" s="656">
        <f>SUM(S113:S137)</f>
        <v>0</v>
      </c>
      <c r="T138" s="608"/>
      <c r="V138" s="954"/>
      <c r="W138" s="956"/>
      <c r="X138" s="956"/>
      <c r="Y138" s="956"/>
      <c r="Z138" s="956"/>
      <c r="AA138" s="956"/>
      <c r="AB138" s="956"/>
      <c r="AC138" s="956"/>
      <c r="AD138" s="956"/>
      <c r="AE138" s="956"/>
      <c r="AF138" s="956"/>
      <c r="AG138" s="956"/>
      <c r="AH138" s="956"/>
      <c r="AI138" s="957"/>
    </row>
    <row r="139" spans="2:35" ht="23.1" customHeight="1">
      <c r="B139" s="620"/>
      <c r="C139" s="598"/>
      <c r="D139" s="598"/>
      <c r="E139" s="948"/>
      <c r="F139" s="948"/>
      <c r="G139" s="948"/>
      <c r="H139" s="976"/>
      <c r="I139" s="976"/>
      <c r="J139" s="976"/>
      <c r="K139" s="948"/>
      <c r="L139" s="948"/>
      <c r="M139" s="948"/>
      <c r="N139" s="948"/>
      <c r="O139" s="948"/>
      <c r="P139" s="948"/>
      <c r="Q139" s="948"/>
      <c r="R139" s="948"/>
      <c r="S139" s="948"/>
      <c r="T139" s="608"/>
      <c r="V139" s="954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956"/>
      <c r="AI139" s="957"/>
    </row>
    <row r="140" spans="2:35" ht="23.1" customHeight="1">
      <c r="B140" s="620"/>
      <c r="C140" s="598"/>
      <c r="D140" s="598"/>
      <c r="E140" s="948"/>
      <c r="F140" s="948"/>
      <c r="G140" s="948"/>
      <c r="H140" s="976"/>
      <c r="I140" s="976"/>
      <c r="J140" s="976"/>
      <c r="K140" s="948"/>
      <c r="L140" s="948"/>
      <c r="M140" s="948"/>
      <c r="N140" s="948"/>
      <c r="O140" s="948"/>
      <c r="P140" s="948"/>
      <c r="Q140" s="948"/>
      <c r="R140" s="948"/>
      <c r="S140" s="948"/>
      <c r="T140" s="608"/>
      <c r="V140" s="954"/>
      <c r="W140" s="956"/>
      <c r="X140" s="956"/>
      <c r="Y140" s="956"/>
      <c r="Z140" s="956"/>
      <c r="AA140" s="956"/>
      <c r="AB140" s="956"/>
      <c r="AC140" s="956"/>
      <c r="AD140" s="956"/>
      <c r="AE140" s="956"/>
      <c r="AF140" s="956"/>
      <c r="AG140" s="956"/>
      <c r="AH140" s="956"/>
      <c r="AI140" s="957"/>
    </row>
    <row r="141" spans="2:35" s="983" customFormat="1" ht="18" customHeight="1">
      <c r="B141" s="978"/>
      <c r="C141" s="751" t="s">
        <v>405</v>
      </c>
      <c r="D141" s="979"/>
      <c r="E141" s="980"/>
      <c r="F141" s="980"/>
      <c r="G141" s="980"/>
      <c r="H141" s="980"/>
      <c r="I141" s="980"/>
      <c r="J141" s="980"/>
      <c r="K141" s="980"/>
      <c r="L141" s="980"/>
      <c r="M141" s="980"/>
      <c r="N141" s="981"/>
      <c r="O141" s="981"/>
      <c r="P141" s="981"/>
      <c r="Q141" s="981"/>
      <c r="R141" s="981"/>
      <c r="S141" s="981"/>
      <c r="T141" s="982"/>
      <c r="V141" s="984"/>
      <c r="W141" s="985"/>
      <c r="X141" s="985"/>
      <c r="Y141" s="985"/>
      <c r="Z141" s="985"/>
      <c r="AA141" s="985"/>
      <c r="AB141" s="985"/>
      <c r="AC141" s="985"/>
      <c r="AD141" s="985"/>
      <c r="AE141" s="985"/>
      <c r="AF141" s="985"/>
      <c r="AG141" s="985"/>
      <c r="AH141" s="985"/>
      <c r="AI141" s="986"/>
    </row>
    <row r="142" spans="2:35" s="983" customFormat="1" ht="18" customHeight="1">
      <c r="B142" s="978"/>
      <c r="C142" s="979" t="s">
        <v>896</v>
      </c>
      <c r="D142" s="979"/>
      <c r="E142" s="980"/>
      <c r="F142" s="980"/>
      <c r="G142" s="980"/>
      <c r="H142" s="980"/>
      <c r="I142" s="980"/>
      <c r="J142" s="980"/>
      <c r="K142" s="980"/>
      <c r="L142" s="980"/>
      <c r="M142" s="980"/>
      <c r="N142" s="981"/>
      <c r="O142" s="981"/>
      <c r="P142" s="981"/>
      <c r="Q142" s="981"/>
      <c r="R142" s="981"/>
      <c r="S142" s="981"/>
      <c r="T142" s="982"/>
      <c r="V142" s="984"/>
      <c r="W142" s="985"/>
      <c r="X142" s="985"/>
      <c r="Y142" s="985"/>
      <c r="Z142" s="985"/>
      <c r="AA142" s="985"/>
      <c r="AB142" s="985"/>
      <c r="AC142" s="985"/>
      <c r="AD142" s="985"/>
      <c r="AE142" s="985"/>
      <c r="AF142" s="985"/>
      <c r="AG142" s="985"/>
      <c r="AH142" s="985"/>
      <c r="AI142" s="986"/>
    </row>
    <row r="143" spans="2:35" s="983" customFormat="1" ht="18" customHeight="1">
      <c r="B143" s="978"/>
      <c r="C143" s="979" t="s">
        <v>895</v>
      </c>
      <c r="D143" s="979"/>
      <c r="E143" s="980"/>
      <c r="F143" s="980"/>
      <c r="G143" s="980"/>
      <c r="H143" s="980"/>
      <c r="I143" s="980"/>
      <c r="J143" s="980"/>
      <c r="K143" s="980"/>
      <c r="L143" s="980"/>
      <c r="M143" s="980"/>
      <c r="N143" s="981"/>
      <c r="O143" s="981"/>
      <c r="P143" s="981"/>
      <c r="Q143" s="981"/>
      <c r="R143" s="981"/>
      <c r="S143" s="981"/>
      <c r="T143" s="982"/>
      <c r="V143" s="984"/>
      <c r="W143" s="985"/>
      <c r="X143" s="985"/>
      <c r="Y143" s="985"/>
      <c r="Z143" s="985"/>
      <c r="AA143" s="985"/>
      <c r="AB143" s="985"/>
      <c r="AC143" s="985"/>
      <c r="AD143" s="985"/>
      <c r="AE143" s="985"/>
      <c r="AF143" s="985"/>
      <c r="AG143" s="985"/>
      <c r="AH143" s="985"/>
      <c r="AI143" s="986"/>
    </row>
    <row r="144" spans="2:35" s="983" customFormat="1" ht="18" customHeight="1">
      <c r="B144" s="978"/>
      <c r="C144" s="979" t="s">
        <v>713</v>
      </c>
      <c r="D144" s="979"/>
      <c r="E144" s="980"/>
      <c r="F144" s="980"/>
      <c r="G144" s="980"/>
      <c r="H144" s="980"/>
      <c r="I144" s="980"/>
      <c r="J144" s="980"/>
      <c r="K144" s="980"/>
      <c r="L144" s="980"/>
      <c r="M144" s="980"/>
      <c r="N144" s="981"/>
      <c r="O144" s="981"/>
      <c r="P144" s="981"/>
      <c r="Q144" s="981"/>
      <c r="R144" s="981"/>
      <c r="S144" s="981"/>
      <c r="T144" s="982"/>
      <c r="V144" s="984"/>
      <c r="W144" s="985"/>
      <c r="X144" s="985"/>
      <c r="Y144" s="985"/>
      <c r="Z144" s="985"/>
      <c r="AA144" s="985"/>
      <c r="AB144" s="985"/>
      <c r="AC144" s="985"/>
      <c r="AD144" s="985"/>
      <c r="AE144" s="985"/>
      <c r="AF144" s="985"/>
      <c r="AG144" s="985"/>
      <c r="AH144" s="985"/>
      <c r="AI144" s="986"/>
    </row>
    <row r="145" spans="2:35" s="983" customFormat="1" ht="18" customHeight="1">
      <c r="B145" s="978"/>
      <c r="C145" s="987" t="s">
        <v>698</v>
      </c>
      <c r="D145" s="979"/>
      <c r="E145" s="980"/>
      <c r="F145" s="980"/>
      <c r="G145" s="980"/>
      <c r="H145" s="980"/>
      <c r="I145" s="980"/>
      <c r="J145" s="980"/>
      <c r="K145" s="980"/>
      <c r="L145" s="980"/>
      <c r="M145" s="980"/>
      <c r="N145" s="981"/>
      <c r="O145" s="981"/>
      <c r="P145" s="981"/>
      <c r="Q145" s="981"/>
      <c r="R145" s="981"/>
      <c r="S145" s="981"/>
      <c r="T145" s="982"/>
      <c r="V145" s="984"/>
      <c r="W145" s="985"/>
      <c r="X145" s="985"/>
      <c r="Y145" s="985"/>
      <c r="Z145" s="985"/>
      <c r="AA145" s="985"/>
      <c r="AB145" s="985"/>
      <c r="AC145" s="985"/>
      <c r="AD145" s="985"/>
      <c r="AE145" s="985"/>
      <c r="AF145" s="985"/>
      <c r="AG145" s="985"/>
      <c r="AH145" s="985"/>
      <c r="AI145" s="986"/>
    </row>
    <row r="146" spans="2:35" s="983" customFormat="1" ht="18" customHeight="1">
      <c r="B146" s="978"/>
      <c r="C146" s="987" t="s">
        <v>941</v>
      </c>
      <c r="D146" s="979"/>
      <c r="E146" s="980"/>
      <c r="F146" s="980"/>
      <c r="G146" s="980"/>
      <c r="H146" s="980"/>
      <c r="I146" s="980"/>
      <c r="J146" s="980"/>
      <c r="K146" s="980"/>
      <c r="L146" s="980"/>
      <c r="M146" s="980"/>
      <c r="N146" s="981"/>
      <c r="O146" s="981"/>
      <c r="P146" s="981"/>
      <c r="Q146" s="981"/>
      <c r="R146" s="981"/>
      <c r="S146" s="981"/>
      <c r="T146" s="982"/>
      <c r="V146" s="984"/>
      <c r="W146" s="985"/>
      <c r="X146" s="985"/>
      <c r="Y146" s="985"/>
      <c r="Z146" s="985"/>
      <c r="AA146" s="985"/>
      <c r="AB146" s="985"/>
      <c r="AC146" s="985"/>
      <c r="AD146" s="985"/>
      <c r="AE146" s="985"/>
      <c r="AF146" s="985"/>
      <c r="AG146" s="985"/>
      <c r="AH146" s="985"/>
      <c r="AI146" s="986"/>
    </row>
    <row r="147" spans="2:35" s="983" customFormat="1" ht="18" customHeight="1">
      <c r="B147" s="978"/>
      <c r="C147" s="983" t="s">
        <v>942</v>
      </c>
      <c r="D147" s="979"/>
      <c r="E147" s="980"/>
      <c r="F147" s="980"/>
      <c r="G147" s="980"/>
      <c r="H147" s="980"/>
      <c r="I147" s="980"/>
      <c r="J147" s="980"/>
      <c r="K147" s="980"/>
      <c r="L147" s="980"/>
      <c r="M147" s="980"/>
      <c r="N147" s="981"/>
      <c r="O147" s="981"/>
      <c r="P147" s="981"/>
      <c r="Q147" s="981"/>
      <c r="R147" s="981"/>
      <c r="S147" s="981"/>
      <c r="T147" s="982"/>
      <c r="V147" s="984"/>
      <c r="W147" s="985"/>
      <c r="X147" s="985"/>
      <c r="Y147" s="985"/>
      <c r="Z147" s="985"/>
      <c r="AA147" s="985"/>
      <c r="AB147" s="985"/>
      <c r="AC147" s="985"/>
      <c r="AD147" s="985"/>
      <c r="AE147" s="985"/>
      <c r="AF147" s="985"/>
      <c r="AG147" s="985"/>
      <c r="AH147" s="985"/>
      <c r="AI147" s="986"/>
    </row>
    <row r="148" spans="2:35" s="983" customFormat="1" ht="18" customHeight="1">
      <c r="B148" s="978"/>
      <c r="C148" s="988" t="s">
        <v>943</v>
      </c>
      <c r="D148" s="979"/>
      <c r="E148" s="989"/>
      <c r="F148" s="989"/>
      <c r="G148" s="989"/>
      <c r="H148" s="989"/>
      <c r="I148" s="989"/>
      <c r="J148" s="989"/>
      <c r="K148" s="989"/>
      <c r="L148" s="989"/>
      <c r="M148" s="989"/>
      <c r="N148" s="981"/>
      <c r="O148" s="981"/>
      <c r="P148" s="981"/>
      <c r="Q148" s="981"/>
      <c r="R148" s="981"/>
      <c r="S148" s="981"/>
      <c r="T148" s="982"/>
      <c r="V148" s="984"/>
      <c r="W148" s="985"/>
      <c r="X148" s="985"/>
      <c r="Y148" s="985"/>
      <c r="Z148" s="985"/>
      <c r="AA148" s="985"/>
      <c r="AB148" s="985"/>
      <c r="AC148" s="985"/>
      <c r="AD148" s="985"/>
      <c r="AE148" s="985"/>
      <c r="AF148" s="985"/>
      <c r="AG148" s="985"/>
      <c r="AH148" s="985"/>
      <c r="AI148" s="986"/>
    </row>
    <row r="149" spans="2:35" s="983" customFormat="1" ht="18" customHeight="1">
      <c r="B149" s="978"/>
      <c r="C149" s="988" t="s">
        <v>944</v>
      </c>
      <c r="D149" s="979"/>
      <c r="E149" s="989"/>
      <c r="F149" s="989"/>
      <c r="G149" s="989"/>
      <c r="H149" s="989"/>
      <c r="I149" s="989"/>
      <c r="J149" s="989"/>
      <c r="K149" s="989"/>
      <c r="L149" s="989"/>
      <c r="M149" s="989"/>
      <c r="N149" s="981"/>
      <c r="O149" s="981"/>
      <c r="P149" s="981"/>
      <c r="Q149" s="981"/>
      <c r="R149" s="981"/>
      <c r="S149" s="981"/>
      <c r="T149" s="982"/>
      <c r="V149" s="984"/>
      <c r="W149" s="985"/>
      <c r="X149" s="985"/>
      <c r="Y149" s="985"/>
      <c r="Z149" s="985"/>
      <c r="AA149" s="985"/>
      <c r="AB149" s="985"/>
      <c r="AC149" s="985"/>
      <c r="AD149" s="985"/>
      <c r="AE149" s="985"/>
      <c r="AF149" s="985"/>
      <c r="AG149" s="985"/>
      <c r="AH149" s="985"/>
      <c r="AI149" s="986"/>
    </row>
    <row r="150" spans="2:35" s="983" customFormat="1" ht="18" customHeight="1">
      <c r="B150" s="978"/>
      <c r="C150" s="988" t="s">
        <v>945</v>
      </c>
      <c r="D150" s="979"/>
      <c r="E150" s="989"/>
      <c r="F150" s="989"/>
      <c r="G150" s="989"/>
      <c r="H150" s="989"/>
      <c r="I150" s="989"/>
      <c r="J150" s="989"/>
      <c r="K150" s="989"/>
      <c r="L150" s="989"/>
      <c r="M150" s="989"/>
      <c r="N150" s="981"/>
      <c r="O150" s="981"/>
      <c r="P150" s="981"/>
      <c r="Q150" s="981"/>
      <c r="R150" s="981"/>
      <c r="S150" s="981"/>
      <c r="T150" s="982"/>
      <c r="V150" s="984"/>
      <c r="W150" s="985"/>
      <c r="X150" s="985"/>
      <c r="Y150" s="985"/>
      <c r="Z150" s="985"/>
      <c r="AA150" s="985"/>
      <c r="AB150" s="985"/>
      <c r="AC150" s="985"/>
      <c r="AD150" s="985"/>
      <c r="AE150" s="985"/>
      <c r="AF150" s="985"/>
      <c r="AG150" s="985"/>
      <c r="AH150" s="985"/>
      <c r="AI150" s="986"/>
    </row>
    <row r="151" spans="2:35" s="983" customFormat="1" ht="18" customHeight="1">
      <c r="B151" s="978"/>
      <c r="C151" s="988" t="s">
        <v>1020</v>
      </c>
      <c r="D151" s="979"/>
      <c r="E151" s="989"/>
      <c r="F151" s="989"/>
      <c r="G151" s="989"/>
      <c r="H151" s="989"/>
      <c r="I151" s="989"/>
      <c r="J151" s="989"/>
      <c r="K151" s="989"/>
      <c r="L151" s="989"/>
      <c r="M151" s="989"/>
      <c r="N151" s="981"/>
      <c r="O151" s="981"/>
      <c r="P151" s="981"/>
      <c r="Q151" s="981"/>
      <c r="R151" s="981"/>
      <c r="S151" s="981"/>
      <c r="T151" s="982"/>
      <c r="V151" s="984"/>
      <c r="W151" s="985"/>
      <c r="X151" s="985"/>
      <c r="Y151" s="985"/>
      <c r="Z151" s="985"/>
      <c r="AA151" s="985"/>
      <c r="AB151" s="985"/>
      <c r="AC151" s="985"/>
      <c r="AD151" s="985"/>
      <c r="AE151" s="985"/>
      <c r="AF151" s="985"/>
      <c r="AG151" s="985"/>
      <c r="AH151" s="985"/>
      <c r="AI151" s="986"/>
    </row>
    <row r="152" spans="2:35" ht="23.1" customHeight="1" thickBot="1">
      <c r="B152" s="679"/>
      <c r="C152" s="1498"/>
      <c r="D152" s="1498"/>
      <c r="E152" s="924"/>
      <c r="F152" s="924"/>
      <c r="G152" s="924"/>
      <c r="H152" s="924"/>
      <c r="I152" s="924"/>
      <c r="J152" s="924"/>
      <c r="K152" s="924"/>
      <c r="L152" s="924"/>
      <c r="M152" s="924"/>
      <c r="N152" s="924"/>
      <c r="O152" s="924"/>
      <c r="P152" s="924"/>
      <c r="Q152" s="924"/>
      <c r="R152" s="924"/>
      <c r="S152" s="924"/>
      <c r="T152" s="681"/>
      <c r="V152" s="990"/>
      <c r="W152" s="991"/>
      <c r="X152" s="991"/>
      <c r="Y152" s="991"/>
      <c r="Z152" s="991"/>
      <c r="AA152" s="991"/>
      <c r="AB152" s="991"/>
      <c r="AC152" s="991"/>
      <c r="AD152" s="991"/>
      <c r="AE152" s="991"/>
      <c r="AF152" s="991"/>
      <c r="AG152" s="991"/>
      <c r="AH152" s="991"/>
      <c r="AI152" s="992"/>
    </row>
    <row r="153" spans="2:35" ht="23.1" customHeight="1">
      <c r="C153" s="606"/>
      <c r="D153" s="606"/>
      <c r="E153" s="607"/>
      <c r="F153" s="607"/>
      <c r="G153" s="607"/>
      <c r="H153" s="607"/>
      <c r="I153" s="607"/>
      <c r="J153" s="607"/>
      <c r="K153" s="607"/>
      <c r="L153" s="607"/>
      <c r="M153" s="607"/>
      <c r="N153" s="607"/>
      <c r="O153" s="607"/>
      <c r="P153" s="607"/>
      <c r="Q153" s="607"/>
      <c r="R153" s="607"/>
      <c r="S153" s="607"/>
      <c r="U153" s="597" t="s">
        <v>885</v>
      </c>
    </row>
    <row r="154" spans="2:35" ht="12.75">
      <c r="C154" s="682" t="s">
        <v>70</v>
      </c>
      <c r="D154" s="606"/>
      <c r="E154" s="607"/>
      <c r="F154" s="607"/>
      <c r="G154" s="607"/>
      <c r="H154" s="607"/>
      <c r="I154" s="607"/>
      <c r="J154" s="607"/>
      <c r="K154" s="607"/>
      <c r="L154" s="607"/>
      <c r="M154" s="607"/>
      <c r="N154" s="607"/>
      <c r="O154" s="607"/>
      <c r="P154" s="607"/>
      <c r="Q154" s="607"/>
      <c r="R154" s="607"/>
      <c r="S154" s="993" t="s">
        <v>55</v>
      </c>
    </row>
    <row r="155" spans="2:35" ht="12.75">
      <c r="C155" s="684" t="s">
        <v>71</v>
      </c>
      <c r="D155" s="606"/>
      <c r="E155" s="607"/>
      <c r="F155" s="607"/>
      <c r="G155" s="607"/>
      <c r="H155" s="607"/>
      <c r="I155" s="607"/>
      <c r="J155" s="607"/>
      <c r="K155" s="607"/>
      <c r="L155" s="607"/>
      <c r="M155" s="607"/>
      <c r="N155" s="607"/>
      <c r="O155" s="607"/>
      <c r="P155" s="607"/>
      <c r="Q155" s="607"/>
      <c r="R155" s="607"/>
    </row>
    <row r="156" spans="2:35" ht="12.75">
      <c r="C156" s="684" t="s">
        <v>72</v>
      </c>
      <c r="D156" s="606"/>
      <c r="E156" s="607"/>
      <c r="F156" s="607"/>
      <c r="G156" s="607"/>
      <c r="H156" s="607"/>
      <c r="I156" s="607"/>
      <c r="J156" s="607"/>
      <c r="K156" s="607"/>
      <c r="L156" s="607"/>
      <c r="M156" s="607"/>
      <c r="N156" s="607"/>
      <c r="O156" s="607"/>
      <c r="P156" s="607"/>
      <c r="Q156" s="607"/>
      <c r="R156" s="607"/>
      <c r="S156" s="607"/>
    </row>
    <row r="157" spans="2:35" ht="12.75">
      <c r="C157" s="684" t="s">
        <v>73</v>
      </c>
      <c r="D157" s="606"/>
      <c r="E157" s="607"/>
      <c r="F157" s="607"/>
      <c r="G157" s="607"/>
      <c r="H157" s="607"/>
      <c r="I157" s="607"/>
      <c r="J157" s="607"/>
      <c r="K157" s="607"/>
      <c r="L157" s="607"/>
      <c r="M157" s="607"/>
      <c r="N157" s="607"/>
      <c r="O157" s="607"/>
      <c r="P157" s="607"/>
      <c r="Q157" s="607"/>
      <c r="R157" s="607"/>
      <c r="S157" s="607"/>
    </row>
    <row r="158" spans="2:35" ht="12.75">
      <c r="C158" s="684" t="s">
        <v>74</v>
      </c>
      <c r="D158" s="606"/>
      <c r="E158" s="607"/>
      <c r="F158" s="607"/>
      <c r="G158" s="607"/>
      <c r="H158" s="607"/>
      <c r="I158" s="607"/>
      <c r="J158" s="607"/>
      <c r="K158" s="607"/>
      <c r="L158" s="607"/>
      <c r="M158" s="607"/>
      <c r="N158" s="607"/>
      <c r="O158" s="607"/>
      <c r="P158" s="607"/>
      <c r="Q158" s="607"/>
      <c r="R158" s="607"/>
      <c r="S158" s="607"/>
    </row>
    <row r="159" spans="2:35" ht="23.1" customHeight="1">
      <c r="C159" s="606"/>
      <c r="D159" s="606"/>
      <c r="E159" s="607"/>
      <c r="F159" s="607"/>
      <c r="G159" s="607"/>
      <c r="H159" s="607"/>
      <c r="I159" s="607"/>
      <c r="J159" s="607"/>
      <c r="K159" s="607"/>
      <c r="L159" s="607"/>
      <c r="M159" s="607"/>
      <c r="N159" s="607"/>
      <c r="O159" s="607"/>
      <c r="P159" s="607"/>
      <c r="Q159" s="607"/>
      <c r="R159" s="607"/>
      <c r="S159" s="607"/>
    </row>
    <row r="160" spans="2:35" ht="23.1" customHeight="1">
      <c r="C160" s="606"/>
      <c r="D160" s="606"/>
      <c r="E160" s="607"/>
      <c r="F160" s="607"/>
      <c r="G160" s="607"/>
      <c r="H160" s="607"/>
      <c r="I160" s="607"/>
      <c r="J160" s="607"/>
      <c r="K160" s="607"/>
      <c r="L160" s="607"/>
      <c r="M160" s="607"/>
      <c r="N160" s="607"/>
      <c r="O160" s="607"/>
      <c r="P160" s="607"/>
      <c r="Q160" s="607"/>
      <c r="R160" s="607"/>
      <c r="S160" s="607"/>
    </row>
    <row r="161" spans="3:19" ht="23.1" customHeight="1">
      <c r="C161" s="606"/>
      <c r="D161" s="606"/>
      <c r="E161" s="607"/>
      <c r="F161" s="607"/>
      <c r="G161" s="607"/>
      <c r="H161" s="607"/>
      <c r="I161" s="607"/>
      <c r="J161" s="607"/>
      <c r="K161" s="607"/>
      <c r="L161" s="607"/>
      <c r="M161" s="607"/>
      <c r="N161" s="607"/>
      <c r="O161" s="607"/>
      <c r="P161" s="607"/>
      <c r="Q161" s="607"/>
      <c r="R161" s="607"/>
      <c r="S161" s="607"/>
    </row>
    <row r="162" spans="3:19" ht="23.1" customHeight="1">
      <c r="C162" s="606"/>
      <c r="D162" s="606"/>
      <c r="E162" s="607"/>
      <c r="F162" s="607"/>
      <c r="G162" s="607"/>
      <c r="H162" s="607"/>
      <c r="I162" s="607"/>
      <c r="J162" s="607"/>
      <c r="K162" s="607"/>
      <c r="L162" s="607"/>
      <c r="M162" s="607"/>
      <c r="N162" s="607"/>
      <c r="O162" s="607"/>
      <c r="P162" s="607"/>
      <c r="Q162" s="607"/>
      <c r="R162" s="607"/>
      <c r="S162" s="607"/>
    </row>
    <row r="163" spans="3:19" ht="23.1" customHeight="1">
      <c r="E163" s="607"/>
      <c r="F163" s="607"/>
      <c r="G163" s="607"/>
      <c r="H163" s="607"/>
      <c r="I163" s="607"/>
      <c r="J163" s="607"/>
      <c r="K163" s="607"/>
      <c r="L163" s="607"/>
      <c r="M163" s="607"/>
      <c r="N163" s="607"/>
      <c r="O163" s="607"/>
      <c r="P163" s="607"/>
      <c r="Q163" s="607"/>
      <c r="R163" s="607"/>
      <c r="S163" s="607"/>
    </row>
  </sheetData>
  <sheetProtection algorithmName="SHA-512" hashValue="u+HctkrOZaYqX27SDRnrkmL7oQRMuHLs09g1v3AsaPxF3XH958PlKRN4S0m7Y4yz7gXlSqHCx8M+hg93ztD2mQ==" saltValue="FuWbm3TeVTdwxbWOViOd/w==" spinCount="100000" sheet="1" insertRows="0"/>
  <mergeCells count="13">
    <mergeCell ref="S6:S7"/>
    <mergeCell ref="D9:S9"/>
    <mergeCell ref="C12:D12"/>
    <mergeCell ref="C152:D152"/>
    <mergeCell ref="R16:S16"/>
    <mergeCell ref="H43:J43"/>
    <mergeCell ref="R48:S48"/>
    <mergeCell ref="H106:J106"/>
    <mergeCell ref="R111:S111"/>
    <mergeCell ref="H138:J138"/>
    <mergeCell ref="H75:J75"/>
    <mergeCell ref="R78:S78"/>
    <mergeCell ref="H105:J10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2:Y71"/>
  <sheetViews>
    <sheetView zoomScale="85" zoomScaleNormal="85" zoomScalePageLayoutView="125" workbookViewId="0">
      <selection activeCell="D45" sqref="D45:D49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5546875" style="96" customWidth="1"/>
    <col min="4" max="4" width="14.44140625" style="96" customWidth="1"/>
    <col min="5" max="5" width="26.88671875" style="97" customWidth="1"/>
    <col min="6" max="9" width="13.44140625" style="97" customWidth="1"/>
    <col min="10" max="10" width="3.33203125" style="96" customWidth="1"/>
    <col min="11" max="16384" width="10.6640625" style="96"/>
  </cols>
  <sheetData>
    <row r="2" spans="1:25" ht="23.1" customHeight="1">
      <c r="D2" s="298" t="str">
        <f>_GENERAL!D2</f>
        <v>Área de Presidencia, Hacienda y Modernización</v>
      </c>
    </row>
    <row r="3" spans="1:25" ht="23.1" customHeight="1">
      <c r="D3" s="298" t="str">
        <f>_GENERAL!D3</f>
        <v>Dirección Insular de Hacienda</v>
      </c>
    </row>
    <row r="4" spans="1:25" ht="23.1" customHeight="1" thickBot="1">
      <c r="A4" s="96" t="s">
        <v>884</v>
      </c>
    </row>
    <row r="5" spans="1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393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5"/>
    </row>
    <row r="6" spans="1:25" ht="30" customHeight="1">
      <c r="B6" s="102"/>
      <c r="C6" s="66" t="s">
        <v>0</v>
      </c>
      <c r="D6" s="103"/>
      <c r="E6" s="104"/>
      <c r="F6" s="104"/>
      <c r="G6" s="104"/>
      <c r="H6" s="104"/>
      <c r="I6" s="1489">
        <f>ejercicio</f>
        <v>2021</v>
      </c>
      <c r="J6" s="105"/>
      <c r="L6" s="396"/>
      <c r="M6" s="397" t="s">
        <v>628</v>
      </c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9"/>
    </row>
    <row r="7" spans="1:25" ht="30" customHeight="1">
      <c r="B7" s="102"/>
      <c r="C7" s="66" t="s">
        <v>1</v>
      </c>
      <c r="D7" s="103"/>
      <c r="E7" s="104"/>
      <c r="F7" s="104"/>
      <c r="G7" s="104"/>
      <c r="H7" s="104"/>
      <c r="I7" s="1489"/>
      <c r="J7" s="105"/>
      <c r="L7" s="396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9"/>
    </row>
    <row r="8" spans="1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396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9"/>
    </row>
    <row r="9" spans="1:25" s="188" customFormat="1" ht="30" customHeight="1">
      <c r="B9" s="186"/>
      <c r="C9" s="55" t="s">
        <v>2</v>
      </c>
      <c r="D9" s="1505" t="str">
        <f>Entidad</f>
        <v>Spet, turismo de Tenerife s.a</v>
      </c>
      <c r="E9" s="1505"/>
      <c r="F9" s="1505"/>
      <c r="G9" s="1505"/>
      <c r="H9" s="1505"/>
      <c r="I9" s="1505"/>
      <c r="J9" s="187"/>
      <c r="L9" s="396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9"/>
    </row>
    <row r="10" spans="1:25" ht="6.9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396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9"/>
    </row>
    <row r="11" spans="1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396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9"/>
    </row>
    <row r="12" spans="1:25" s="114" customFormat="1" ht="30" customHeight="1">
      <c r="B12" s="110"/>
      <c r="C12" s="1576"/>
      <c r="D12" s="1576"/>
      <c r="E12" s="95"/>
      <c r="F12" s="95"/>
      <c r="G12" s="95"/>
      <c r="H12" s="95"/>
      <c r="I12" s="95"/>
      <c r="J12" s="113"/>
      <c r="L12" s="396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9"/>
    </row>
    <row r="13" spans="1:25" s="114" customFormat="1" ht="15.95" customHeight="1">
      <c r="B13" s="110"/>
      <c r="C13" s="220"/>
      <c r="D13" s="223"/>
      <c r="E13" s="224"/>
      <c r="F13" s="221" t="s">
        <v>444</v>
      </c>
      <c r="G13" s="1620" t="s">
        <v>449</v>
      </c>
      <c r="H13" s="1621"/>
      <c r="I13" s="1622"/>
      <c r="J13" s="113"/>
      <c r="L13" s="396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9"/>
    </row>
    <row r="14" spans="1:25" s="114" customFormat="1" ht="15.95" customHeight="1">
      <c r="B14" s="110"/>
      <c r="C14" s="222"/>
      <c r="D14" s="225"/>
      <c r="E14" s="226"/>
      <c r="F14" s="204" t="s">
        <v>445</v>
      </c>
      <c r="G14" s="221" t="s">
        <v>446</v>
      </c>
      <c r="H14" s="221" t="s">
        <v>447</v>
      </c>
      <c r="I14" s="221" t="s">
        <v>448</v>
      </c>
      <c r="J14" s="113"/>
      <c r="L14" s="396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9"/>
    </row>
    <row r="15" spans="1:25" s="188" customFormat="1" ht="15.95" customHeight="1">
      <c r="B15" s="186"/>
      <c r="C15" s="1623" t="s">
        <v>443</v>
      </c>
      <c r="D15" s="1624"/>
      <c r="E15" s="1625"/>
      <c r="F15" s="199">
        <f>ejercicio</f>
        <v>2021</v>
      </c>
      <c r="G15" s="199">
        <f>ejercicio+1</f>
        <v>2022</v>
      </c>
      <c r="H15" s="199">
        <f>ejercicio+1</f>
        <v>2022</v>
      </c>
      <c r="I15" s="199">
        <f>ejercicio+1</f>
        <v>2022</v>
      </c>
      <c r="J15" s="187"/>
      <c r="L15" s="396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9"/>
    </row>
    <row r="16" spans="1:25" s="188" customFormat="1" ht="8.1" customHeight="1">
      <c r="B16" s="186"/>
      <c r="C16" s="66"/>
      <c r="D16" s="66"/>
      <c r="E16" s="185"/>
      <c r="F16" s="185"/>
      <c r="G16" s="185"/>
      <c r="H16" s="185"/>
      <c r="I16" s="185"/>
      <c r="J16" s="187"/>
      <c r="L16" s="396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9"/>
    </row>
    <row r="17" spans="1:25" s="119" customFormat="1" ht="23.1" customHeight="1" thickBot="1">
      <c r="A17" s="188"/>
      <c r="B17" s="186"/>
      <c r="C17" s="162" t="s">
        <v>1057</v>
      </c>
      <c r="D17" s="163"/>
      <c r="E17" s="229"/>
      <c r="F17" s="510"/>
      <c r="G17" s="511"/>
      <c r="H17" s="512"/>
      <c r="I17" s="549"/>
      <c r="J17" s="117"/>
      <c r="L17" s="396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9"/>
    </row>
    <row r="18" spans="1:25" s="119" customFormat="1" ht="9" customHeight="1">
      <c r="A18" s="188"/>
      <c r="B18" s="186"/>
      <c r="C18" s="31"/>
      <c r="D18" s="31"/>
      <c r="E18" s="31"/>
      <c r="F18" s="231"/>
      <c r="G18" s="232"/>
      <c r="H18" s="233"/>
      <c r="I18" s="234"/>
      <c r="J18" s="117"/>
      <c r="L18" s="396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9"/>
    </row>
    <row r="19" spans="1:25" s="119" customFormat="1" ht="23.1" customHeight="1" thickBot="1">
      <c r="A19" s="188"/>
      <c r="B19" s="186"/>
      <c r="C19" s="162" t="s">
        <v>1058</v>
      </c>
      <c r="D19" s="163"/>
      <c r="E19" s="229"/>
      <c r="F19" s="174">
        <f>SUM(F20:F27)</f>
        <v>0</v>
      </c>
      <c r="G19" s="227">
        <f t="shared" ref="G19:I19" si="0">SUM(G20:G27)</f>
        <v>0</v>
      </c>
      <c r="H19" s="228">
        <f t="shared" si="0"/>
        <v>0</v>
      </c>
      <c r="I19" s="235">
        <f t="shared" si="0"/>
        <v>0</v>
      </c>
      <c r="J19" s="117"/>
      <c r="L19" s="396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9"/>
    </row>
    <row r="20" spans="1:25" s="119" customFormat="1" ht="23.1" customHeight="1">
      <c r="B20" s="116"/>
      <c r="C20" s="181" t="s">
        <v>450</v>
      </c>
      <c r="D20" s="182"/>
      <c r="E20" s="184"/>
      <c r="F20" s="500"/>
      <c r="G20" s="513"/>
      <c r="H20" s="481"/>
      <c r="I20" s="550"/>
      <c r="J20" s="117"/>
      <c r="L20" s="396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9"/>
    </row>
    <row r="21" spans="1:25" s="119" customFormat="1" ht="23.1" customHeight="1">
      <c r="B21" s="116"/>
      <c r="C21" s="181" t="s">
        <v>451</v>
      </c>
      <c r="D21" s="182"/>
      <c r="E21" s="184"/>
      <c r="F21" s="500"/>
      <c r="G21" s="513"/>
      <c r="H21" s="481"/>
      <c r="I21" s="550"/>
      <c r="J21" s="117"/>
      <c r="L21" s="396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9"/>
    </row>
    <row r="22" spans="1:25" s="119" customFormat="1" ht="23.1" customHeight="1">
      <c r="B22" s="116"/>
      <c r="C22" s="181" t="s">
        <v>452</v>
      </c>
      <c r="D22" s="182"/>
      <c r="E22" s="184"/>
      <c r="F22" s="500"/>
      <c r="G22" s="513"/>
      <c r="H22" s="481"/>
      <c r="I22" s="550"/>
      <c r="J22" s="117"/>
      <c r="L22" s="396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9"/>
    </row>
    <row r="23" spans="1:25" ht="23.1" customHeight="1">
      <c r="B23" s="116"/>
      <c r="C23" s="1348" t="s">
        <v>1061</v>
      </c>
      <c r="D23" s="159"/>
      <c r="E23" s="177"/>
      <c r="F23" s="501"/>
      <c r="G23" s="514"/>
      <c r="H23" s="474"/>
      <c r="I23" s="551"/>
      <c r="J23" s="105"/>
      <c r="L23" s="396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9"/>
    </row>
    <row r="24" spans="1:25" ht="23.1" customHeight="1">
      <c r="B24" s="116"/>
      <c r="C24" s="1349" t="s">
        <v>1042</v>
      </c>
      <c r="D24" s="1344"/>
      <c r="E24" s="1345"/>
      <c r="F24" s="502"/>
      <c r="G24" s="1346"/>
      <c r="H24" s="483"/>
      <c r="I24" s="1347"/>
      <c r="J24" s="105"/>
      <c r="L24" s="396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9"/>
    </row>
    <row r="25" spans="1:25" ht="23.1" customHeight="1">
      <c r="B25" s="116"/>
      <c r="C25" s="1349" t="s">
        <v>1043</v>
      </c>
      <c r="D25" s="1344"/>
      <c r="E25" s="1345"/>
      <c r="F25" s="502"/>
      <c r="G25" s="1346"/>
      <c r="H25" s="483"/>
      <c r="I25" s="1347"/>
      <c r="J25" s="105"/>
      <c r="L25" s="396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9"/>
    </row>
    <row r="26" spans="1:25" ht="23.1" customHeight="1">
      <c r="B26" s="116"/>
      <c r="C26" s="1349" t="s">
        <v>1044</v>
      </c>
      <c r="D26" s="1344"/>
      <c r="E26" s="1345"/>
      <c r="F26" s="502"/>
      <c r="G26" s="1346"/>
      <c r="H26" s="483"/>
      <c r="I26" s="1347"/>
      <c r="J26" s="105"/>
      <c r="L26" s="396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9"/>
    </row>
    <row r="27" spans="1:25" ht="23.1" customHeight="1">
      <c r="B27" s="116"/>
      <c r="C27" s="1232" t="s">
        <v>1059</v>
      </c>
      <c r="D27" s="161"/>
      <c r="E27" s="178"/>
      <c r="F27" s="503"/>
      <c r="G27" s="515"/>
      <c r="H27" s="478"/>
      <c r="I27" s="552"/>
      <c r="J27" s="105"/>
      <c r="L27" s="396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9"/>
    </row>
    <row r="28" spans="1:25" ht="8.1" customHeight="1">
      <c r="B28" s="102"/>
      <c r="C28" s="1626"/>
      <c r="D28" s="1626"/>
      <c r="E28" s="1626"/>
      <c r="F28" s="1626"/>
      <c r="G28" s="1626"/>
      <c r="H28" s="1626"/>
      <c r="I28" s="1626"/>
      <c r="J28" s="105"/>
      <c r="L28" s="396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9"/>
    </row>
    <row r="29" spans="1:25" ht="18.95" customHeight="1" thickBot="1">
      <c r="B29" s="102"/>
      <c r="C29" s="663" t="s">
        <v>1045</v>
      </c>
      <c r="D29" s="664"/>
      <c r="E29" s="1350"/>
      <c r="F29" s="656">
        <f>F17+F19</f>
        <v>0</v>
      </c>
      <c r="G29" s="1351">
        <f t="shared" ref="G29:I29" si="1">G17+G19</f>
        <v>0</v>
      </c>
      <c r="H29" s="972">
        <f t="shared" si="1"/>
        <v>0</v>
      </c>
      <c r="I29" s="973">
        <f t="shared" si="1"/>
        <v>0</v>
      </c>
      <c r="J29" s="105"/>
      <c r="L29" s="396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9"/>
    </row>
    <row r="30" spans="1:25" ht="24" customHeight="1">
      <c r="B30" s="102"/>
      <c r="C30" s="1327"/>
      <c r="D30" s="1327"/>
      <c r="E30" s="1327"/>
      <c r="F30" s="1327"/>
      <c r="G30" s="1327"/>
      <c r="H30" s="1327"/>
      <c r="I30" s="1327"/>
      <c r="J30" s="105"/>
      <c r="L30" s="396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9"/>
    </row>
    <row r="31" spans="1:25" s="119" customFormat="1" ht="23.1" customHeight="1" thickBot="1">
      <c r="A31" s="188"/>
      <c r="B31" s="186"/>
      <c r="C31" s="162" t="s">
        <v>453</v>
      </c>
      <c r="D31" s="163"/>
      <c r="E31" s="229"/>
      <c r="F31" s="174">
        <f>+SUM(F32:F33)</f>
        <v>0</v>
      </c>
      <c r="G31" s="227">
        <f>SUM(G32:G33)</f>
        <v>0</v>
      </c>
      <c r="H31" s="228">
        <f>SUM(H32:H33)</f>
        <v>0</v>
      </c>
      <c r="I31" s="235">
        <f>SUM(I32:I33)</f>
        <v>0</v>
      </c>
      <c r="J31" s="117"/>
      <c r="L31" s="396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9"/>
    </row>
    <row r="32" spans="1:25" s="119" customFormat="1" ht="23.1" customHeight="1">
      <c r="B32" s="116"/>
      <c r="C32" s="181" t="s">
        <v>454</v>
      </c>
      <c r="D32" s="182"/>
      <c r="E32" s="184"/>
      <c r="F32" s="500"/>
      <c r="G32" s="553"/>
      <c r="H32" s="554"/>
      <c r="I32" s="550"/>
      <c r="J32" s="117"/>
      <c r="L32" s="396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9"/>
    </row>
    <row r="33" spans="2:25" ht="23.1" customHeight="1">
      <c r="B33" s="116"/>
      <c r="C33" s="160" t="s">
        <v>455</v>
      </c>
      <c r="D33" s="161"/>
      <c r="E33" s="178"/>
      <c r="F33" s="503"/>
      <c r="G33" s="555"/>
      <c r="H33" s="556"/>
      <c r="I33" s="557"/>
      <c r="J33" s="105"/>
      <c r="L33" s="396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9"/>
    </row>
    <row r="34" spans="2:25" ht="8.1" customHeight="1">
      <c r="B34" s="102"/>
      <c r="C34" s="1626"/>
      <c r="D34" s="1626"/>
      <c r="E34" s="1626"/>
      <c r="F34" s="1626"/>
      <c r="G34" s="1626"/>
      <c r="H34" s="1626"/>
      <c r="I34" s="1626"/>
      <c r="J34" s="105"/>
      <c r="L34" s="396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9"/>
    </row>
    <row r="35" spans="2:25" ht="23.1" customHeight="1" thickBot="1">
      <c r="B35" s="116"/>
      <c r="C35" s="162" t="s">
        <v>456</v>
      </c>
      <c r="D35" s="163"/>
      <c r="E35" s="229"/>
      <c r="F35" s="174">
        <f>SUM(F36:F37)</f>
        <v>0</v>
      </c>
      <c r="G35" s="227">
        <f>SUM(G36:G37)</f>
        <v>0</v>
      </c>
      <c r="H35" s="228">
        <f>SUM(H36:H37)</f>
        <v>0</v>
      </c>
      <c r="I35" s="235">
        <f>SUM(I36:I37)</f>
        <v>0</v>
      </c>
      <c r="J35" s="105"/>
      <c r="L35" s="396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9"/>
    </row>
    <row r="36" spans="2:25" ht="23.1" customHeight="1">
      <c r="B36" s="116"/>
      <c r="C36" s="181" t="s">
        <v>454</v>
      </c>
      <c r="D36" s="182"/>
      <c r="E36" s="184"/>
      <c r="F36" s="500"/>
      <c r="G36" s="558"/>
      <c r="H36" s="559"/>
      <c r="I36" s="560"/>
      <c r="J36" s="105"/>
      <c r="L36" s="396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9"/>
    </row>
    <row r="37" spans="2:25" ht="23.1" customHeight="1">
      <c r="B37" s="116"/>
      <c r="C37" s="160" t="s">
        <v>455</v>
      </c>
      <c r="D37" s="161"/>
      <c r="E37" s="178"/>
      <c r="F37" s="503"/>
      <c r="G37" s="555"/>
      <c r="H37" s="556"/>
      <c r="I37" s="557"/>
      <c r="J37" s="105"/>
      <c r="L37" s="396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9"/>
    </row>
    <row r="38" spans="2:25" ht="23.1" customHeight="1">
      <c r="B38" s="116"/>
      <c r="C38" s="215"/>
      <c r="D38" s="215"/>
      <c r="E38" s="216"/>
      <c r="F38" s="217"/>
      <c r="G38" s="216"/>
      <c r="H38" s="216"/>
      <c r="I38" s="218"/>
      <c r="J38" s="105"/>
      <c r="L38" s="396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9"/>
    </row>
    <row r="39" spans="2:25" ht="23.1" customHeight="1">
      <c r="B39" s="116"/>
      <c r="C39" s="215"/>
      <c r="D39" s="215"/>
      <c r="E39" s="216"/>
      <c r="F39" s="217"/>
      <c r="G39" s="216"/>
      <c r="H39" s="216"/>
      <c r="I39" s="218"/>
      <c r="J39" s="105"/>
      <c r="L39" s="396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9"/>
    </row>
    <row r="40" spans="2:25" ht="23.1" customHeight="1" thickBot="1">
      <c r="B40" s="116"/>
      <c r="C40" s="939" t="s">
        <v>1046</v>
      </c>
      <c r="D40" s="940"/>
      <c r="E40" s="1350"/>
      <c r="F40" s="656"/>
      <c r="G40" s="1351"/>
      <c r="H40" s="972"/>
      <c r="I40" s="973"/>
      <c r="J40" s="105"/>
      <c r="L40" s="396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9"/>
    </row>
    <row r="41" spans="2:25" ht="6" customHeight="1">
      <c r="B41" s="116"/>
      <c r="C41" s="215"/>
      <c r="D41" s="215"/>
      <c r="E41" s="216"/>
      <c r="F41" s="217"/>
      <c r="G41" s="216"/>
      <c r="H41" s="216"/>
      <c r="I41" s="218"/>
      <c r="J41" s="105"/>
      <c r="L41" s="396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9"/>
    </row>
    <row r="42" spans="2:25" ht="23.1" customHeight="1" thickBot="1">
      <c r="B42" s="116"/>
      <c r="C42" s="663" t="s">
        <v>1045</v>
      </c>
      <c r="D42" s="664"/>
      <c r="E42" s="1350"/>
      <c r="F42" s="656">
        <f>F29</f>
        <v>0</v>
      </c>
      <c r="G42" s="1351">
        <f t="shared" ref="G42:I42" si="2">G29</f>
        <v>0</v>
      </c>
      <c r="H42" s="972">
        <f t="shared" si="2"/>
        <v>0</v>
      </c>
      <c r="I42" s="973">
        <f t="shared" si="2"/>
        <v>0</v>
      </c>
      <c r="J42" s="105"/>
      <c r="L42" s="396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9"/>
    </row>
    <row r="43" spans="2:25" ht="8.1" customHeight="1">
      <c r="B43" s="116"/>
      <c r="C43" s="215"/>
      <c r="D43" s="215"/>
      <c r="E43" s="216"/>
      <c r="F43" s="217"/>
      <c r="G43" s="216"/>
      <c r="H43" s="216"/>
      <c r="I43" s="218"/>
      <c r="J43" s="105"/>
      <c r="L43" s="396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9"/>
    </row>
    <row r="44" spans="2:25" ht="23.1" customHeight="1" thickBot="1">
      <c r="B44" s="116"/>
      <c r="C44" s="1325" t="s">
        <v>1047</v>
      </c>
      <c r="D44" s="1326"/>
      <c r="E44" s="229"/>
      <c r="F44" s="174">
        <f>SUM(F45:F50)</f>
        <v>0</v>
      </c>
      <c r="G44" s="227">
        <f>SUM(G45:G50)</f>
        <v>0</v>
      </c>
      <c r="H44" s="228">
        <f>SUM(H45:H50)</f>
        <v>0</v>
      </c>
      <c r="I44" s="235">
        <f>SUM(I45:I50)</f>
        <v>0</v>
      </c>
      <c r="J44" s="105"/>
      <c r="L44" s="396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9"/>
    </row>
    <row r="45" spans="2:25" ht="23.1" customHeight="1">
      <c r="B45" s="116"/>
      <c r="C45" s="1230" t="s">
        <v>1048</v>
      </c>
      <c r="D45" s="182"/>
      <c r="E45" s="184"/>
      <c r="F45" s="500"/>
      <c r="G45" s="513"/>
      <c r="H45" s="481"/>
      <c r="I45" s="550"/>
      <c r="J45" s="105"/>
      <c r="L45" s="396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9"/>
    </row>
    <row r="46" spans="2:25" ht="23.1" customHeight="1">
      <c r="B46" s="116"/>
      <c r="C46" s="1230" t="s">
        <v>1049</v>
      </c>
      <c r="D46" s="182"/>
      <c r="E46" s="184"/>
      <c r="F46" s="500"/>
      <c r="G46" s="513"/>
      <c r="H46" s="481"/>
      <c r="I46" s="550"/>
      <c r="J46" s="105"/>
      <c r="L46" s="396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9"/>
    </row>
    <row r="47" spans="2:25" ht="23.1" customHeight="1">
      <c r="B47" s="116"/>
      <c r="C47" s="1230" t="s">
        <v>1050</v>
      </c>
      <c r="D47" s="182"/>
      <c r="E47" s="184"/>
      <c r="F47" s="500"/>
      <c r="G47" s="513"/>
      <c r="H47" s="481"/>
      <c r="I47" s="550"/>
      <c r="J47" s="105"/>
      <c r="L47" s="396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9"/>
    </row>
    <row r="48" spans="2:25" ht="23.1" customHeight="1">
      <c r="B48" s="116"/>
      <c r="C48" s="1348" t="s">
        <v>1051</v>
      </c>
      <c r="D48" s="159"/>
      <c r="E48" s="177"/>
      <c r="F48" s="501"/>
      <c r="G48" s="514"/>
      <c r="H48" s="474"/>
      <c r="I48" s="551"/>
      <c r="J48" s="105"/>
      <c r="L48" s="396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9"/>
    </row>
    <row r="49" spans="2:25" ht="23.1" customHeight="1">
      <c r="B49" s="116"/>
      <c r="C49" s="1349" t="s">
        <v>1052</v>
      </c>
      <c r="D49" s="1344"/>
      <c r="E49" s="1345"/>
      <c r="F49" s="502"/>
      <c r="G49" s="1346"/>
      <c r="H49" s="483"/>
      <c r="I49" s="1347"/>
      <c r="J49" s="105"/>
      <c r="L49" s="396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9"/>
    </row>
    <row r="50" spans="2:25" ht="23.1" customHeight="1">
      <c r="B50" s="116"/>
      <c r="C50" s="160" t="s">
        <v>1053</v>
      </c>
      <c r="D50" s="161"/>
      <c r="E50" s="178"/>
      <c r="F50" s="503"/>
      <c r="G50" s="515"/>
      <c r="H50" s="478"/>
      <c r="I50" s="552"/>
      <c r="J50" s="105"/>
      <c r="L50" s="396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9"/>
    </row>
    <row r="51" spans="2:25" ht="9" customHeight="1">
      <c r="B51" s="116"/>
      <c r="C51" s="215"/>
      <c r="D51" s="215"/>
      <c r="E51" s="216"/>
      <c r="F51" s="217"/>
      <c r="G51" s="216"/>
      <c r="H51" s="216"/>
      <c r="I51" s="218"/>
      <c r="J51" s="105"/>
      <c r="L51" s="396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9"/>
    </row>
    <row r="52" spans="2:25" ht="23.1" customHeight="1" thickBot="1">
      <c r="B52" s="116"/>
      <c r="C52" s="1325" t="s">
        <v>1054</v>
      </c>
      <c r="D52" s="1326"/>
      <c r="E52" s="229"/>
      <c r="F52" s="510"/>
      <c r="G52" s="511"/>
      <c r="H52" s="512"/>
      <c r="I52" s="549"/>
      <c r="J52" s="105"/>
      <c r="L52" s="396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9"/>
    </row>
    <row r="53" spans="2:25" ht="14.1" customHeight="1">
      <c r="B53" s="116"/>
      <c r="C53" s="764"/>
      <c r="D53" s="764"/>
      <c r="E53" s="216"/>
      <c r="F53" s="1352"/>
      <c r="G53" s="1352"/>
      <c r="H53" s="1352"/>
      <c r="I53" s="1352"/>
      <c r="J53" s="105"/>
      <c r="L53" s="396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9"/>
    </row>
    <row r="54" spans="2:25" ht="23.1" customHeight="1" thickBot="1">
      <c r="B54" s="116"/>
      <c r="C54" s="663" t="s">
        <v>1055</v>
      </c>
      <c r="D54" s="664"/>
      <c r="E54" s="1350"/>
      <c r="F54" s="656">
        <f>F42+F44+F52</f>
        <v>0</v>
      </c>
      <c r="G54" s="1351">
        <f t="shared" ref="G54:I54" si="3">G42+G44+G52</f>
        <v>0</v>
      </c>
      <c r="H54" s="972">
        <f t="shared" si="3"/>
        <v>0</v>
      </c>
      <c r="I54" s="973">
        <f t="shared" si="3"/>
        <v>0</v>
      </c>
      <c r="J54" s="105"/>
      <c r="L54" s="396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9"/>
    </row>
    <row r="55" spans="2:25" ht="23.1" customHeight="1">
      <c r="B55" s="116"/>
      <c r="C55" s="215"/>
      <c r="D55" s="215"/>
      <c r="E55" s="216"/>
      <c r="F55" s="217"/>
      <c r="G55" s="216"/>
      <c r="H55" s="216"/>
      <c r="I55" s="218"/>
      <c r="J55" s="105"/>
      <c r="L55" s="396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9"/>
    </row>
    <row r="56" spans="2:25" ht="23.1" customHeight="1">
      <c r="B56" s="116"/>
      <c r="C56" s="170" t="s">
        <v>405</v>
      </c>
      <c r="D56" s="168"/>
      <c r="E56" s="169"/>
      <c r="F56" s="169"/>
      <c r="G56" s="169"/>
      <c r="H56" s="169"/>
      <c r="I56" s="95"/>
      <c r="J56" s="105"/>
      <c r="L56" s="396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9"/>
    </row>
    <row r="57" spans="2:25" ht="39" customHeight="1">
      <c r="B57" s="116"/>
      <c r="C57" s="1627" t="s">
        <v>1062</v>
      </c>
      <c r="D57" s="1627"/>
      <c r="E57" s="1627"/>
      <c r="F57" s="1627"/>
      <c r="G57" s="1627"/>
      <c r="H57" s="1627"/>
      <c r="I57" s="1627"/>
      <c r="J57" s="105"/>
      <c r="L57" s="396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9"/>
    </row>
    <row r="58" spans="2:25" ht="18">
      <c r="B58" s="116"/>
      <c r="C58" s="1353" t="s">
        <v>1056</v>
      </c>
      <c r="D58" s="168"/>
      <c r="E58" s="169"/>
      <c r="F58" s="169"/>
      <c r="G58" s="169"/>
      <c r="H58" s="169"/>
      <c r="I58" s="95"/>
      <c r="J58" s="105"/>
      <c r="L58" s="396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9"/>
    </row>
    <row r="59" spans="2:25" ht="18">
      <c r="B59" s="116"/>
      <c r="C59" s="1353" t="s">
        <v>1060</v>
      </c>
      <c r="D59" s="168"/>
      <c r="E59" s="169"/>
      <c r="F59" s="169"/>
      <c r="G59" s="169"/>
      <c r="H59" s="169"/>
      <c r="I59" s="95"/>
      <c r="J59" s="105"/>
      <c r="L59" s="396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9"/>
    </row>
    <row r="60" spans="2:25" ht="23.1" customHeight="1" thickBot="1">
      <c r="B60" s="120"/>
      <c r="C60" s="1504"/>
      <c r="D60" s="1504"/>
      <c r="E60" s="1504"/>
      <c r="F60" s="1504"/>
      <c r="G60" s="56"/>
      <c r="H60" s="56"/>
      <c r="I60" s="121"/>
      <c r="J60" s="122"/>
      <c r="L60" s="412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4"/>
    </row>
    <row r="61" spans="2:25" ht="23.1" customHeight="1">
      <c r="C61" s="103"/>
      <c r="D61" s="103"/>
      <c r="E61" s="104"/>
      <c r="F61" s="104"/>
      <c r="G61" s="104"/>
      <c r="H61" s="104"/>
      <c r="I61" s="104"/>
      <c r="K61" s="96" t="s">
        <v>885</v>
      </c>
    </row>
    <row r="62" spans="2:25" ht="12.75">
      <c r="C62" s="123" t="s">
        <v>70</v>
      </c>
      <c r="D62" s="103"/>
      <c r="E62" s="104"/>
      <c r="F62" s="104"/>
      <c r="G62" s="104"/>
      <c r="H62" s="104"/>
      <c r="I62" s="94" t="s">
        <v>57</v>
      </c>
    </row>
    <row r="63" spans="2:25" ht="12.75">
      <c r="C63" s="124" t="s">
        <v>71</v>
      </c>
      <c r="D63" s="103"/>
      <c r="E63" s="104"/>
      <c r="F63" s="104"/>
      <c r="G63" s="104"/>
      <c r="H63" s="104"/>
      <c r="I63" s="104"/>
    </row>
    <row r="64" spans="2:25" ht="12.75">
      <c r="C64" s="124" t="s">
        <v>72</v>
      </c>
      <c r="D64" s="103"/>
      <c r="E64" s="104"/>
      <c r="F64" s="104"/>
      <c r="G64" s="104"/>
      <c r="H64" s="104"/>
      <c r="I64" s="104"/>
    </row>
    <row r="65" spans="3:9" ht="12.75">
      <c r="C65" s="124" t="s">
        <v>73</v>
      </c>
      <c r="D65" s="103"/>
      <c r="E65" s="104"/>
      <c r="F65" s="104"/>
      <c r="G65" s="104"/>
      <c r="H65" s="104"/>
      <c r="I65" s="104"/>
    </row>
    <row r="66" spans="3:9" ht="12.75">
      <c r="C66" s="124" t="s">
        <v>74</v>
      </c>
      <c r="D66" s="103"/>
      <c r="E66" s="104"/>
      <c r="F66" s="104"/>
      <c r="G66" s="104"/>
      <c r="H66" s="104"/>
      <c r="I66" s="104"/>
    </row>
    <row r="67" spans="3:9" ht="23.1" customHeight="1">
      <c r="C67" s="103"/>
      <c r="D67" s="103"/>
      <c r="E67" s="104"/>
      <c r="F67" s="104"/>
      <c r="G67" s="104"/>
      <c r="H67" s="104"/>
      <c r="I67" s="104"/>
    </row>
    <row r="68" spans="3:9" ht="23.1" customHeight="1">
      <c r="C68" s="1354"/>
      <c r="D68" s="103"/>
      <c r="E68" s="104"/>
      <c r="F68" s="104"/>
      <c r="G68" s="104"/>
      <c r="H68" s="104"/>
      <c r="I68" s="104"/>
    </row>
    <row r="69" spans="3:9" ht="23.1" customHeight="1">
      <c r="C69" s="103"/>
      <c r="D69" s="103"/>
      <c r="E69" s="104"/>
      <c r="F69" s="104"/>
      <c r="G69" s="104"/>
      <c r="H69" s="104"/>
      <c r="I69" s="104"/>
    </row>
    <row r="70" spans="3:9" ht="23.1" customHeight="1">
      <c r="C70" s="103"/>
      <c r="D70" s="103"/>
      <c r="E70" s="104"/>
      <c r="F70" s="104"/>
      <c r="G70" s="104"/>
      <c r="H70" s="104"/>
      <c r="I70" s="104"/>
    </row>
    <row r="71" spans="3:9" ht="23.1" customHeight="1">
      <c r="F71" s="104"/>
      <c r="G71" s="104"/>
      <c r="H71" s="104"/>
      <c r="I71" s="104"/>
    </row>
  </sheetData>
  <sheetProtection algorithmName="SHA-512" hashValue="GyTEfGNd+ehJMk88YSufbNAX+5ihLMVvb2JEhoZc2wXknK8GNcxaZgaUVOoIek28H5NlA9ycd9O2lxen0Os74w==" saltValue="8rdYlFpQANpenVSJMctkng==" spinCount="100000" sheet="1" objects="1" scenarios="1"/>
  <mergeCells count="9">
    <mergeCell ref="C60:F60"/>
    <mergeCell ref="G13:I13"/>
    <mergeCell ref="C15:E15"/>
    <mergeCell ref="C34:I34"/>
    <mergeCell ref="I6:I7"/>
    <mergeCell ref="D9:I9"/>
    <mergeCell ref="C12:D12"/>
    <mergeCell ref="C28:I28"/>
    <mergeCell ref="C57:I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2:AD56"/>
  <sheetViews>
    <sheetView topLeftCell="B1" zoomScale="85" zoomScaleNormal="85" zoomScalePageLayoutView="125" workbookViewId="0">
      <selection activeCell="F19" sqref="F19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5546875" style="96" customWidth="1"/>
    <col min="4" max="4" width="33.44140625" style="96" customWidth="1"/>
    <col min="5" max="14" width="13.44140625" style="97" customWidth="1"/>
    <col min="15" max="15" width="3.33203125" style="96" customWidth="1"/>
    <col min="16" max="16384" width="10.6640625" style="96"/>
  </cols>
  <sheetData>
    <row r="2" spans="1:30" ht="23.1" customHeight="1">
      <c r="D2" s="298" t="str">
        <f>_GENERAL!D2</f>
        <v>Área de Presidencia, Hacienda y Modernización</v>
      </c>
    </row>
    <row r="3" spans="1:30" ht="23.1" customHeight="1">
      <c r="D3" s="298" t="str">
        <f>_GENERAL!D3</f>
        <v>Dirección Insular de Hacienda</v>
      </c>
    </row>
    <row r="4" spans="1:30" ht="23.1" customHeight="1" thickBot="1">
      <c r="A4" s="96" t="s">
        <v>884</v>
      </c>
    </row>
    <row r="5" spans="1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18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20"/>
    </row>
    <row r="6" spans="1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489">
        <f>ejercicio</f>
        <v>2021</v>
      </c>
      <c r="O6" s="105"/>
      <c r="Q6" s="421"/>
      <c r="R6" s="422" t="s">
        <v>628</v>
      </c>
      <c r="S6" s="422"/>
      <c r="T6" s="422"/>
      <c r="U6" s="422"/>
      <c r="V6" s="423"/>
      <c r="W6" s="423"/>
      <c r="X6" s="423"/>
      <c r="Y6" s="423"/>
      <c r="Z6" s="423"/>
      <c r="AA6" s="423"/>
      <c r="AB6" s="423"/>
      <c r="AC6" s="423"/>
      <c r="AD6" s="424"/>
    </row>
    <row r="7" spans="1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489"/>
      <c r="O7" s="105"/>
      <c r="Q7" s="421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4"/>
    </row>
    <row r="8" spans="1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21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4"/>
    </row>
    <row r="9" spans="1:30" s="188" customFormat="1" ht="30" customHeight="1">
      <c r="B9" s="186"/>
      <c r="C9" s="55" t="s">
        <v>2</v>
      </c>
      <c r="D9" s="1505" t="str">
        <f>Entidad</f>
        <v>Spet, turismo de Tenerife s.a</v>
      </c>
      <c r="E9" s="1505"/>
      <c r="F9" s="1505"/>
      <c r="G9" s="1505"/>
      <c r="H9" s="1505"/>
      <c r="I9" s="1505"/>
      <c r="J9" s="1505"/>
      <c r="K9" s="1505"/>
      <c r="L9" s="1505"/>
      <c r="M9" s="1505"/>
      <c r="N9" s="1505"/>
      <c r="O9" s="187"/>
      <c r="Q9" s="421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4"/>
    </row>
    <row r="10" spans="1:30" ht="6.9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21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4"/>
    </row>
    <row r="11" spans="1:30" s="114" customFormat="1" ht="30" customHeight="1">
      <c r="B11" s="110"/>
      <c r="C11" s="111" t="s">
        <v>458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21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4"/>
    </row>
    <row r="12" spans="1:30" s="114" customFormat="1" ht="30" customHeight="1">
      <c r="B12" s="110"/>
      <c r="C12" s="1576"/>
      <c r="D12" s="1576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21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4"/>
    </row>
    <row r="13" spans="1:30" s="114" customFormat="1" ht="18.95" customHeight="1">
      <c r="B13" s="110"/>
      <c r="C13" s="220"/>
      <c r="D13" s="223"/>
      <c r="E13" s="1628" t="s">
        <v>457</v>
      </c>
      <c r="F13" s="1629"/>
      <c r="G13" s="1629"/>
      <c r="H13" s="1629"/>
      <c r="I13" s="1629"/>
      <c r="J13" s="1629"/>
      <c r="K13" s="1629"/>
      <c r="L13" s="1629"/>
      <c r="M13" s="1629"/>
      <c r="N13" s="1630"/>
      <c r="O13" s="113"/>
      <c r="Q13" s="421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4"/>
    </row>
    <row r="14" spans="1:30" s="188" customFormat="1" ht="18.95" customHeight="1">
      <c r="B14" s="186"/>
      <c r="C14" s="1623" t="s">
        <v>443</v>
      </c>
      <c r="D14" s="1624"/>
      <c r="E14" s="237">
        <f>ejercicio+1</f>
        <v>2022</v>
      </c>
      <c r="F14" s="238">
        <f>ejercicio+2</f>
        <v>2023</v>
      </c>
      <c r="G14" s="238">
        <f>ejercicio+3</f>
        <v>2024</v>
      </c>
      <c r="H14" s="238">
        <f>ejercicio+4</f>
        <v>2025</v>
      </c>
      <c r="I14" s="238">
        <f>ejercicio+5</f>
        <v>2026</v>
      </c>
      <c r="J14" s="238">
        <f>ejercicio+6</f>
        <v>2027</v>
      </c>
      <c r="K14" s="238">
        <f>ejercicio+7</f>
        <v>2028</v>
      </c>
      <c r="L14" s="238">
        <f>ejercicio+8</f>
        <v>2029</v>
      </c>
      <c r="M14" s="238">
        <f>ejercicio+9</f>
        <v>2030</v>
      </c>
      <c r="N14" s="239">
        <f>ejercicio+10</f>
        <v>2031</v>
      </c>
      <c r="O14" s="187"/>
      <c r="Q14" s="421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4"/>
    </row>
    <row r="15" spans="1:30" s="119" customFormat="1" ht="23.1" customHeight="1">
      <c r="B15" s="116"/>
      <c r="C15" s="181" t="s">
        <v>450</v>
      </c>
      <c r="D15" s="182"/>
      <c r="E15" s="469"/>
      <c r="F15" s="470"/>
      <c r="G15" s="470"/>
      <c r="H15" s="470"/>
      <c r="I15" s="470"/>
      <c r="J15" s="470"/>
      <c r="K15" s="470"/>
      <c r="L15" s="470"/>
      <c r="M15" s="470"/>
      <c r="N15" s="830"/>
      <c r="O15" s="117"/>
      <c r="Q15" s="421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4"/>
    </row>
    <row r="16" spans="1:30" s="119" customFormat="1" ht="23.1" customHeight="1">
      <c r="B16" s="116"/>
      <c r="C16" s="181" t="s">
        <v>451</v>
      </c>
      <c r="D16" s="182"/>
      <c r="E16" s="480"/>
      <c r="F16" s="481"/>
      <c r="G16" s="481"/>
      <c r="H16" s="481"/>
      <c r="I16" s="481"/>
      <c r="J16" s="481"/>
      <c r="K16" s="481"/>
      <c r="L16" s="481"/>
      <c r="M16" s="481"/>
      <c r="N16" s="550"/>
      <c r="O16" s="117"/>
      <c r="Q16" s="421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4"/>
    </row>
    <row r="17" spans="1:30" s="119" customFormat="1" ht="23.1" customHeight="1">
      <c r="B17" s="116"/>
      <c r="C17" s="181" t="s">
        <v>452</v>
      </c>
      <c r="D17" s="182"/>
      <c r="E17" s="480"/>
      <c r="F17" s="481"/>
      <c r="G17" s="481"/>
      <c r="H17" s="481"/>
      <c r="I17" s="481"/>
      <c r="J17" s="481"/>
      <c r="K17" s="481"/>
      <c r="L17" s="481"/>
      <c r="M17" s="481"/>
      <c r="N17" s="550"/>
      <c r="O17" s="117"/>
      <c r="Q17" s="421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4"/>
    </row>
    <row r="18" spans="1:30" ht="23.1" customHeight="1">
      <c r="B18" s="116"/>
      <c r="C18" s="1348" t="s">
        <v>1061</v>
      </c>
      <c r="D18" s="159"/>
      <c r="E18" s="473"/>
      <c r="F18" s="474"/>
      <c r="G18" s="474"/>
      <c r="H18" s="474"/>
      <c r="I18" s="474"/>
      <c r="J18" s="474"/>
      <c r="K18" s="474"/>
      <c r="L18" s="474"/>
      <c r="M18" s="474"/>
      <c r="N18" s="551"/>
      <c r="O18" s="105"/>
      <c r="Q18" s="421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4"/>
    </row>
    <row r="19" spans="1:30" ht="23.1" customHeight="1">
      <c r="B19" s="116"/>
      <c r="C19" s="1349" t="s">
        <v>1042</v>
      </c>
      <c r="D19" s="1344"/>
      <c r="E19" s="482"/>
      <c r="F19" s="483"/>
      <c r="G19" s="483"/>
      <c r="H19" s="483"/>
      <c r="I19" s="483"/>
      <c r="J19" s="483"/>
      <c r="K19" s="483"/>
      <c r="L19" s="483"/>
      <c r="M19" s="483"/>
      <c r="N19" s="1347"/>
      <c r="O19" s="105"/>
      <c r="Q19" s="421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4"/>
    </row>
    <row r="20" spans="1:30" ht="23.1" customHeight="1">
      <c r="B20" s="116"/>
      <c r="C20" s="1349" t="s">
        <v>1043</v>
      </c>
      <c r="D20" s="1344"/>
      <c r="E20" s="482"/>
      <c r="F20" s="483"/>
      <c r="G20" s="483"/>
      <c r="H20" s="483"/>
      <c r="I20" s="483"/>
      <c r="J20" s="483"/>
      <c r="K20" s="483"/>
      <c r="L20" s="483"/>
      <c r="M20" s="483"/>
      <c r="N20" s="1347"/>
      <c r="O20" s="105"/>
      <c r="Q20" s="421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4"/>
    </row>
    <row r="21" spans="1:30" ht="23.1" customHeight="1">
      <c r="B21" s="116"/>
      <c r="C21" s="1349" t="s">
        <v>1044</v>
      </c>
      <c r="D21" s="1344"/>
      <c r="E21" s="482"/>
      <c r="F21" s="483"/>
      <c r="G21" s="483"/>
      <c r="H21" s="483"/>
      <c r="I21" s="483"/>
      <c r="J21" s="483"/>
      <c r="K21" s="483"/>
      <c r="L21" s="483"/>
      <c r="M21" s="483"/>
      <c r="N21" s="1347"/>
      <c r="O21" s="105"/>
      <c r="Q21" s="421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4"/>
    </row>
    <row r="22" spans="1:30" ht="23.1" customHeight="1">
      <c r="B22" s="116"/>
      <c r="C22" s="1232" t="s">
        <v>1065</v>
      </c>
      <c r="D22" s="161"/>
      <c r="E22" s="477"/>
      <c r="F22" s="478"/>
      <c r="G22" s="478"/>
      <c r="H22" s="478"/>
      <c r="I22" s="478"/>
      <c r="J22" s="478"/>
      <c r="K22" s="478"/>
      <c r="L22" s="478"/>
      <c r="M22" s="478"/>
      <c r="N22" s="552"/>
      <c r="O22" s="105"/>
      <c r="Q22" s="421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4"/>
    </row>
    <row r="23" spans="1:30" s="119" customFormat="1" ht="23.1" customHeight="1" thickBot="1">
      <c r="A23" s="188"/>
      <c r="B23" s="186"/>
      <c r="C23" s="162" t="s">
        <v>459</v>
      </c>
      <c r="D23" s="163"/>
      <c r="E23" s="236">
        <f>SUM(E15:E22)</f>
        <v>0</v>
      </c>
      <c r="F23" s="228">
        <f t="shared" ref="F23:N23" si="0">SUM(F15:F22)</f>
        <v>0</v>
      </c>
      <c r="G23" s="228">
        <f t="shared" si="0"/>
        <v>0</v>
      </c>
      <c r="H23" s="228">
        <f t="shared" si="0"/>
        <v>0</v>
      </c>
      <c r="I23" s="228">
        <f t="shared" si="0"/>
        <v>0</v>
      </c>
      <c r="J23" s="228">
        <f t="shared" si="0"/>
        <v>0</v>
      </c>
      <c r="K23" s="228">
        <f t="shared" si="0"/>
        <v>0</v>
      </c>
      <c r="L23" s="228">
        <f t="shared" si="0"/>
        <v>0</v>
      </c>
      <c r="M23" s="228">
        <f t="shared" si="0"/>
        <v>0</v>
      </c>
      <c r="N23" s="235">
        <f t="shared" si="0"/>
        <v>0</v>
      </c>
      <c r="O23" s="117"/>
      <c r="Q23" s="421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4"/>
    </row>
    <row r="24" spans="1:30" s="119" customFormat="1" ht="23.1" customHeight="1">
      <c r="A24" s="188"/>
      <c r="B24" s="186"/>
      <c r="C24" s="764"/>
      <c r="D24" s="764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117"/>
      <c r="Q24" s="421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4"/>
    </row>
    <row r="25" spans="1:30" s="119" customFormat="1" ht="23.1" customHeight="1">
      <c r="A25" s="188"/>
      <c r="B25" s="186"/>
      <c r="C25" s="764"/>
      <c r="D25" s="764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117"/>
      <c r="Q25" s="421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4"/>
    </row>
    <row r="26" spans="1:30" s="119" customFormat="1" ht="23.1" customHeight="1" thickBot="1">
      <c r="A26" s="188"/>
      <c r="B26" s="186"/>
      <c r="C26" s="939" t="s">
        <v>1063</v>
      </c>
      <c r="D26" s="940"/>
      <c r="E26" s="1350"/>
      <c r="F26" s="656"/>
      <c r="G26" s="1351"/>
      <c r="H26" s="972"/>
      <c r="I26" s="216"/>
      <c r="J26" s="216"/>
      <c r="K26" s="216"/>
      <c r="L26" s="216"/>
      <c r="M26" s="216"/>
      <c r="N26" s="216"/>
      <c r="O26" s="117"/>
      <c r="Q26" s="421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4"/>
    </row>
    <row r="27" spans="1:30" s="119" customFormat="1" ht="15.95" customHeight="1">
      <c r="A27" s="188"/>
      <c r="B27" s="186"/>
      <c r="C27" s="764"/>
      <c r="D27" s="764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117"/>
      <c r="Q27" s="421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4"/>
    </row>
    <row r="28" spans="1:30" s="119" customFormat="1" ht="23.1" customHeight="1" thickBot="1">
      <c r="A28" s="188"/>
      <c r="B28" s="186"/>
      <c r="C28" s="663" t="s">
        <v>1045</v>
      </c>
      <c r="D28" s="664"/>
      <c r="E28" s="972">
        <f t="shared" ref="E28" si="1">E23</f>
        <v>0</v>
      </c>
      <c r="F28" s="972">
        <f t="shared" ref="F28:G28" si="2">F23</f>
        <v>0</v>
      </c>
      <c r="G28" s="972">
        <f t="shared" si="2"/>
        <v>0</v>
      </c>
      <c r="H28" s="972">
        <f t="shared" ref="H28" si="3">H23</f>
        <v>0</v>
      </c>
      <c r="I28" s="972">
        <f t="shared" ref="I28:M28" si="4">I23</f>
        <v>0</v>
      </c>
      <c r="J28" s="972">
        <f t="shared" si="4"/>
        <v>0</v>
      </c>
      <c r="K28" s="972">
        <f t="shared" si="4"/>
        <v>0</v>
      </c>
      <c r="L28" s="972">
        <f t="shared" si="4"/>
        <v>0</v>
      </c>
      <c r="M28" s="972">
        <f t="shared" si="4"/>
        <v>0</v>
      </c>
      <c r="N28" s="973">
        <f t="shared" ref="N28" si="5">N23</f>
        <v>0</v>
      </c>
      <c r="O28" s="117"/>
      <c r="Q28" s="421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4"/>
    </row>
    <row r="29" spans="1:30" s="119" customFormat="1" ht="5.0999999999999996" customHeight="1">
      <c r="A29" s="188"/>
      <c r="B29" s="186"/>
      <c r="C29" s="215"/>
      <c r="D29" s="215"/>
      <c r="E29" s="216"/>
      <c r="F29" s="216"/>
      <c r="G29" s="216"/>
      <c r="H29" s="216"/>
      <c r="I29" s="216"/>
      <c r="J29" s="216"/>
      <c r="K29" s="216"/>
      <c r="L29" s="216"/>
      <c r="M29" s="216"/>
      <c r="N29" s="218"/>
      <c r="O29" s="117"/>
      <c r="Q29" s="421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4"/>
    </row>
    <row r="30" spans="1:30" s="119" customFormat="1" ht="23.1" customHeight="1" thickBot="1">
      <c r="A30" s="188"/>
      <c r="B30" s="186"/>
      <c r="C30" s="1325" t="s">
        <v>1047</v>
      </c>
      <c r="D30" s="1326"/>
      <c r="E30" s="228">
        <f t="shared" ref="E30:G30" si="6">SUM(E31:E36)</f>
        <v>0</v>
      </c>
      <c r="F30" s="228">
        <f t="shared" si="6"/>
        <v>0</v>
      </c>
      <c r="G30" s="228">
        <f t="shared" si="6"/>
        <v>0</v>
      </c>
      <c r="H30" s="228">
        <f>SUM(H31:H36)</f>
        <v>0</v>
      </c>
      <c r="I30" s="228">
        <f t="shared" ref="I30:M30" si="7">SUM(I31:I36)</f>
        <v>0</v>
      </c>
      <c r="J30" s="228">
        <f t="shared" si="7"/>
        <v>0</v>
      </c>
      <c r="K30" s="228">
        <f t="shared" si="7"/>
        <v>0</v>
      </c>
      <c r="L30" s="228">
        <f t="shared" si="7"/>
        <v>0</v>
      </c>
      <c r="M30" s="228">
        <f t="shared" si="7"/>
        <v>0</v>
      </c>
      <c r="N30" s="235">
        <f>SUM(N31:N36)</f>
        <v>0</v>
      </c>
      <c r="O30" s="117"/>
      <c r="Q30" s="421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1:30" s="119" customFormat="1" ht="23.1" customHeight="1">
      <c r="A31" s="188"/>
      <c r="B31" s="186"/>
      <c r="C31" s="1230" t="s">
        <v>1048</v>
      </c>
      <c r="D31" s="182"/>
      <c r="E31" s="481"/>
      <c r="F31" s="481"/>
      <c r="G31" s="481"/>
      <c r="H31" s="481"/>
      <c r="I31" s="481"/>
      <c r="J31" s="481"/>
      <c r="K31" s="481"/>
      <c r="L31" s="481"/>
      <c r="M31" s="481"/>
      <c r="N31" s="550"/>
      <c r="O31" s="117"/>
      <c r="Q31" s="421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1:30" s="119" customFormat="1" ht="23.1" customHeight="1">
      <c r="A32" s="188"/>
      <c r="B32" s="186"/>
      <c r="C32" s="1230" t="s">
        <v>1049</v>
      </c>
      <c r="D32" s="182"/>
      <c r="E32" s="481"/>
      <c r="F32" s="481"/>
      <c r="G32" s="481"/>
      <c r="H32" s="481"/>
      <c r="I32" s="481"/>
      <c r="J32" s="481"/>
      <c r="K32" s="481"/>
      <c r="L32" s="481"/>
      <c r="M32" s="481"/>
      <c r="N32" s="550"/>
      <c r="O32" s="117"/>
      <c r="Q32" s="421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4"/>
    </row>
    <row r="33" spans="1:30" s="119" customFormat="1" ht="23.1" customHeight="1">
      <c r="A33" s="188"/>
      <c r="B33" s="186"/>
      <c r="C33" s="1230" t="s">
        <v>1050</v>
      </c>
      <c r="D33" s="182"/>
      <c r="E33" s="481"/>
      <c r="F33" s="481"/>
      <c r="G33" s="481"/>
      <c r="H33" s="481"/>
      <c r="I33" s="481"/>
      <c r="J33" s="481"/>
      <c r="K33" s="481"/>
      <c r="L33" s="481"/>
      <c r="M33" s="481"/>
      <c r="N33" s="550"/>
      <c r="O33" s="117"/>
      <c r="Q33" s="421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4"/>
    </row>
    <row r="34" spans="1:30" s="119" customFormat="1" ht="23.1" customHeight="1">
      <c r="A34" s="188"/>
      <c r="B34" s="186"/>
      <c r="C34" s="1348" t="s">
        <v>1051</v>
      </c>
      <c r="D34" s="159"/>
      <c r="E34" s="474"/>
      <c r="F34" s="474"/>
      <c r="G34" s="474"/>
      <c r="H34" s="474"/>
      <c r="I34" s="474"/>
      <c r="J34" s="474"/>
      <c r="K34" s="474"/>
      <c r="L34" s="474"/>
      <c r="M34" s="474"/>
      <c r="N34" s="551"/>
      <c r="O34" s="117"/>
      <c r="Q34" s="421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4"/>
    </row>
    <row r="35" spans="1:30" s="119" customFormat="1" ht="23.1" customHeight="1">
      <c r="A35" s="188"/>
      <c r="B35" s="186"/>
      <c r="C35" s="1349" t="s">
        <v>1052</v>
      </c>
      <c r="D35" s="1344"/>
      <c r="E35" s="483"/>
      <c r="F35" s="483"/>
      <c r="G35" s="483"/>
      <c r="H35" s="483"/>
      <c r="I35" s="483"/>
      <c r="J35" s="483"/>
      <c r="K35" s="483"/>
      <c r="L35" s="483"/>
      <c r="M35" s="483"/>
      <c r="N35" s="1347"/>
      <c r="O35" s="117"/>
      <c r="Q35" s="421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4"/>
    </row>
    <row r="36" spans="1:30" s="119" customFormat="1" ht="23.1" customHeight="1">
      <c r="A36" s="188"/>
      <c r="B36" s="186"/>
      <c r="C36" s="160" t="s">
        <v>1053</v>
      </c>
      <c r="D36" s="161"/>
      <c r="E36" s="478"/>
      <c r="F36" s="478"/>
      <c r="G36" s="478"/>
      <c r="H36" s="478"/>
      <c r="I36" s="478"/>
      <c r="J36" s="478"/>
      <c r="K36" s="478"/>
      <c r="L36" s="478"/>
      <c r="M36" s="478"/>
      <c r="N36" s="552"/>
      <c r="O36" s="117"/>
      <c r="Q36" s="421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4"/>
    </row>
    <row r="37" spans="1:30" s="119" customFormat="1" ht="5.0999999999999996" customHeight="1">
      <c r="A37" s="188"/>
      <c r="B37" s="186"/>
      <c r="C37" s="215"/>
      <c r="D37" s="215"/>
      <c r="E37" s="216"/>
      <c r="F37" s="216"/>
      <c r="G37" s="216"/>
      <c r="H37" s="216"/>
      <c r="I37" s="216"/>
      <c r="J37" s="216"/>
      <c r="K37" s="216"/>
      <c r="L37" s="216"/>
      <c r="M37" s="216"/>
      <c r="N37" s="218"/>
      <c r="O37" s="117"/>
      <c r="Q37" s="421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4"/>
    </row>
    <row r="38" spans="1:30" s="119" customFormat="1" ht="23.1" customHeight="1" thickBot="1">
      <c r="A38" s="188"/>
      <c r="B38" s="186"/>
      <c r="C38" s="1325" t="s">
        <v>1054</v>
      </c>
      <c r="D38" s="1326"/>
      <c r="E38" s="512"/>
      <c r="F38" s="512"/>
      <c r="G38" s="512"/>
      <c r="H38" s="512"/>
      <c r="I38" s="512"/>
      <c r="J38" s="512"/>
      <c r="K38" s="512"/>
      <c r="L38" s="512"/>
      <c r="M38" s="512"/>
      <c r="N38" s="549"/>
      <c r="O38" s="117"/>
      <c r="Q38" s="421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4"/>
    </row>
    <row r="39" spans="1:30" s="119" customFormat="1" ht="5.0999999999999996" customHeight="1">
      <c r="A39" s="188"/>
      <c r="B39" s="186"/>
      <c r="C39" s="764"/>
      <c r="D39" s="764"/>
      <c r="E39" s="1352"/>
      <c r="F39" s="1352"/>
      <c r="G39" s="1352"/>
      <c r="H39" s="1352"/>
      <c r="I39" s="1352"/>
      <c r="J39" s="1352"/>
      <c r="K39" s="1352"/>
      <c r="L39" s="1352"/>
      <c r="M39" s="1352"/>
      <c r="N39" s="1352"/>
      <c r="O39" s="117"/>
      <c r="Q39" s="421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4"/>
    </row>
    <row r="40" spans="1:30" s="119" customFormat="1" ht="23.1" customHeight="1" thickBot="1">
      <c r="A40" s="188"/>
      <c r="B40" s="186"/>
      <c r="C40" s="663" t="s">
        <v>1064</v>
      </c>
      <c r="D40" s="664"/>
      <c r="E40" s="972">
        <f t="shared" ref="E40" si="8">E28+E30+E38</f>
        <v>0</v>
      </c>
      <c r="F40" s="972">
        <f t="shared" ref="F40:G40" si="9">F28+F30+F38</f>
        <v>0</v>
      </c>
      <c r="G40" s="972">
        <f t="shared" si="9"/>
        <v>0</v>
      </c>
      <c r="H40" s="972">
        <f t="shared" ref="H40" si="10">H28+H30+H38</f>
        <v>0</v>
      </c>
      <c r="I40" s="972">
        <f t="shared" ref="I40:M40" si="11">I28+I30+I38</f>
        <v>0</v>
      </c>
      <c r="J40" s="972">
        <f t="shared" si="11"/>
        <v>0</v>
      </c>
      <c r="K40" s="972">
        <f t="shared" si="11"/>
        <v>0</v>
      </c>
      <c r="L40" s="972">
        <f t="shared" si="11"/>
        <v>0</v>
      </c>
      <c r="M40" s="972">
        <f t="shared" si="11"/>
        <v>0</v>
      </c>
      <c r="N40" s="973">
        <f t="shared" ref="N40" si="12">N28+N30+N38</f>
        <v>0</v>
      </c>
      <c r="O40" s="117"/>
      <c r="Q40" s="421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4"/>
    </row>
    <row r="41" spans="1:30" s="119" customFormat="1" ht="23.1" customHeight="1">
      <c r="A41" s="188"/>
      <c r="B41" s="186"/>
      <c r="C41" s="764"/>
      <c r="D41" s="764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117"/>
      <c r="Q41" s="421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4"/>
    </row>
    <row r="42" spans="1:30" ht="23.1" customHeight="1">
      <c r="B42" s="116"/>
      <c r="C42" s="170" t="s">
        <v>757</v>
      </c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95"/>
      <c r="O42" s="105"/>
      <c r="Q42" s="421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4"/>
    </row>
    <row r="43" spans="1:30" ht="27.95" customHeight="1">
      <c r="B43" s="116"/>
      <c r="C43" s="1627" t="s">
        <v>1062</v>
      </c>
      <c r="D43" s="1627"/>
      <c r="E43" s="1627"/>
      <c r="F43" s="1627"/>
      <c r="G43" s="1627"/>
      <c r="H43" s="1627"/>
      <c r="I43" s="1627"/>
      <c r="J43" s="1627"/>
      <c r="K43" s="1627"/>
      <c r="L43" s="1627"/>
      <c r="M43" s="1627"/>
      <c r="N43" s="1627"/>
      <c r="O43" s="105"/>
      <c r="Q43" s="421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4"/>
    </row>
    <row r="44" spans="1:30" ht="18.95" customHeight="1">
      <c r="B44" s="116"/>
      <c r="C44" s="1353" t="s">
        <v>1066</v>
      </c>
      <c r="D44" s="1355"/>
      <c r="E44" s="1355"/>
      <c r="F44" s="1355"/>
      <c r="G44" s="1355"/>
      <c r="H44" s="1355"/>
      <c r="I44" s="1355"/>
      <c r="J44" s="1355"/>
      <c r="K44" s="1355"/>
      <c r="L44" s="1355"/>
      <c r="M44" s="1355"/>
      <c r="N44" s="1355"/>
      <c r="O44" s="105"/>
      <c r="Q44" s="421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4"/>
    </row>
    <row r="45" spans="1:30" ht="23.1" customHeight="1" thickBot="1">
      <c r="B45" s="120"/>
      <c r="C45" s="1504"/>
      <c r="D45" s="1504"/>
      <c r="E45" s="56"/>
      <c r="F45" s="56"/>
      <c r="G45" s="56"/>
      <c r="H45" s="56"/>
      <c r="I45" s="56"/>
      <c r="J45" s="56"/>
      <c r="K45" s="56"/>
      <c r="L45" s="56"/>
      <c r="M45" s="56"/>
      <c r="N45" s="121"/>
      <c r="O45" s="122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1:30" ht="23.1" customHeight="1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P46" s="96" t="s">
        <v>885</v>
      </c>
    </row>
    <row r="47" spans="1:30" ht="12.75">
      <c r="C47" s="123" t="s">
        <v>70</v>
      </c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94" t="s">
        <v>59</v>
      </c>
    </row>
    <row r="48" spans="1:30" ht="12.75">
      <c r="C48" s="124" t="s">
        <v>71</v>
      </c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3:14" ht="12.75">
      <c r="C49" s="124" t="s">
        <v>72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3:14" ht="12.75">
      <c r="C50" s="124" t="s">
        <v>73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3:14" ht="12.75">
      <c r="C51" s="124" t="s">
        <v>74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3:14" ht="23.1" customHeight="1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3:14" ht="23.1" customHeight="1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3:14" ht="23.1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3:14" ht="23.1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3:14" ht="23.1" customHeight="1"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</sheetData>
  <sheetProtection algorithmName="SHA-512" hashValue="uznz01mj/7FoP1WxNmnrbqJCy1jgmd4BO/aloS6vbh3S2zNX27TkE+1d02Qfx00q3yoSaRwY0umf+ebTrZ9U9w==" saltValue="LlK8JjVj+Nv9yNAkEzEaMQ==" spinCount="100000" sheet="1" objects="1" scenarios="1"/>
  <mergeCells count="7">
    <mergeCell ref="C45:D45"/>
    <mergeCell ref="N6:N7"/>
    <mergeCell ref="D9:N9"/>
    <mergeCell ref="C12:D12"/>
    <mergeCell ref="E13:N13"/>
    <mergeCell ref="C14:D14"/>
    <mergeCell ref="C43:N4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2:Z76"/>
  <sheetViews>
    <sheetView topLeftCell="A32" zoomScale="85" zoomScaleNormal="85" workbookViewId="0">
      <selection activeCell="E42" sqref="E42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5.33203125" style="96" customWidth="1"/>
    <col min="4" max="4" width="18.88671875" style="96" customWidth="1"/>
    <col min="5" max="5" width="13.33203125" style="96" customWidth="1"/>
    <col min="6" max="10" width="18.6640625" style="97" customWidth="1"/>
    <col min="11" max="11" width="3.33203125" style="96" customWidth="1"/>
    <col min="12" max="16384" width="10.6640625" style="96"/>
  </cols>
  <sheetData>
    <row r="2" spans="1:26" ht="23.1" customHeight="1">
      <c r="E2" s="298" t="str">
        <f>_GENERAL!D2</f>
        <v>Área de Presidencia, Hacienda y Modernización</v>
      </c>
    </row>
    <row r="3" spans="1:26" ht="23.1" customHeight="1">
      <c r="E3" s="298" t="str">
        <f>_GENERAL!D3</f>
        <v>Dirección Insular de Hacienda</v>
      </c>
    </row>
    <row r="4" spans="1:26" ht="23.1" customHeight="1" thickBot="1">
      <c r="A4" s="96" t="s">
        <v>884</v>
      </c>
    </row>
    <row r="5" spans="1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18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20"/>
    </row>
    <row r="6" spans="1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489">
        <f>ejercicio</f>
        <v>2021</v>
      </c>
      <c r="K6" s="105"/>
      <c r="M6" s="421"/>
      <c r="N6" s="422" t="s">
        <v>628</v>
      </c>
      <c r="O6" s="422"/>
      <c r="P6" s="422"/>
      <c r="Q6" s="422"/>
      <c r="R6" s="423"/>
      <c r="S6" s="423"/>
      <c r="T6" s="423"/>
      <c r="U6" s="423"/>
      <c r="V6" s="423"/>
      <c r="W6" s="423"/>
      <c r="X6" s="423"/>
      <c r="Y6" s="423"/>
      <c r="Z6" s="424"/>
    </row>
    <row r="7" spans="1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489"/>
      <c r="K7" s="105"/>
      <c r="M7" s="421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4"/>
    </row>
    <row r="8" spans="1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21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4"/>
    </row>
    <row r="9" spans="1:26" s="188" customFormat="1" ht="30" customHeight="1">
      <c r="B9" s="186"/>
      <c r="C9" s="55" t="s">
        <v>2</v>
      </c>
      <c r="D9" s="255"/>
      <c r="E9" s="1505" t="str">
        <f>Entidad</f>
        <v>Spet, turismo de Tenerife s.a</v>
      </c>
      <c r="F9" s="1505"/>
      <c r="G9" s="1505"/>
      <c r="H9" s="1505"/>
      <c r="I9" s="1505"/>
      <c r="J9" s="1505"/>
      <c r="K9" s="105"/>
      <c r="M9" s="421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4"/>
    </row>
    <row r="10" spans="1:26" ht="6.9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21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4"/>
    </row>
    <row r="11" spans="1:26" s="114" customFormat="1" ht="30" customHeight="1">
      <c r="B11" s="110"/>
      <c r="C11" s="111" t="s">
        <v>471</v>
      </c>
      <c r="D11" s="111"/>
      <c r="E11" s="112"/>
      <c r="F11" s="112"/>
      <c r="G11" s="112"/>
      <c r="H11" s="112"/>
      <c r="I11" s="112"/>
      <c r="J11" s="112"/>
      <c r="K11" s="105"/>
      <c r="M11" s="421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4"/>
    </row>
    <row r="12" spans="1:26" s="114" customFormat="1" ht="30" customHeight="1">
      <c r="B12" s="110"/>
      <c r="C12" s="1576"/>
      <c r="D12" s="1576"/>
      <c r="E12" s="95"/>
      <c r="F12" s="95"/>
      <c r="G12" s="95"/>
      <c r="H12" s="95"/>
      <c r="I12" s="95"/>
      <c r="J12" s="254"/>
      <c r="K12" s="105"/>
      <c r="M12" s="421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4"/>
    </row>
    <row r="13" spans="1:26" ht="29.1" customHeight="1">
      <c r="B13" s="116"/>
      <c r="C13" s="65" t="s">
        <v>496</v>
      </c>
      <c r="D13" s="155"/>
      <c r="E13" s="95"/>
      <c r="F13" s="95"/>
      <c r="G13" s="95"/>
      <c r="H13" s="95"/>
      <c r="I13" s="95"/>
      <c r="J13" s="103"/>
      <c r="K13" s="105"/>
      <c r="M13" s="421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4"/>
    </row>
    <row r="14" spans="1:26" ht="24.95" customHeight="1">
      <c r="B14" s="116"/>
      <c r="C14" s="572" t="s">
        <v>505</v>
      </c>
      <c r="D14" s="573"/>
      <c r="E14" s="155"/>
      <c r="F14" s="95"/>
      <c r="G14" s="95"/>
      <c r="H14" s="95"/>
      <c r="I14" s="95"/>
      <c r="J14" s="95"/>
      <c r="K14" s="105"/>
      <c r="M14" s="421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4"/>
    </row>
    <row r="15" spans="1:26" ht="23.1" customHeight="1">
      <c r="B15" s="116"/>
      <c r="C15" s="516" t="s">
        <v>606</v>
      </c>
      <c r="D15" s="215" t="s">
        <v>472</v>
      </c>
      <c r="F15" s="95"/>
      <c r="G15" s="95"/>
      <c r="H15" s="95"/>
      <c r="I15" s="95"/>
      <c r="J15" s="95"/>
      <c r="K15" s="105"/>
      <c r="M15" s="421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4"/>
    </row>
    <row r="16" spans="1:26" ht="9" customHeight="1">
      <c r="B16" s="116"/>
      <c r="C16" s="154"/>
      <c r="D16" s="215"/>
      <c r="F16" s="95"/>
      <c r="G16" s="95"/>
      <c r="H16" s="95"/>
      <c r="I16" s="95"/>
      <c r="J16" s="95"/>
      <c r="K16" s="105"/>
      <c r="M16" s="421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4"/>
    </row>
    <row r="17" spans="2:26" ht="23.1" customHeight="1">
      <c r="B17" s="116"/>
      <c r="C17" s="516"/>
      <c r="D17" s="215" t="s">
        <v>473</v>
      </c>
      <c r="F17" s="95"/>
      <c r="G17" s="95"/>
      <c r="H17" s="95"/>
      <c r="I17" s="95"/>
      <c r="J17" s="95"/>
      <c r="K17" s="105"/>
      <c r="M17" s="421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4"/>
    </row>
    <row r="18" spans="2:26" ht="9.9499999999999993" customHeight="1">
      <c r="B18" s="116"/>
      <c r="C18" s="154"/>
      <c r="D18" s="215"/>
      <c r="F18" s="95"/>
      <c r="G18" s="95"/>
      <c r="H18" s="95"/>
      <c r="I18" s="95"/>
      <c r="J18" s="95"/>
      <c r="K18" s="105"/>
      <c r="M18" s="421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4"/>
    </row>
    <row r="19" spans="2:26" ht="23.1" customHeight="1">
      <c r="B19" s="116"/>
      <c r="C19" s="516"/>
      <c r="D19" s="215" t="s">
        <v>474</v>
      </c>
      <c r="F19" s="95"/>
      <c r="G19" s="95"/>
      <c r="H19" s="95"/>
      <c r="I19" s="95"/>
      <c r="J19" s="95"/>
      <c r="K19" s="105"/>
      <c r="M19" s="421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4"/>
    </row>
    <row r="20" spans="2:26" ht="9" customHeight="1">
      <c r="B20" s="116"/>
      <c r="C20" s="154"/>
      <c r="D20" s="215"/>
      <c r="F20" s="95"/>
      <c r="G20" s="95"/>
      <c r="H20" s="95"/>
      <c r="I20" s="95"/>
      <c r="J20" s="95"/>
      <c r="K20" s="105"/>
      <c r="M20" s="421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4"/>
    </row>
    <row r="21" spans="2:26" ht="23.1" customHeight="1">
      <c r="B21" s="116"/>
      <c r="C21" s="516"/>
      <c r="D21" s="215" t="s">
        <v>475</v>
      </c>
      <c r="F21" s="95"/>
      <c r="G21" s="95"/>
      <c r="H21" s="95"/>
      <c r="I21" s="95"/>
      <c r="J21" s="95"/>
      <c r="K21" s="105"/>
      <c r="M21" s="421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4"/>
    </row>
    <row r="22" spans="2:26" ht="9" customHeight="1">
      <c r="B22" s="116"/>
      <c r="C22" s="154"/>
      <c r="D22" s="215"/>
      <c r="F22" s="95"/>
      <c r="G22" s="95"/>
      <c r="H22" s="95"/>
      <c r="I22" s="95"/>
      <c r="J22" s="95"/>
      <c r="K22" s="105"/>
      <c r="M22" s="421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4"/>
    </row>
    <row r="23" spans="2:26" ht="23.1" customHeight="1">
      <c r="B23" s="116"/>
      <c r="C23" s="516"/>
      <c r="D23" s="215" t="s">
        <v>476</v>
      </c>
      <c r="F23" s="95"/>
      <c r="G23" s="95"/>
      <c r="H23" s="95"/>
      <c r="I23" s="95"/>
      <c r="J23" s="95"/>
      <c r="K23" s="105"/>
      <c r="M23" s="421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4"/>
    </row>
    <row r="24" spans="2:26" ht="23.1" customHeight="1">
      <c r="B24" s="116"/>
      <c r="C24" s="154"/>
      <c r="D24" s="215"/>
      <c r="F24" s="95"/>
      <c r="G24" s="95"/>
      <c r="H24" s="95"/>
      <c r="I24" s="95"/>
      <c r="J24" s="95"/>
      <c r="K24" s="105"/>
      <c r="M24" s="421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4"/>
    </row>
    <row r="25" spans="2:26" ht="23.1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21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4"/>
    </row>
    <row r="26" spans="2:26" ht="23.1" customHeight="1">
      <c r="B26" s="116"/>
      <c r="C26" s="65" t="s">
        <v>479</v>
      </c>
      <c r="E26" s="155"/>
      <c r="F26" s="95"/>
      <c r="G26" s="95"/>
      <c r="H26" s="95"/>
      <c r="I26" s="95"/>
      <c r="J26" s="95"/>
      <c r="K26" s="105"/>
      <c r="M26" s="421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4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21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4"/>
    </row>
    <row r="28" spans="2:26" ht="23.1" customHeight="1">
      <c r="B28" s="116"/>
      <c r="C28" s="189" t="str">
        <f>IF(VLOOKUP("X",C15:D23,2,FALSE)="#N/A",VLOOKUP("x",C15:D23,2,FALSE),VLOOKUP("X",C15:D23,2,FALSE))</f>
        <v xml:space="preserve">  Administracion General y Resto de sectores</v>
      </c>
      <c r="D28" s="190"/>
      <c r="E28" s="190"/>
      <c r="F28" s="190"/>
      <c r="G28" s="190"/>
      <c r="H28" s="264"/>
      <c r="I28" s="95"/>
      <c r="J28" s="95"/>
      <c r="K28" s="105"/>
      <c r="M28" s="421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4"/>
    </row>
    <row r="29" spans="2:26" ht="23.1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21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4"/>
    </row>
    <row r="30" spans="2:26" s="128" customFormat="1" ht="23.1" customHeight="1">
      <c r="B30" s="165"/>
      <c r="C30" s="189" t="s">
        <v>477</v>
      </c>
      <c r="D30" s="180"/>
      <c r="E30" s="206"/>
      <c r="F30" s="191">
        <f>E45</f>
        <v>52</v>
      </c>
      <c r="G30" s="95"/>
      <c r="H30" s="95"/>
      <c r="I30" s="95"/>
      <c r="J30" s="95"/>
      <c r="K30" s="127"/>
      <c r="M30" s="421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4"/>
    </row>
    <row r="31" spans="2:26" s="128" customFormat="1" ht="23.1" customHeight="1">
      <c r="B31" s="165"/>
      <c r="C31" s="270" t="s">
        <v>478</v>
      </c>
      <c r="D31" s="271"/>
      <c r="E31" s="272"/>
      <c r="F31" s="191">
        <f>J45+F53</f>
        <v>2390470.23</v>
      </c>
      <c r="G31" s="95"/>
      <c r="H31" s="95"/>
      <c r="I31" s="95"/>
      <c r="J31" s="95"/>
      <c r="K31" s="127"/>
      <c r="M31" s="421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4"/>
    </row>
    <row r="32" spans="2:26" ht="23.1" customHeight="1">
      <c r="B32" s="116"/>
      <c r="D32" s="215"/>
      <c r="E32" s="155"/>
      <c r="F32" s="216"/>
      <c r="G32" s="95"/>
      <c r="H32" s="95"/>
      <c r="I32" s="95"/>
      <c r="J32" s="95"/>
      <c r="K32" s="105"/>
      <c r="M32" s="421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4"/>
    </row>
    <row r="33" spans="2:26" ht="23.1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21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4"/>
    </row>
    <row r="34" spans="2:26" ht="23.1" customHeight="1">
      <c r="B34" s="116"/>
      <c r="C34" s="65" t="s">
        <v>480</v>
      </c>
      <c r="E34" s="155"/>
      <c r="F34" s="95"/>
      <c r="G34" s="95"/>
      <c r="H34" s="95"/>
      <c r="I34" s="95"/>
      <c r="J34" s="95"/>
      <c r="K34" s="105"/>
      <c r="M34" s="421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4"/>
    </row>
    <row r="35" spans="2:26" ht="23.1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21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4"/>
    </row>
    <row r="36" spans="2:26" s="240" customFormat="1" ht="23.1" customHeight="1">
      <c r="B36" s="241"/>
      <c r="C36" s="256"/>
      <c r="D36" s="259"/>
      <c r="E36" s="242"/>
      <c r="F36" s="1564" t="s">
        <v>499</v>
      </c>
      <c r="G36" s="1565"/>
      <c r="H36" s="1565"/>
      <c r="I36" s="1565"/>
      <c r="J36" s="1566"/>
      <c r="K36" s="243"/>
      <c r="M36" s="421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4"/>
    </row>
    <row r="37" spans="2:26" s="240" customFormat="1" ht="24" customHeight="1">
      <c r="B37" s="241"/>
      <c r="C37" s="1600" t="s">
        <v>481</v>
      </c>
      <c r="D37" s="1601"/>
      <c r="E37" s="245" t="s">
        <v>488</v>
      </c>
      <c r="F37" s="244" t="s">
        <v>490</v>
      </c>
      <c r="G37" s="244" t="s">
        <v>607</v>
      </c>
      <c r="H37" s="244" t="s">
        <v>493</v>
      </c>
      <c r="I37" s="244" t="s">
        <v>495</v>
      </c>
      <c r="J37" s="252" t="s">
        <v>497</v>
      </c>
      <c r="K37" s="243"/>
      <c r="M37" s="421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4"/>
    </row>
    <row r="38" spans="2:26" s="240" customFormat="1" ht="24" customHeight="1">
      <c r="B38" s="241"/>
      <c r="C38" s="1590" t="s">
        <v>61</v>
      </c>
      <c r="D38" s="1591"/>
      <c r="E38" s="247" t="s">
        <v>489</v>
      </c>
      <c r="F38" s="246" t="s">
        <v>491</v>
      </c>
      <c r="G38" s="246" t="s">
        <v>492</v>
      </c>
      <c r="H38" s="246" t="s">
        <v>494</v>
      </c>
      <c r="I38" s="246" t="s">
        <v>498</v>
      </c>
      <c r="J38" s="249" t="s">
        <v>498</v>
      </c>
      <c r="K38" s="243"/>
      <c r="M38" s="421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4"/>
    </row>
    <row r="39" spans="2:26" ht="23.1" customHeight="1">
      <c r="B39" s="116"/>
      <c r="C39" s="181" t="s">
        <v>482</v>
      </c>
      <c r="D39" s="262"/>
      <c r="E39" s="565"/>
      <c r="F39" s="564"/>
      <c r="G39" s="564"/>
      <c r="H39" s="564"/>
      <c r="I39" s="564"/>
      <c r="J39" s="574">
        <f>SUM(F39:I39)</f>
        <v>0</v>
      </c>
      <c r="K39" s="105"/>
      <c r="M39" s="421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4"/>
    </row>
    <row r="40" spans="2:26" ht="23.1" customHeight="1">
      <c r="B40" s="116"/>
      <c r="C40" s="181" t="s">
        <v>483</v>
      </c>
      <c r="D40" s="262"/>
      <c r="E40" s="565">
        <v>1</v>
      </c>
      <c r="F40" s="564">
        <v>67574.070000000007</v>
      </c>
      <c r="G40" s="564"/>
      <c r="H40" s="564"/>
      <c r="I40" s="564"/>
      <c r="J40" s="574">
        <f>SUM(F40:I40)</f>
        <v>67574.070000000007</v>
      </c>
      <c r="K40" s="105"/>
      <c r="M40" s="421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4"/>
    </row>
    <row r="41" spans="2:26" ht="23.1" customHeight="1">
      <c r="B41" s="116"/>
      <c r="C41" s="181" t="s">
        <v>484</v>
      </c>
      <c r="D41" s="262"/>
      <c r="E41" s="565">
        <v>9</v>
      </c>
      <c r="F41" s="564">
        <v>136000</v>
      </c>
      <c r="G41" s="564"/>
      <c r="H41" s="564"/>
      <c r="I41" s="564">
        <v>256572.84</v>
      </c>
      <c r="J41" s="574">
        <f t="shared" ref="J41:J44" si="0">SUM(F41:I41)</f>
        <v>392572.83999999997</v>
      </c>
      <c r="K41" s="105"/>
      <c r="M41" s="421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4"/>
    </row>
    <row r="42" spans="2:26" ht="23.1" customHeight="1">
      <c r="B42" s="116"/>
      <c r="C42" s="181" t="s">
        <v>485</v>
      </c>
      <c r="D42" s="262"/>
      <c r="E42" s="565">
        <v>39</v>
      </c>
      <c r="F42" s="564">
        <v>834000</v>
      </c>
      <c r="G42" s="564"/>
      <c r="H42" s="564"/>
      <c r="I42" s="564">
        <v>482990.87</v>
      </c>
      <c r="J42" s="574">
        <f t="shared" si="0"/>
        <v>1316990.8700000001</v>
      </c>
      <c r="K42" s="105"/>
      <c r="M42" s="421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4"/>
    </row>
    <row r="43" spans="2:26" ht="23.1" customHeight="1">
      <c r="B43" s="116"/>
      <c r="C43" s="181" t="s">
        <v>486</v>
      </c>
      <c r="D43" s="262"/>
      <c r="E43" s="565">
        <v>3</v>
      </c>
      <c r="F43" s="564">
        <v>48000</v>
      </c>
      <c r="G43" s="564"/>
      <c r="H43" s="564"/>
      <c r="I43" s="564">
        <v>22388.44</v>
      </c>
      <c r="J43" s="574">
        <f t="shared" si="0"/>
        <v>70388.44</v>
      </c>
      <c r="K43" s="105"/>
      <c r="M43" s="421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4"/>
    </row>
    <row r="44" spans="2:26" ht="23.1" customHeight="1">
      <c r="B44" s="116"/>
      <c r="C44" s="160" t="s">
        <v>487</v>
      </c>
      <c r="D44" s="263"/>
      <c r="E44" s="568"/>
      <c r="F44" s="567"/>
      <c r="G44" s="567"/>
      <c r="H44" s="567"/>
      <c r="I44" s="567"/>
      <c r="J44" s="574">
        <f t="shared" si="0"/>
        <v>0</v>
      </c>
      <c r="K44" s="105"/>
      <c r="M44" s="421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4"/>
    </row>
    <row r="45" spans="2:26" ht="23.1" customHeight="1" thickBot="1">
      <c r="B45" s="116"/>
      <c r="C45" s="1631" t="s">
        <v>501</v>
      </c>
      <c r="D45" s="1632"/>
      <c r="E45" s="268">
        <f t="shared" ref="E45:J45" si="1">SUM(E39:E44)</f>
        <v>52</v>
      </c>
      <c r="F45" s="268">
        <f t="shared" si="1"/>
        <v>1085574.07</v>
      </c>
      <c r="G45" s="268">
        <f t="shared" si="1"/>
        <v>0</v>
      </c>
      <c r="H45" s="268">
        <f t="shared" si="1"/>
        <v>0</v>
      </c>
      <c r="I45" s="268">
        <f t="shared" si="1"/>
        <v>761952.14999999991</v>
      </c>
      <c r="J45" s="268">
        <f t="shared" si="1"/>
        <v>1847526.22</v>
      </c>
      <c r="K45" s="105"/>
      <c r="M45" s="421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4"/>
    </row>
    <row r="46" spans="2:26" ht="23.1" customHeight="1">
      <c r="B46" s="116"/>
      <c r="C46" s="31"/>
      <c r="D46" s="215"/>
      <c r="E46" s="215"/>
      <c r="F46" s="216"/>
      <c r="G46" s="216"/>
      <c r="H46" s="216"/>
      <c r="I46" s="216"/>
      <c r="J46" s="95"/>
      <c r="K46" s="105"/>
      <c r="M46" s="421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4"/>
    </row>
    <row r="47" spans="2:26" ht="23.1" customHeight="1">
      <c r="B47" s="116"/>
      <c r="C47" s="31"/>
      <c r="D47" s="215"/>
      <c r="E47" s="215"/>
      <c r="F47" s="216"/>
      <c r="G47" s="216"/>
      <c r="H47" s="216"/>
      <c r="I47" s="216"/>
      <c r="J47" s="95"/>
      <c r="K47" s="105"/>
      <c r="M47" s="421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4"/>
    </row>
    <row r="48" spans="2:26" ht="23.1" customHeight="1">
      <c r="B48" s="116"/>
      <c r="C48" s="65" t="s">
        <v>500</v>
      </c>
      <c r="D48" s="215"/>
      <c r="E48" s="215"/>
      <c r="F48" s="216"/>
      <c r="G48" s="216"/>
      <c r="H48" s="216"/>
      <c r="I48" s="216"/>
      <c r="J48" s="95"/>
      <c r="K48" s="105"/>
      <c r="M48" s="421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4"/>
    </row>
    <row r="49" spans="2:26" ht="23.1" customHeight="1">
      <c r="B49" s="116"/>
      <c r="C49" s="65"/>
      <c r="D49" s="215"/>
      <c r="E49" s="215"/>
      <c r="F49" s="216"/>
      <c r="G49" s="216"/>
      <c r="H49" s="216"/>
      <c r="I49" s="216"/>
      <c r="J49" s="95"/>
      <c r="K49" s="105"/>
      <c r="M49" s="421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4"/>
    </row>
    <row r="50" spans="2:26" ht="23.1" customHeight="1">
      <c r="B50" s="116"/>
      <c r="C50" s="1564" t="s">
        <v>443</v>
      </c>
      <c r="D50" s="1565"/>
      <c r="E50" s="1633"/>
      <c r="F50" s="265" t="s">
        <v>466</v>
      </c>
      <c r="G50" s="216"/>
      <c r="H50" s="216"/>
      <c r="I50" s="216"/>
      <c r="J50" s="95"/>
      <c r="K50" s="105"/>
      <c r="M50" s="421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4"/>
    </row>
    <row r="51" spans="2:26" s="188" customFormat="1" ht="23.1" customHeight="1">
      <c r="B51" s="186"/>
      <c r="C51" s="267" t="s">
        <v>502</v>
      </c>
      <c r="D51" s="266"/>
      <c r="E51" s="266"/>
      <c r="F51" s="575"/>
      <c r="G51" s="216"/>
      <c r="H51" s="216"/>
      <c r="I51" s="216"/>
      <c r="J51" s="151"/>
      <c r="K51" s="187"/>
      <c r="M51" s="421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4"/>
    </row>
    <row r="52" spans="2:26" s="188" customFormat="1" ht="23.1" customHeight="1">
      <c r="B52" s="186"/>
      <c r="C52" s="267" t="s">
        <v>503</v>
      </c>
      <c r="D52" s="266"/>
      <c r="E52" s="266"/>
      <c r="F52" s="575">
        <v>542944.01</v>
      </c>
      <c r="G52" s="216"/>
      <c r="H52" s="216"/>
      <c r="I52" s="216"/>
      <c r="J52" s="151"/>
      <c r="K52" s="187"/>
      <c r="M52" s="421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4"/>
    </row>
    <row r="53" spans="2:26" ht="23.1" customHeight="1" thickBot="1">
      <c r="B53" s="116"/>
      <c r="C53" s="1631" t="s">
        <v>501</v>
      </c>
      <c r="D53" s="1634"/>
      <c r="E53" s="269"/>
      <c r="F53" s="268">
        <f>SUM(F51:F52)</f>
        <v>542944.01</v>
      </c>
      <c r="G53" s="216"/>
      <c r="H53" s="216"/>
      <c r="I53" s="216"/>
      <c r="J53" s="151"/>
      <c r="K53" s="105"/>
      <c r="M53" s="421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4"/>
    </row>
    <row r="54" spans="2:26" ht="23.1" customHeight="1">
      <c r="B54" s="116"/>
      <c r="C54" s="31"/>
      <c r="D54" s="215"/>
      <c r="E54" s="215"/>
      <c r="F54" s="216"/>
      <c r="G54" s="216"/>
      <c r="H54" s="216"/>
      <c r="I54" s="216"/>
      <c r="J54" s="151"/>
      <c r="K54" s="105"/>
      <c r="M54" s="421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4"/>
    </row>
    <row r="55" spans="2:26" ht="23.1" customHeight="1">
      <c r="B55" s="116"/>
      <c r="C55" s="31"/>
      <c r="D55" s="215"/>
      <c r="E55" s="215"/>
      <c r="F55" s="216"/>
      <c r="G55" s="216"/>
      <c r="H55" s="216"/>
      <c r="I55" s="216"/>
      <c r="J55" s="151"/>
      <c r="K55" s="105"/>
      <c r="M55" s="421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4"/>
    </row>
    <row r="56" spans="2:26" ht="23.1" customHeight="1">
      <c r="B56" s="116"/>
      <c r="C56" s="65" t="s">
        <v>504</v>
      </c>
      <c r="D56" s="215"/>
      <c r="E56" s="215"/>
      <c r="F56" s="216"/>
      <c r="G56" s="216"/>
      <c r="H56" s="216"/>
      <c r="I56" s="216"/>
      <c r="J56" s="95"/>
      <c r="K56" s="105"/>
      <c r="M56" s="421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4"/>
    </row>
    <row r="57" spans="2:26" ht="23.1" customHeight="1">
      <c r="B57" s="116"/>
      <c r="C57" s="576"/>
      <c r="D57" s="577"/>
      <c r="E57" s="577"/>
      <c r="F57" s="577"/>
      <c r="G57" s="577"/>
      <c r="H57" s="577"/>
      <c r="I57" s="577"/>
      <c r="J57" s="578"/>
      <c r="K57" s="105"/>
      <c r="M57" s="421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4"/>
    </row>
    <row r="58" spans="2:26" ht="23.1" customHeight="1">
      <c r="B58" s="116"/>
      <c r="C58" s="579"/>
      <c r="D58" s="580"/>
      <c r="E58" s="580"/>
      <c r="F58" s="580"/>
      <c r="G58" s="580"/>
      <c r="H58" s="580"/>
      <c r="I58" s="580"/>
      <c r="J58" s="581"/>
      <c r="K58" s="105"/>
      <c r="M58" s="421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4"/>
    </row>
    <row r="59" spans="2:26" ht="23.1" customHeight="1">
      <c r="B59" s="116"/>
      <c r="C59" s="579"/>
      <c r="D59" s="580"/>
      <c r="E59" s="580"/>
      <c r="F59" s="580"/>
      <c r="G59" s="580"/>
      <c r="H59" s="580"/>
      <c r="I59" s="580"/>
      <c r="J59" s="581"/>
      <c r="K59" s="105"/>
      <c r="M59" s="421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4"/>
    </row>
    <row r="60" spans="2:26" ht="23.1" customHeight="1">
      <c r="B60" s="116"/>
      <c r="C60" s="582"/>
      <c r="D60" s="583"/>
      <c r="E60" s="583"/>
      <c r="F60" s="583"/>
      <c r="G60" s="583"/>
      <c r="H60" s="583"/>
      <c r="I60" s="583"/>
      <c r="J60" s="584"/>
      <c r="K60" s="105"/>
      <c r="M60" s="421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4"/>
    </row>
    <row r="61" spans="2:26" ht="23.1" customHeight="1">
      <c r="B61" s="116"/>
      <c r="C61" s="887"/>
      <c r="D61" s="887"/>
      <c r="E61" s="887"/>
      <c r="F61" s="887"/>
      <c r="G61" s="887"/>
      <c r="H61" s="887"/>
      <c r="I61" s="887"/>
      <c r="J61" s="887"/>
      <c r="K61" s="105"/>
      <c r="M61" s="421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4"/>
    </row>
    <row r="62" spans="2:26" ht="23.1" customHeight="1">
      <c r="B62" s="116"/>
      <c r="C62" s="888" t="s">
        <v>732</v>
      </c>
      <c r="D62" s="887"/>
      <c r="E62" s="887"/>
      <c r="F62" s="887"/>
      <c r="G62" s="887"/>
      <c r="H62" s="887"/>
      <c r="I62" s="887"/>
      <c r="J62" s="887"/>
      <c r="K62" s="105"/>
      <c r="M62" s="421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4"/>
    </row>
    <row r="63" spans="2:26" ht="23.1" customHeight="1">
      <c r="B63" s="116"/>
      <c r="C63" s="889" t="s">
        <v>756</v>
      </c>
      <c r="D63" s="887"/>
      <c r="E63" s="887"/>
      <c r="F63" s="887"/>
      <c r="G63" s="887"/>
      <c r="H63" s="887"/>
      <c r="I63" s="887"/>
      <c r="J63" s="887"/>
      <c r="K63" s="105"/>
      <c r="M63" s="421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4"/>
    </row>
    <row r="64" spans="2:26" ht="23.1" customHeight="1">
      <c r="B64" s="116"/>
      <c r="C64" s="887"/>
      <c r="D64" s="887"/>
      <c r="E64" s="887"/>
      <c r="F64" s="887"/>
      <c r="G64" s="887"/>
      <c r="H64" s="887"/>
      <c r="I64" s="887"/>
      <c r="J64" s="887"/>
      <c r="K64" s="105"/>
      <c r="M64" s="421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4"/>
    </row>
    <row r="65" spans="2:26" ht="23.1" customHeight="1" thickBot="1">
      <c r="B65" s="120"/>
      <c r="C65" s="56"/>
      <c r="D65" s="1504"/>
      <c r="E65" s="1504"/>
      <c r="F65" s="56"/>
      <c r="G65" s="56"/>
      <c r="H65" s="56"/>
      <c r="I65" s="56"/>
      <c r="J65" s="121"/>
      <c r="K65" s="122"/>
      <c r="M65" s="415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7"/>
    </row>
    <row r="66" spans="2:26" ht="23.1" customHeight="1">
      <c r="D66" s="103"/>
      <c r="E66" s="103"/>
      <c r="F66" s="104"/>
      <c r="G66" s="104"/>
      <c r="H66" s="104"/>
      <c r="I66" s="104"/>
      <c r="J66" s="104"/>
      <c r="L66" s="96" t="s">
        <v>885</v>
      </c>
    </row>
    <row r="67" spans="2:26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2:26" ht="12.75">
      <c r="D68" s="124" t="s">
        <v>71</v>
      </c>
      <c r="E68" s="103"/>
      <c r="F68" s="104"/>
      <c r="G68" s="104"/>
      <c r="H68" s="104"/>
      <c r="I68" s="104"/>
      <c r="J68" s="104"/>
    </row>
    <row r="69" spans="2:26" ht="12.75">
      <c r="D69" s="124" t="s">
        <v>72</v>
      </c>
      <c r="E69" s="103"/>
      <c r="F69" s="104"/>
      <c r="G69" s="104"/>
      <c r="H69" s="104"/>
      <c r="I69" s="104"/>
      <c r="J69" s="104"/>
    </row>
    <row r="70" spans="2:26" ht="12.75">
      <c r="D70" s="124" t="s">
        <v>73</v>
      </c>
      <c r="E70" s="103"/>
      <c r="F70" s="104"/>
      <c r="G70" s="104"/>
      <c r="H70" s="104"/>
      <c r="I70" s="104"/>
      <c r="J70" s="104"/>
    </row>
    <row r="71" spans="2:26" ht="12.75">
      <c r="D71" s="124" t="s">
        <v>74</v>
      </c>
      <c r="E71" s="103"/>
      <c r="F71" s="104"/>
      <c r="G71" s="104"/>
      <c r="H71" s="104"/>
      <c r="I71" s="104"/>
      <c r="J71" s="104"/>
    </row>
    <row r="72" spans="2:26" ht="23.1" customHeight="1">
      <c r="D72" s="103"/>
      <c r="E72" s="103"/>
      <c r="F72" s="104"/>
      <c r="G72" s="104"/>
      <c r="H72" s="104"/>
      <c r="I72" s="104"/>
      <c r="J72" s="104"/>
    </row>
    <row r="73" spans="2:26" ht="23.1" customHeight="1">
      <c r="D73" s="103"/>
      <c r="E73" s="103"/>
      <c r="F73" s="104"/>
      <c r="G73" s="104"/>
      <c r="H73" s="104"/>
      <c r="I73" s="104"/>
      <c r="J73" s="104"/>
    </row>
    <row r="74" spans="2:26" ht="23.1" customHeight="1">
      <c r="D74" s="103"/>
      <c r="E74" s="103"/>
      <c r="F74" s="104"/>
      <c r="G74" s="104"/>
      <c r="H74" s="104"/>
      <c r="I74" s="104"/>
      <c r="J74" s="104"/>
    </row>
    <row r="75" spans="2:26" ht="23.1" customHeight="1">
      <c r="D75" s="103"/>
      <c r="E75" s="103"/>
      <c r="F75" s="104"/>
      <c r="G75" s="104"/>
      <c r="H75" s="104"/>
      <c r="I75" s="104"/>
      <c r="J75" s="104"/>
    </row>
    <row r="76" spans="2:26" ht="23.1" customHeight="1">
      <c r="F76" s="104"/>
      <c r="G76" s="104"/>
      <c r="H76" s="104"/>
      <c r="I76" s="104"/>
      <c r="J76" s="104"/>
    </row>
  </sheetData>
  <sheetProtection algorithmName="SHA-512" hashValue="SizjdZGnZEMjzGZuxGt8QXOwjM0ROJiFFGTILGERBm/O6R/EZuCvQLNyYAjr1XAvphCrU5Hzr/dvYePWGRF7RQ==" saltValue="OOl71p+jogkfAaw/kZGIug==" spinCount="100000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2:X172"/>
  <sheetViews>
    <sheetView topLeftCell="A4" zoomScale="85" zoomScaleNormal="85" workbookViewId="0">
      <selection activeCell="E25" sqref="E25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5546875" style="96" customWidth="1"/>
    <col min="4" max="4" width="53.33203125" style="96" customWidth="1"/>
    <col min="5" max="5" width="21.88671875" style="96" customWidth="1"/>
    <col min="6" max="6" width="23" style="97" customWidth="1"/>
    <col min="7" max="7" width="21.109375" style="97" customWidth="1"/>
    <col min="8" max="8" width="19.5546875" style="97" customWidth="1"/>
    <col min="9" max="9" width="3.33203125" style="96" customWidth="1"/>
    <col min="10" max="16384" width="10.6640625" style="96"/>
  </cols>
  <sheetData>
    <row r="2" spans="1:24" ht="23.1" customHeight="1">
      <c r="D2" s="1214" t="s">
        <v>950</v>
      </c>
      <c r="E2" s="1214"/>
    </row>
    <row r="3" spans="1:24" ht="23.1" customHeight="1">
      <c r="D3" s="1214" t="s">
        <v>31</v>
      </c>
      <c r="E3" s="1214"/>
    </row>
    <row r="4" spans="1:24" ht="23.1" customHeight="1" thickBot="1">
      <c r="A4" s="96" t="s">
        <v>884</v>
      </c>
    </row>
    <row r="5" spans="1:24" ht="9" customHeight="1">
      <c r="B5" s="600"/>
      <c r="C5" s="601"/>
      <c r="D5" s="601"/>
      <c r="E5" s="601"/>
      <c r="F5" s="602"/>
      <c r="G5" s="602"/>
      <c r="H5" s="602"/>
      <c r="I5" s="603"/>
      <c r="K5" s="418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20"/>
    </row>
    <row r="6" spans="1:24" ht="30" customHeight="1">
      <c r="B6" s="604"/>
      <c r="C6" s="605" t="s">
        <v>0</v>
      </c>
      <c r="D6" s="606"/>
      <c r="E6" s="606"/>
      <c r="F6" s="607"/>
      <c r="G6" s="607"/>
      <c r="H6" s="1497">
        <f>ejercicio</f>
        <v>2021</v>
      </c>
      <c r="I6" s="608"/>
      <c r="K6" s="421"/>
      <c r="L6" s="422" t="s">
        <v>628</v>
      </c>
      <c r="M6" s="422"/>
      <c r="N6" s="422"/>
      <c r="O6" s="422"/>
      <c r="P6" s="423"/>
      <c r="Q6" s="423"/>
      <c r="R6" s="423"/>
      <c r="S6" s="423"/>
      <c r="T6" s="423"/>
      <c r="U6" s="423"/>
      <c r="V6" s="423"/>
      <c r="W6" s="423"/>
      <c r="X6" s="424"/>
    </row>
    <row r="7" spans="1:24" ht="30" customHeight="1">
      <c r="B7" s="604"/>
      <c r="C7" s="605" t="s">
        <v>1</v>
      </c>
      <c r="D7" s="606"/>
      <c r="E7" s="606"/>
      <c r="F7" s="607"/>
      <c r="G7" s="607"/>
      <c r="H7" s="1497"/>
      <c r="I7" s="608"/>
      <c r="K7" s="421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4"/>
    </row>
    <row r="8" spans="1:24" ht="30" customHeight="1">
      <c r="B8" s="604"/>
      <c r="C8" s="610"/>
      <c r="D8" s="606"/>
      <c r="E8" s="606"/>
      <c r="F8" s="607"/>
      <c r="G8" s="607"/>
      <c r="H8" s="981"/>
      <c r="I8" s="608"/>
      <c r="K8" s="421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4"/>
    </row>
    <row r="9" spans="1:24" s="188" customFormat="1" ht="30" customHeight="1">
      <c r="B9" s="611"/>
      <c r="C9" s="612" t="s">
        <v>2</v>
      </c>
      <c r="D9" s="1499" t="str">
        <f>Entidad</f>
        <v>Spet, turismo de Tenerife s.a</v>
      </c>
      <c r="E9" s="1499"/>
      <c r="F9" s="1499"/>
      <c r="G9" s="1499"/>
      <c r="H9" s="1499"/>
      <c r="I9" s="609"/>
      <c r="K9" s="421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4"/>
    </row>
    <row r="10" spans="1:24" ht="6.95" customHeight="1">
      <c r="B10" s="604"/>
      <c r="C10" s="606"/>
      <c r="D10" s="606"/>
      <c r="E10" s="606"/>
      <c r="F10" s="607"/>
      <c r="G10" s="607"/>
      <c r="H10" s="607"/>
      <c r="I10" s="608"/>
      <c r="K10" s="421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</row>
    <row r="11" spans="1:24" s="114" customFormat="1" ht="30" customHeight="1">
      <c r="B11" s="614"/>
      <c r="C11" s="615" t="s">
        <v>508</v>
      </c>
      <c r="D11" s="615"/>
      <c r="E11" s="615"/>
      <c r="F11" s="616"/>
      <c r="G11" s="616"/>
      <c r="H11" s="616"/>
      <c r="I11" s="958"/>
      <c r="K11" s="421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4"/>
    </row>
    <row r="12" spans="1:24" s="114" customFormat="1" ht="18" customHeight="1">
      <c r="B12" s="614"/>
      <c r="C12" s="1512"/>
      <c r="D12" s="1512"/>
      <c r="E12" s="1402"/>
      <c r="F12" s="618"/>
      <c r="G12" s="618"/>
      <c r="H12" s="618"/>
      <c r="I12" s="958"/>
      <c r="K12" s="421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4"/>
    </row>
    <row r="13" spans="1:24" ht="29.1" customHeight="1">
      <c r="B13" s="620"/>
      <c r="C13" s="1635" t="s">
        <v>1114</v>
      </c>
      <c r="D13" s="1636"/>
      <c r="E13" s="1636"/>
      <c r="F13" s="1636"/>
      <c r="G13" s="1636"/>
      <c r="H13" s="1637"/>
      <c r="I13" s="608"/>
      <c r="K13" s="421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4"/>
    </row>
    <row r="14" spans="1:24" ht="9" customHeight="1">
      <c r="B14" s="620"/>
      <c r="C14" s="1370"/>
      <c r="D14" s="1370"/>
      <c r="E14" s="1402"/>
      <c r="F14" s="618"/>
      <c r="G14" s="618"/>
      <c r="H14" s="618"/>
      <c r="I14" s="608"/>
      <c r="K14" s="421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4"/>
    </row>
    <row r="15" spans="1:24" s="251" customFormat="1" ht="24" customHeight="1">
      <c r="B15" s="1375"/>
      <c r="C15" s="1638" t="s">
        <v>434</v>
      </c>
      <c r="D15" s="1639"/>
      <c r="E15" s="1404" t="s">
        <v>1163</v>
      </c>
      <c r="F15" s="1376" t="s">
        <v>1105</v>
      </c>
      <c r="G15" s="1376" t="s">
        <v>1106</v>
      </c>
      <c r="H15" s="1377" t="s">
        <v>1107</v>
      </c>
      <c r="I15" s="1378"/>
      <c r="K15" s="421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4"/>
    </row>
    <row r="16" spans="1:24" s="119" customFormat="1" ht="23.1" customHeight="1">
      <c r="B16" s="620"/>
      <c r="C16" s="1642" t="s">
        <v>1113</v>
      </c>
      <c r="D16" s="1643"/>
      <c r="E16" s="1405"/>
      <c r="F16" s="1376"/>
      <c r="G16" s="1376"/>
      <c r="H16" s="1377"/>
      <c r="I16" s="1279"/>
      <c r="K16" s="421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4"/>
    </row>
    <row r="17" spans="1:24" s="1427" customFormat="1" ht="23.1" customHeight="1">
      <c r="A17" s="119"/>
      <c r="B17" s="620"/>
      <c r="C17" s="1440" t="s">
        <v>1167</v>
      </c>
      <c r="D17" s="1446"/>
      <c r="E17" s="1426" t="s">
        <v>1025</v>
      </c>
      <c r="F17" s="1456"/>
      <c r="G17" s="1460"/>
      <c r="H17" s="1460"/>
      <c r="I17" s="1428"/>
      <c r="K17" s="1429"/>
      <c r="L17" s="1430"/>
      <c r="M17" s="1430"/>
      <c r="N17" s="1430"/>
      <c r="O17" s="1430"/>
      <c r="P17" s="1430"/>
      <c r="Q17" s="1430"/>
      <c r="R17" s="1430"/>
      <c r="S17" s="1430"/>
      <c r="T17" s="1430"/>
      <c r="U17" s="1430"/>
      <c r="V17" s="1430"/>
      <c r="W17" s="1430"/>
      <c r="X17" s="1431"/>
    </row>
    <row r="18" spans="1:24" s="1427" customFormat="1" ht="23.1" customHeight="1">
      <c r="A18" s="119"/>
      <c r="B18" s="620"/>
      <c r="C18" s="1442" t="s">
        <v>1132</v>
      </c>
      <c r="D18" s="1379"/>
      <c r="E18" s="1426" t="s">
        <v>1025</v>
      </c>
      <c r="F18" s="1456"/>
      <c r="G18" s="1460"/>
      <c r="H18" s="1460"/>
      <c r="I18" s="1428"/>
      <c r="K18" s="1429"/>
      <c r="L18" s="1430"/>
      <c r="M18" s="1430"/>
      <c r="N18" s="1430"/>
      <c r="O18" s="1430"/>
      <c r="P18" s="1430"/>
      <c r="Q18" s="1430"/>
      <c r="R18" s="1430"/>
      <c r="S18" s="1430"/>
      <c r="T18" s="1430"/>
      <c r="U18" s="1430"/>
      <c r="V18" s="1430"/>
      <c r="W18" s="1430"/>
      <c r="X18" s="1431"/>
    </row>
    <row r="19" spans="1:24" s="119" customFormat="1" ht="23.1" customHeight="1">
      <c r="B19" s="620"/>
      <c r="C19" s="1441" t="s">
        <v>1164</v>
      </c>
      <c r="D19" s="1379"/>
      <c r="E19" s="1426" t="s">
        <v>1025</v>
      </c>
      <c r="F19" s="1456"/>
      <c r="G19" s="1460"/>
      <c r="H19" s="1460"/>
      <c r="I19" s="1279"/>
      <c r="K19" s="421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4"/>
    </row>
    <row r="20" spans="1:24" s="119" customFormat="1" ht="23.1" customHeight="1">
      <c r="B20" s="620"/>
      <c r="C20" s="1441" t="s">
        <v>1165</v>
      </c>
      <c r="D20" s="1379"/>
      <c r="E20" s="1426" t="s">
        <v>1025</v>
      </c>
      <c r="F20" s="1456"/>
      <c r="G20" s="1460"/>
      <c r="H20" s="1460"/>
      <c r="I20" s="1279"/>
      <c r="K20" s="421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4"/>
    </row>
    <row r="21" spans="1:24" s="119" customFormat="1" ht="23.1" customHeight="1">
      <c r="B21" s="620"/>
      <c r="C21" s="1447" t="s">
        <v>1166</v>
      </c>
      <c r="D21" s="1379"/>
      <c r="E21" s="1426" t="s">
        <v>1025</v>
      </c>
      <c r="F21" s="1456"/>
      <c r="G21" s="1460"/>
      <c r="H21" s="1460"/>
      <c r="I21" s="1279"/>
      <c r="K21" s="421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4"/>
    </row>
    <row r="22" spans="1:24" s="119" customFormat="1" ht="23.1" customHeight="1">
      <c r="B22" s="620"/>
      <c r="C22" s="1447" t="s">
        <v>1074</v>
      </c>
      <c r="D22" s="1379"/>
      <c r="E22" s="1426" t="s">
        <v>1025</v>
      </c>
      <c r="F22" s="1456"/>
      <c r="G22" s="1460"/>
      <c r="H22" s="1460"/>
      <c r="I22" s="1279"/>
      <c r="K22" s="421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4"/>
    </row>
    <row r="23" spans="1:24" s="119" customFormat="1" ht="23.1" customHeight="1">
      <c r="B23" s="620"/>
      <c r="C23" s="1447" t="s">
        <v>1133</v>
      </c>
      <c r="D23" s="1379"/>
      <c r="E23" s="1426" t="s">
        <v>1026</v>
      </c>
      <c r="F23" s="1456"/>
      <c r="G23" s="1460"/>
      <c r="H23" s="1460"/>
      <c r="I23" s="1279"/>
      <c r="K23" s="421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4"/>
    </row>
    <row r="24" spans="1:24" s="119" customFormat="1" ht="23.1" customHeight="1">
      <c r="B24" s="620"/>
      <c r="C24" s="1447" t="s">
        <v>1134</v>
      </c>
      <c r="D24" s="1379"/>
      <c r="E24" s="1426" t="s">
        <v>1025</v>
      </c>
      <c r="F24" s="1456"/>
      <c r="G24" s="1460"/>
      <c r="H24" s="1460"/>
      <c r="I24" s="1279"/>
      <c r="K24" s="421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4"/>
    </row>
    <row r="25" spans="1:24" s="119" customFormat="1" ht="23.1" customHeight="1">
      <c r="B25" s="620"/>
      <c r="C25" s="1447" t="s">
        <v>1135</v>
      </c>
      <c r="D25" s="1379"/>
      <c r="E25" s="1426" t="s">
        <v>1026</v>
      </c>
      <c r="F25" s="1456"/>
      <c r="G25" s="1460"/>
      <c r="H25" s="1460"/>
      <c r="I25" s="1279"/>
      <c r="K25" s="421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4"/>
    </row>
    <row r="26" spans="1:24" s="119" customFormat="1" ht="23.1" customHeight="1">
      <c r="B26" s="620"/>
      <c r="C26" s="1447" t="s">
        <v>1136</v>
      </c>
      <c r="D26" s="1379"/>
      <c r="E26" s="1426" t="s">
        <v>1026</v>
      </c>
      <c r="F26" s="1456"/>
      <c r="G26" s="1460"/>
      <c r="H26" s="1460"/>
      <c r="I26" s="1279"/>
      <c r="K26" s="421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4"/>
    </row>
    <row r="27" spans="1:24" s="119" customFormat="1" ht="23.1" customHeight="1">
      <c r="B27" s="620"/>
      <c r="C27" s="1447" t="s">
        <v>1137</v>
      </c>
      <c r="D27" s="1379"/>
      <c r="E27" s="1426" t="s">
        <v>1026</v>
      </c>
      <c r="F27" s="1456"/>
      <c r="G27" s="1460"/>
      <c r="H27" s="1460"/>
      <c r="I27" s="1279"/>
      <c r="K27" s="421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4"/>
    </row>
    <row r="28" spans="1:24" s="119" customFormat="1" ht="23.1" customHeight="1">
      <c r="B28" s="620"/>
      <c r="C28" s="1447" t="s">
        <v>1138</v>
      </c>
      <c r="D28" s="1379"/>
      <c r="E28" s="1426" t="s">
        <v>1026</v>
      </c>
      <c r="F28" s="1456" t="s">
        <v>1230</v>
      </c>
      <c r="G28" s="1460">
        <v>0</v>
      </c>
      <c r="H28" s="1460">
        <v>78021.84</v>
      </c>
      <c r="I28" s="1279"/>
      <c r="K28" s="421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4"/>
    </row>
    <row r="29" spans="1:24" s="119" customFormat="1" ht="23.1" customHeight="1">
      <c r="B29" s="620"/>
      <c r="C29" s="1447" t="s">
        <v>1139</v>
      </c>
      <c r="D29" s="1379"/>
      <c r="E29" s="1426" t="s">
        <v>1026</v>
      </c>
      <c r="F29" s="1456"/>
      <c r="G29" s="1460"/>
      <c r="H29" s="1460"/>
      <c r="I29" s="1279"/>
      <c r="K29" s="421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4"/>
    </row>
    <row r="30" spans="1:24" s="119" customFormat="1" ht="23.1" customHeight="1">
      <c r="B30" s="620"/>
      <c r="C30" s="1447" t="s">
        <v>1140</v>
      </c>
      <c r="D30" s="1379"/>
      <c r="E30" s="1426" t="s">
        <v>1026</v>
      </c>
      <c r="F30" s="1456"/>
      <c r="G30" s="1460"/>
      <c r="H30" s="1460"/>
      <c r="I30" s="1279"/>
      <c r="K30" s="421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1:24" s="119" customFormat="1" ht="23.1" customHeight="1">
      <c r="B31" s="620"/>
      <c r="C31" s="1447" t="s">
        <v>1141</v>
      </c>
      <c r="D31" s="1379"/>
      <c r="E31" s="1426" t="s">
        <v>1025</v>
      </c>
      <c r="F31" s="1456"/>
      <c r="G31" s="1460"/>
      <c r="H31" s="1460"/>
      <c r="I31" s="1279"/>
      <c r="K31" s="421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1:24" s="119" customFormat="1" ht="23.1" customHeight="1">
      <c r="B32" s="620"/>
      <c r="C32" s="1447" t="s">
        <v>1142</v>
      </c>
      <c r="D32" s="1379"/>
      <c r="E32" s="1426" t="s">
        <v>1025</v>
      </c>
      <c r="F32" s="1456"/>
      <c r="G32" s="1460"/>
      <c r="H32" s="1460"/>
      <c r="I32" s="1279"/>
      <c r="K32" s="421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4"/>
    </row>
    <row r="33" spans="2:24" s="119" customFormat="1" ht="23.1" customHeight="1">
      <c r="B33" s="620"/>
      <c r="C33" s="1447" t="s">
        <v>1143</v>
      </c>
      <c r="D33" s="1379"/>
      <c r="E33" s="1426" t="s">
        <v>1025</v>
      </c>
      <c r="F33" s="1456"/>
      <c r="G33" s="1460"/>
      <c r="H33" s="1460"/>
      <c r="I33" s="1279"/>
      <c r="K33" s="421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4"/>
    </row>
    <row r="34" spans="2:24" s="119" customFormat="1" ht="23.1" customHeight="1">
      <c r="B34" s="620"/>
      <c r="C34" s="1447" t="s">
        <v>1144</v>
      </c>
      <c r="D34" s="1379"/>
      <c r="E34" s="1426" t="s">
        <v>1025</v>
      </c>
      <c r="F34" s="1465"/>
      <c r="G34" s="1467"/>
      <c r="H34" s="1468"/>
      <c r="I34" s="1279"/>
      <c r="K34" s="421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4"/>
    </row>
    <row r="35" spans="2:24" s="119" customFormat="1" ht="23.1" customHeight="1">
      <c r="B35" s="620"/>
      <c r="C35" s="1640" t="s">
        <v>1110</v>
      </c>
      <c r="D35" s="1641"/>
      <c r="E35" s="1439"/>
      <c r="F35" s="1466"/>
      <c r="G35" s="1461"/>
      <c r="H35" s="1462"/>
      <c r="I35" s="1279"/>
      <c r="K35" s="421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4"/>
    </row>
    <row r="36" spans="2:24" s="119" customFormat="1" ht="23.1" customHeight="1">
      <c r="B36" s="620"/>
      <c r="C36" s="1447" t="s">
        <v>1145</v>
      </c>
      <c r="D36" s="1379"/>
      <c r="E36" s="1426" t="s">
        <v>1026</v>
      </c>
      <c r="F36" s="1456"/>
      <c r="G36" s="1460"/>
      <c r="H36" s="1460"/>
      <c r="I36" s="1279"/>
      <c r="K36" s="421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s="119" customFormat="1" ht="23.1" customHeight="1">
      <c r="B37" s="620"/>
      <c r="C37" s="1447" t="s">
        <v>1146</v>
      </c>
      <c r="D37" s="1379"/>
      <c r="E37" s="1426" t="s">
        <v>1026</v>
      </c>
      <c r="F37" s="1456"/>
      <c r="G37" s="1460"/>
      <c r="H37" s="1460"/>
      <c r="I37" s="1279"/>
      <c r="K37" s="421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s="119" customFormat="1" ht="23.1" customHeight="1">
      <c r="B38" s="620"/>
      <c r="C38" s="1447" t="s">
        <v>1147</v>
      </c>
      <c r="D38" s="1379"/>
      <c r="E38" s="1426" t="s">
        <v>1025</v>
      </c>
      <c r="F38" s="1456"/>
      <c r="G38" s="1460"/>
      <c r="H38" s="1460"/>
      <c r="I38" s="1279"/>
      <c r="K38" s="421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s="119" customFormat="1" ht="23.1" customHeight="1">
      <c r="B39" s="620"/>
      <c r="C39" s="1447" t="s">
        <v>1148</v>
      </c>
      <c r="D39" s="1379"/>
      <c r="E39" s="1426" t="s">
        <v>1026</v>
      </c>
      <c r="F39" s="1456"/>
      <c r="G39" s="1460"/>
      <c r="H39" s="1460"/>
      <c r="I39" s="1279"/>
      <c r="K39" s="421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s="119" customFormat="1" ht="23.1" customHeight="1">
      <c r="B40" s="620"/>
      <c r="C40" s="1447" t="s">
        <v>1149</v>
      </c>
      <c r="D40" s="1379"/>
      <c r="E40" s="1426" t="s">
        <v>1025</v>
      </c>
      <c r="F40" s="1456"/>
      <c r="G40" s="1460"/>
      <c r="H40" s="1460"/>
      <c r="I40" s="1279"/>
      <c r="K40" s="421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s="119" customFormat="1" ht="23.1" customHeight="1">
      <c r="B41" s="620"/>
      <c r="C41" s="1447" t="s">
        <v>1150</v>
      </c>
      <c r="D41" s="1379"/>
      <c r="E41" s="1426" t="s">
        <v>1026</v>
      </c>
      <c r="F41" s="1456"/>
      <c r="G41" s="1460"/>
      <c r="H41" s="1460"/>
      <c r="I41" s="1279"/>
      <c r="K41" s="421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s="119" customFormat="1" ht="23.1" customHeight="1">
      <c r="B42" s="620"/>
      <c r="C42" s="1447" t="s">
        <v>1151</v>
      </c>
      <c r="D42" s="1379"/>
      <c r="E42" s="1426" t="s">
        <v>1025</v>
      </c>
      <c r="F42" s="1456"/>
      <c r="G42" s="1460"/>
      <c r="H42" s="1460"/>
      <c r="I42" s="1279"/>
      <c r="K42" s="421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s="119" customFormat="1" ht="23.1" customHeight="1">
      <c r="B43" s="620"/>
      <c r="C43" s="1447" t="s">
        <v>1152</v>
      </c>
      <c r="D43" s="1379"/>
      <c r="E43" s="1426" t="s">
        <v>1025</v>
      </c>
      <c r="F43" s="1456"/>
      <c r="G43" s="1460"/>
      <c r="H43" s="1460"/>
      <c r="I43" s="1279"/>
      <c r="K43" s="421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s="119" customFormat="1" ht="23.1" customHeight="1">
      <c r="B44" s="620"/>
      <c r="C44" s="1447" t="s">
        <v>1153</v>
      </c>
      <c r="D44" s="1379"/>
      <c r="E44" s="1426" t="s">
        <v>1025</v>
      </c>
      <c r="F44" s="1456"/>
      <c r="G44" s="1460"/>
      <c r="H44" s="1460"/>
      <c r="I44" s="1279"/>
      <c r="K44" s="421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s="119" customFormat="1" ht="23.1" customHeight="1">
      <c r="B45" s="620"/>
      <c r="C45" s="1448" t="s">
        <v>1154</v>
      </c>
      <c r="D45" s="1432"/>
      <c r="E45" s="1433" t="s">
        <v>1025</v>
      </c>
      <c r="F45" s="1465"/>
      <c r="G45" s="1467"/>
      <c r="H45" s="1468"/>
      <c r="I45" s="1279"/>
      <c r="K45" s="421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s="119" customFormat="1" ht="23.1" customHeight="1">
      <c r="B46" s="620"/>
      <c r="C46" s="1640" t="s">
        <v>1111</v>
      </c>
      <c r="D46" s="1641"/>
      <c r="E46" s="1439"/>
      <c r="F46" s="1466"/>
      <c r="G46" s="1461"/>
      <c r="H46" s="1462"/>
      <c r="I46" s="1279"/>
      <c r="K46" s="421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s="119" customFormat="1" ht="23.1" customHeight="1">
      <c r="B47" s="620"/>
      <c r="C47" s="1447" t="s">
        <v>1159</v>
      </c>
      <c r="D47" s="1379"/>
      <c r="E47" s="1426" t="s">
        <v>1026</v>
      </c>
      <c r="F47" s="1456"/>
      <c r="G47" s="1460"/>
      <c r="H47" s="1460"/>
      <c r="I47" s="1279"/>
      <c r="K47" s="421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s="119" customFormat="1" ht="23.1" customHeight="1">
      <c r="B48" s="620"/>
      <c r="C48" s="1447" t="s">
        <v>1160</v>
      </c>
      <c r="D48" s="1379"/>
      <c r="E48" s="1426" t="s">
        <v>1026</v>
      </c>
      <c r="F48" s="1456"/>
      <c r="G48" s="1460"/>
      <c r="H48" s="1460"/>
      <c r="I48" s="1279"/>
      <c r="K48" s="421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1:24" s="119" customFormat="1" ht="23.1" customHeight="1">
      <c r="B49" s="620"/>
      <c r="C49" s="1447" t="s">
        <v>1161</v>
      </c>
      <c r="D49" s="1379"/>
      <c r="E49" s="1426" t="s">
        <v>1026</v>
      </c>
      <c r="F49" s="1456"/>
      <c r="G49" s="1460"/>
      <c r="H49" s="1460"/>
      <c r="I49" s="1279"/>
      <c r="K49" s="421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1:24" s="119" customFormat="1" ht="23.1" customHeight="1">
      <c r="B50" s="620"/>
      <c r="C50" s="1447" t="s">
        <v>1162</v>
      </c>
      <c r="D50" s="1379"/>
      <c r="E50" s="1426" t="s">
        <v>1026</v>
      </c>
      <c r="F50" s="1456"/>
      <c r="G50" s="1460"/>
      <c r="H50" s="1460"/>
      <c r="I50" s="1279"/>
      <c r="K50" s="421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1:24" s="119" customFormat="1" ht="23.1" customHeight="1">
      <c r="B51" s="620"/>
      <c r="C51" s="1447" t="s">
        <v>1155</v>
      </c>
      <c r="D51" s="1379"/>
      <c r="E51" s="1426" t="s">
        <v>1025</v>
      </c>
      <c r="F51" s="1456"/>
      <c r="G51" s="1460"/>
      <c r="H51" s="1460"/>
      <c r="I51" s="1279"/>
      <c r="K51" s="421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1:24" s="119" customFormat="1" ht="23.1" customHeight="1">
      <c r="B52" s="620"/>
      <c r="C52" s="1447" t="s">
        <v>1156</v>
      </c>
      <c r="D52" s="1379"/>
      <c r="E52" s="1426" t="s">
        <v>1025</v>
      </c>
      <c r="F52" s="1456"/>
      <c r="G52" s="1460"/>
      <c r="H52" s="1460"/>
      <c r="I52" s="1279"/>
      <c r="K52" s="421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1:24" s="119" customFormat="1" ht="23.1" customHeight="1">
      <c r="B53" s="620"/>
      <c r="C53" s="1447" t="s">
        <v>1157</v>
      </c>
      <c r="D53" s="1379"/>
      <c r="E53" s="1426" t="s">
        <v>1025</v>
      </c>
      <c r="F53" s="1456"/>
      <c r="G53" s="1460"/>
      <c r="H53" s="1460"/>
      <c r="I53" s="1279"/>
      <c r="K53" s="421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1:24" s="119" customFormat="1" ht="23.1" customHeight="1">
      <c r="B54" s="620"/>
      <c r="C54" s="1447" t="s">
        <v>1158</v>
      </c>
      <c r="D54" s="1379"/>
      <c r="E54" s="1426" t="s">
        <v>1025</v>
      </c>
      <c r="F54" s="1456"/>
      <c r="G54" s="1460"/>
      <c r="H54" s="1460"/>
      <c r="I54" s="1279"/>
      <c r="K54" s="421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1:24" s="188" customFormat="1" ht="23.1" customHeight="1" thickBot="1">
      <c r="B55" s="611"/>
      <c r="C55" s="1615"/>
      <c r="D55" s="1617"/>
      <c r="E55" s="1403"/>
      <c r="F55" s="1371" t="s">
        <v>467</v>
      </c>
      <c r="G55" s="656">
        <f>SUM(G17:G54)</f>
        <v>0</v>
      </c>
      <c r="H55" s="656">
        <f>SUM(H17:H54)</f>
        <v>78021.84</v>
      </c>
      <c r="I55" s="609"/>
      <c r="K55" s="421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1:24" ht="23.1" customHeight="1">
      <c r="B56" s="620"/>
      <c r="C56" s="598"/>
      <c r="D56" s="598"/>
      <c r="E56" s="598"/>
      <c r="F56" s="948"/>
      <c r="G56" s="948"/>
      <c r="H56" s="618"/>
      <c r="I56" s="608"/>
      <c r="K56" s="421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1:24" ht="23.1" customHeight="1">
      <c r="B57" s="620"/>
      <c r="C57" s="1635" t="s">
        <v>1115</v>
      </c>
      <c r="D57" s="1636"/>
      <c r="E57" s="1636"/>
      <c r="F57" s="1636"/>
      <c r="G57" s="1636"/>
      <c r="H57" s="1637"/>
      <c r="I57" s="608"/>
      <c r="K57" s="421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1:24" s="103" customFormat="1" ht="9" customHeight="1">
      <c r="B58" s="620"/>
      <c r="C58" s="937"/>
      <c r="D58" s="937"/>
      <c r="E58" s="937"/>
      <c r="F58" s="937"/>
      <c r="G58" s="937"/>
      <c r="H58" s="937"/>
      <c r="I58" s="608"/>
      <c r="K58" s="421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1:24" ht="23.1" customHeight="1">
      <c r="B59" s="620"/>
      <c r="C59" s="1638" t="s">
        <v>434</v>
      </c>
      <c r="D59" s="1639"/>
      <c r="E59" s="1404" t="s">
        <v>1163</v>
      </c>
      <c r="F59" s="1376" t="s">
        <v>1105</v>
      </c>
      <c r="G59" s="1376" t="s">
        <v>1108</v>
      </c>
      <c r="H59" s="1377" t="s">
        <v>1109</v>
      </c>
      <c r="I59" s="608"/>
      <c r="K59" s="421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1:24" ht="23.1" customHeight="1">
      <c r="B60" s="620"/>
      <c r="C60" s="1642" t="s">
        <v>1113</v>
      </c>
      <c r="D60" s="1643"/>
      <c r="E60" s="1405"/>
      <c r="F60" s="1376"/>
      <c r="G60" s="1376"/>
      <c r="H60" s="1377"/>
      <c r="I60" s="608"/>
      <c r="K60" s="421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1:24" s="1434" customFormat="1" ht="23.1" customHeight="1">
      <c r="A61" s="96"/>
      <c r="B61" s="620"/>
      <c r="C61" s="1443" t="s">
        <v>1167</v>
      </c>
      <c r="D61" s="1449"/>
      <c r="E61" s="1450" t="s">
        <v>1025</v>
      </c>
      <c r="F61" s="1463"/>
      <c r="G61" s="1457"/>
      <c r="H61" s="1458"/>
      <c r="I61" s="957"/>
      <c r="K61" s="1429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1"/>
    </row>
    <row r="62" spans="1:24" s="1434" customFormat="1" ht="23.1" customHeight="1">
      <c r="A62" s="96"/>
      <c r="B62" s="620"/>
      <c r="C62" s="1451" t="s">
        <v>1132</v>
      </c>
      <c r="D62" s="1452"/>
      <c r="E62" s="1450" t="s">
        <v>1025</v>
      </c>
      <c r="F62" s="1463"/>
      <c r="G62" s="1457"/>
      <c r="H62" s="1458"/>
      <c r="I62" s="957"/>
      <c r="K62" s="1429"/>
      <c r="L62" s="1430"/>
      <c r="M62" s="1430"/>
      <c r="N62" s="1430"/>
      <c r="O62" s="1430"/>
      <c r="P62" s="1430"/>
      <c r="Q62" s="1430"/>
      <c r="R62" s="1430"/>
      <c r="S62" s="1430"/>
      <c r="T62" s="1430"/>
      <c r="U62" s="1430"/>
      <c r="V62" s="1430"/>
      <c r="W62" s="1430"/>
      <c r="X62" s="1431"/>
    </row>
    <row r="63" spans="1:24" s="1434" customFormat="1" ht="23.1" customHeight="1">
      <c r="A63" s="96"/>
      <c r="B63" s="620"/>
      <c r="C63" s="1451" t="s">
        <v>1164</v>
      </c>
      <c r="D63" s="1452"/>
      <c r="E63" s="1450" t="s">
        <v>1025</v>
      </c>
      <c r="F63" s="1463"/>
      <c r="G63" s="1457"/>
      <c r="H63" s="1458"/>
      <c r="I63" s="957"/>
      <c r="K63" s="1429"/>
      <c r="L63" s="1430"/>
      <c r="M63" s="1430"/>
      <c r="N63" s="1430"/>
      <c r="O63" s="1430"/>
      <c r="P63" s="1430"/>
      <c r="Q63" s="1430"/>
      <c r="R63" s="1430"/>
      <c r="S63" s="1430"/>
      <c r="T63" s="1430"/>
      <c r="U63" s="1430"/>
      <c r="V63" s="1430"/>
      <c r="W63" s="1430"/>
      <c r="X63" s="1431"/>
    </row>
    <row r="64" spans="1:24" s="1434" customFormat="1" ht="23.1" customHeight="1">
      <c r="A64" s="96"/>
      <c r="B64" s="620"/>
      <c r="C64" s="1451" t="s">
        <v>1165</v>
      </c>
      <c r="D64" s="1452"/>
      <c r="E64" s="1450" t="s">
        <v>1025</v>
      </c>
      <c r="F64" s="1463"/>
      <c r="G64" s="1457"/>
      <c r="H64" s="1458"/>
      <c r="I64" s="957"/>
      <c r="K64" s="1429"/>
      <c r="L64" s="1430"/>
      <c r="M64" s="1430"/>
      <c r="N64" s="1430"/>
      <c r="O64" s="1430"/>
      <c r="P64" s="1430"/>
      <c r="Q64" s="1430"/>
      <c r="R64" s="1430"/>
      <c r="S64" s="1430"/>
      <c r="T64" s="1430"/>
      <c r="U64" s="1430"/>
      <c r="V64" s="1430"/>
      <c r="W64" s="1430"/>
      <c r="X64" s="1431"/>
    </row>
    <row r="65" spans="1:24" s="1434" customFormat="1" ht="23.1" customHeight="1">
      <c r="A65" s="96"/>
      <c r="B65" s="620"/>
      <c r="C65" s="1451" t="s">
        <v>1166</v>
      </c>
      <c r="D65" s="1452"/>
      <c r="E65" s="1450" t="s">
        <v>1025</v>
      </c>
      <c r="F65" s="1463"/>
      <c r="G65" s="1457"/>
      <c r="H65" s="1458"/>
      <c r="I65" s="957"/>
      <c r="K65" s="1429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1"/>
    </row>
    <row r="66" spans="1:24" s="1434" customFormat="1" ht="23.1" customHeight="1">
      <c r="A66" s="96"/>
      <c r="B66" s="620"/>
      <c r="C66" s="1451" t="s">
        <v>1074</v>
      </c>
      <c r="D66" s="1452"/>
      <c r="E66" s="1450" t="s">
        <v>1025</v>
      </c>
      <c r="F66" s="1463"/>
      <c r="G66" s="1457"/>
      <c r="H66" s="1458"/>
      <c r="I66" s="957"/>
      <c r="K66" s="1429"/>
      <c r="L66" s="1430"/>
      <c r="M66" s="1430"/>
      <c r="N66" s="1430"/>
      <c r="O66" s="1430"/>
      <c r="P66" s="1430"/>
      <c r="Q66" s="1430"/>
      <c r="R66" s="1430"/>
      <c r="S66" s="1430"/>
      <c r="T66" s="1430"/>
      <c r="U66" s="1430"/>
      <c r="V66" s="1430"/>
      <c r="W66" s="1430"/>
      <c r="X66" s="1431"/>
    </row>
    <row r="67" spans="1:24" s="1434" customFormat="1" ht="23.1" customHeight="1">
      <c r="A67" s="96"/>
      <c r="B67" s="620"/>
      <c r="C67" s="1451" t="s">
        <v>1133</v>
      </c>
      <c r="D67" s="1452"/>
      <c r="E67" s="1450" t="s">
        <v>1026</v>
      </c>
      <c r="F67" s="1463"/>
      <c r="G67" s="1457"/>
      <c r="H67" s="1458"/>
      <c r="I67" s="957"/>
      <c r="K67" s="1429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1"/>
    </row>
    <row r="68" spans="1:24" s="1434" customFormat="1" ht="23.1" customHeight="1">
      <c r="A68" s="96"/>
      <c r="B68" s="620"/>
      <c r="C68" s="1451" t="s">
        <v>1134</v>
      </c>
      <c r="D68" s="1452"/>
      <c r="E68" s="1450" t="s">
        <v>1025</v>
      </c>
      <c r="F68" s="1463"/>
      <c r="G68" s="1457"/>
      <c r="H68" s="1458"/>
      <c r="I68" s="957"/>
      <c r="K68" s="1429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1"/>
    </row>
    <row r="69" spans="1:24" s="1434" customFormat="1" ht="23.1" customHeight="1">
      <c r="A69" s="96"/>
      <c r="B69" s="620"/>
      <c r="C69" s="1451" t="s">
        <v>1135</v>
      </c>
      <c r="D69" s="1452"/>
      <c r="E69" s="1450" t="s">
        <v>1026</v>
      </c>
      <c r="F69" s="1463"/>
      <c r="G69" s="1457"/>
      <c r="H69" s="1458"/>
      <c r="I69" s="957"/>
      <c r="K69" s="1429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1"/>
    </row>
    <row r="70" spans="1:24" s="1434" customFormat="1" ht="23.1" customHeight="1">
      <c r="A70" s="96"/>
      <c r="B70" s="620"/>
      <c r="C70" s="1451" t="s">
        <v>1136</v>
      </c>
      <c r="D70" s="1452"/>
      <c r="E70" s="1450" t="s">
        <v>1026</v>
      </c>
      <c r="F70" s="1463"/>
      <c r="G70" s="1457"/>
      <c r="H70" s="1458"/>
      <c r="I70" s="957"/>
      <c r="K70" s="1429"/>
      <c r="L70" s="1430"/>
      <c r="M70" s="1430"/>
      <c r="N70" s="1430"/>
      <c r="O70" s="1430"/>
      <c r="P70" s="1430"/>
      <c r="Q70" s="1430"/>
      <c r="R70" s="1430"/>
      <c r="S70" s="1430"/>
      <c r="T70" s="1430"/>
      <c r="U70" s="1430"/>
      <c r="V70" s="1430"/>
      <c r="W70" s="1430"/>
      <c r="X70" s="1431"/>
    </row>
    <row r="71" spans="1:24" s="1434" customFormat="1" ht="23.1" customHeight="1">
      <c r="A71" s="96"/>
      <c r="B71" s="620"/>
      <c r="C71" s="1451" t="s">
        <v>1137</v>
      </c>
      <c r="D71" s="1452"/>
      <c r="E71" s="1450" t="s">
        <v>1026</v>
      </c>
      <c r="F71" s="1463"/>
      <c r="G71" s="1457"/>
      <c r="H71" s="1458"/>
      <c r="I71" s="957"/>
      <c r="K71" s="1429"/>
      <c r="L71" s="1430"/>
      <c r="M71" s="1430"/>
      <c r="N71" s="1430"/>
      <c r="O71" s="1430"/>
      <c r="P71" s="1430"/>
      <c r="Q71" s="1430"/>
      <c r="R71" s="1430"/>
      <c r="S71" s="1430"/>
      <c r="T71" s="1430"/>
      <c r="U71" s="1430"/>
      <c r="V71" s="1430"/>
      <c r="W71" s="1430"/>
      <c r="X71" s="1431"/>
    </row>
    <row r="72" spans="1:24" s="1434" customFormat="1" ht="23.1" customHeight="1">
      <c r="A72" s="96"/>
      <c r="B72" s="620"/>
      <c r="C72" s="1453" t="s">
        <v>1138</v>
      </c>
      <c r="D72" s="1444"/>
      <c r="E72" s="1435" t="s">
        <v>1026</v>
      </c>
      <c r="F72" s="1455"/>
      <c r="G72" s="1459"/>
      <c r="H72" s="1459"/>
      <c r="I72" s="957"/>
      <c r="K72" s="1429"/>
      <c r="L72" s="1430"/>
      <c r="M72" s="1430"/>
      <c r="N72" s="1430"/>
      <c r="O72" s="1430"/>
      <c r="P72" s="1430"/>
      <c r="Q72" s="1430"/>
      <c r="R72" s="1430"/>
      <c r="S72" s="1430"/>
      <c r="T72" s="1430"/>
      <c r="U72" s="1430"/>
      <c r="V72" s="1430"/>
      <c r="W72" s="1430"/>
      <c r="X72" s="1431"/>
    </row>
    <row r="73" spans="1:24" s="1434" customFormat="1" ht="23.1" customHeight="1">
      <c r="A73" s="96"/>
      <c r="B73" s="620"/>
      <c r="C73" s="1453" t="s">
        <v>1139</v>
      </c>
      <c r="D73" s="1444"/>
      <c r="E73" s="1435" t="s">
        <v>1026</v>
      </c>
      <c r="F73" s="1455"/>
      <c r="G73" s="1459"/>
      <c r="H73" s="1459"/>
      <c r="I73" s="957"/>
      <c r="K73" s="1429"/>
      <c r="L73" s="1430"/>
      <c r="M73" s="1430"/>
      <c r="N73" s="1430"/>
      <c r="O73" s="1430"/>
      <c r="P73" s="1430"/>
      <c r="Q73" s="1430"/>
      <c r="R73" s="1430"/>
      <c r="S73" s="1430"/>
      <c r="T73" s="1430"/>
      <c r="U73" s="1430"/>
      <c r="V73" s="1430"/>
      <c r="W73" s="1430"/>
      <c r="X73" s="1431"/>
    </row>
    <row r="74" spans="1:24" s="1434" customFormat="1" ht="23.1" customHeight="1">
      <c r="A74" s="96"/>
      <c r="B74" s="620"/>
      <c r="C74" s="1453" t="s">
        <v>1140</v>
      </c>
      <c r="D74" s="1444"/>
      <c r="E74" s="1435" t="s">
        <v>1026</v>
      </c>
      <c r="F74" s="1455"/>
      <c r="G74" s="1459"/>
      <c r="H74" s="1459"/>
      <c r="I74" s="957"/>
      <c r="K74" s="1429"/>
      <c r="L74" s="1430"/>
      <c r="M74" s="1430"/>
      <c r="N74" s="1430"/>
      <c r="O74" s="1430"/>
      <c r="P74" s="1430"/>
      <c r="Q74" s="1430"/>
      <c r="R74" s="1430"/>
      <c r="S74" s="1430"/>
      <c r="T74" s="1430"/>
      <c r="U74" s="1430"/>
      <c r="V74" s="1430"/>
      <c r="W74" s="1430"/>
      <c r="X74" s="1431"/>
    </row>
    <row r="75" spans="1:24" ht="23.1" customHeight="1">
      <c r="B75" s="620"/>
      <c r="C75" s="1453" t="s">
        <v>1141</v>
      </c>
      <c r="D75" s="1444"/>
      <c r="E75" s="1426" t="s">
        <v>1025</v>
      </c>
      <c r="F75" s="1456"/>
      <c r="G75" s="1460"/>
      <c r="H75" s="1460"/>
      <c r="I75" s="608"/>
      <c r="K75" s="421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1:24" ht="23.1" customHeight="1">
      <c r="B76" s="620"/>
      <c r="C76" s="1453" t="s">
        <v>1142</v>
      </c>
      <c r="D76" s="1444"/>
      <c r="E76" s="1426" t="s">
        <v>1025</v>
      </c>
      <c r="F76" s="1456"/>
      <c r="G76" s="1460"/>
      <c r="H76" s="1460"/>
      <c r="I76" s="608"/>
      <c r="K76" s="421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1:24" ht="23.1" customHeight="1">
      <c r="B77" s="620"/>
      <c r="C77" s="1453" t="s">
        <v>1143</v>
      </c>
      <c r="D77" s="1444"/>
      <c r="E77" s="1426" t="s">
        <v>1025</v>
      </c>
      <c r="F77" s="1456"/>
      <c r="G77" s="1460"/>
      <c r="H77" s="1460"/>
      <c r="I77" s="608"/>
      <c r="K77" s="421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1:24" ht="23.1" customHeight="1">
      <c r="B78" s="620"/>
      <c r="C78" s="1454" t="s">
        <v>1144</v>
      </c>
      <c r="D78" s="1445"/>
      <c r="E78" s="1426" t="s">
        <v>1025</v>
      </c>
      <c r="F78" s="1456"/>
      <c r="G78" s="1460"/>
      <c r="H78" s="1460"/>
      <c r="I78" s="608"/>
      <c r="K78" s="421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1:24" ht="23.1" customHeight="1">
      <c r="B79" s="620"/>
      <c r="C79" s="1640" t="s">
        <v>1110</v>
      </c>
      <c r="D79" s="1641"/>
      <c r="E79" s="1439"/>
      <c r="F79" s="1464"/>
      <c r="G79" s="1461"/>
      <c r="H79" s="1462"/>
      <c r="I79" s="608"/>
      <c r="K79" s="421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1:24" s="1434" customFormat="1" ht="23.1" customHeight="1">
      <c r="A80" s="96"/>
      <c r="B80" s="620"/>
      <c r="C80" s="1436" t="s">
        <v>1145</v>
      </c>
      <c r="D80" s="1437"/>
      <c r="E80" s="1426" t="s">
        <v>1026</v>
      </c>
      <c r="F80" s="1456"/>
      <c r="G80" s="1460"/>
      <c r="H80" s="1460"/>
      <c r="I80" s="957"/>
      <c r="K80" s="1429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1"/>
    </row>
    <row r="81" spans="1:24" s="1434" customFormat="1" ht="23.1" customHeight="1">
      <c r="A81" s="96"/>
      <c r="B81" s="620"/>
      <c r="C81" s="1436" t="s">
        <v>1146</v>
      </c>
      <c r="D81" s="1437"/>
      <c r="E81" s="1426" t="s">
        <v>1026</v>
      </c>
      <c r="F81" s="1456"/>
      <c r="G81" s="1460"/>
      <c r="H81" s="1460"/>
      <c r="I81" s="957"/>
      <c r="K81" s="1429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1"/>
    </row>
    <row r="82" spans="1:24" s="1434" customFormat="1" ht="23.1" customHeight="1">
      <c r="A82" s="96"/>
      <c r="B82" s="620"/>
      <c r="C82" s="1436" t="s">
        <v>1147</v>
      </c>
      <c r="D82" s="1437"/>
      <c r="E82" s="1426" t="s">
        <v>1025</v>
      </c>
      <c r="F82" s="1456"/>
      <c r="G82" s="1460"/>
      <c r="H82" s="1460"/>
      <c r="I82" s="957"/>
      <c r="K82" s="1429"/>
      <c r="L82" s="1430"/>
      <c r="M82" s="1430"/>
      <c r="N82" s="1430"/>
      <c r="O82" s="1430"/>
      <c r="P82" s="1430"/>
      <c r="Q82" s="1430"/>
      <c r="R82" s="1430"/>
      <c r="S82" s="1430"/>
      <c r="T82" s="1430"/>
      <c r="U82" s="1430"/>
      <c r="V82" s="1430"/>
      <c r="W82" s="1430"/>
      <c r="X82" s="1431"/>
    </row>
    <row r="83" spans="1:24" s="1434" customFormat="1" ht="23.1" customHeight="1">
      <c r="A83" s="96"/>
      <c r="B83" s="620"/>
      <c r="C83" s="1436" t="s">
        <v>1148</v>
      </c>
      <c r="D83" s="1437"/>
      <c r="E83" s="1426" t="s">
        <v>1026</v>
      </c>
      <c r="F83" s="1456"/>
      <c r="G83" s="1460"/>
      <c r="H83" s="1460"/>
      <c r="I83" s="957"/>
      <c r="K83" s="1429"/>
      <c r="L83" s="1430"/>
      <c r="M83" s="1430"/>
      <c r="N83" s="1430"/>
      <c r="O83" s="1430"/>
      <c r="P83" s="1430"/>
      <c r="Q83" s="1430"/>
      <c r="R83" s="1430"/>
      <c r="S83" s="1430"/>
      <c r="T83" s="1430"/>
      <c r="U83" s="1430"/>
      <c r="V83" s="1430"/>
      <c r="W83" s="1430"/>
      <c r="X83" s="1431"/>
    </row>
    <row r="84" spans="1:24" ht="23.1" customHeight="1">
      <c r="B84" s="620"/>
      <c r="C84" s="1447" t="s">
        <v>1149</v>
      </c>
      <c r="D84" s="1379"/>
      <c r="E84" s="1426" t="s">
        <v>1025</v>
      </c>
      <c r="F84" s="1456"/>
      <c r="G84" s="1460"/>
      <c r="H84" s="1460"/>
      <c r="I84" s="608"/>
      <c r="K84" s="421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1:24" ht="23.1" customHeight="1">
      <c r="B85" s="620"/>
      <c r="C85" s="1447" t="s">
        <v>1150</v>
      </c>
      <c r="D85" s="1379"/>
      <c r="E85" s="1426" t="s">
        <v>1026</v>
      </c>
      <c r="F85" s="1456"/>
      <c r="G85" s="1460"/>
      <c r="H85" s="1460"/>
      <c r="I85" s="608"/>
      <c r="K85" s="421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1:24" ht="23.1" customHeight="1">
      <c r="B86" s="620"/>
      <c r="C86" s="1447" t="s">
        <v>1151</v>
      </c>
      <c r="D86" s="1379"/>
      <c r="E86" s="1426" t="s">
        <v>1025</v>
      </c>
      <c r="F86" s="1456"/>
      <c r="G86" s="1460"/>
      <c r="H86" s="1460"/>
      <c r="I86" s="608"/>
      <c r="K86" s="421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1:24" ht="23.1" customHeight="1">
      <c r="B87" s="620"/>
      <c r="C87" s="1447" t="s">
        <v>1152</v>
      </c>
      <c r="D87" s="1379"/>
      <c r="E87" s="1426" t="s">
        <v>1025</v>
      </c>
      <c r="F87" s="1456"/>
      <c r="G87" s="1460"/>
      <c r="H87" s="1460"/>
      <c r="I87" s="608"/>
      <c r="K87" s="421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1:24" ht="23.1" customHeight="1">
      <c r="B88" s="620"/>
      <c r="C88" s="1447" t="s">
        <v>1153</v>
      </c>
      <c r="D88" s="1379"/>
      <c r="E88" s="1426" t="s">
        <v>1025</v>
      </c>
      <c r="F88" s="1456"/>
      <c r="G88" s="1460"/>
      <c r="H88" s="1460"/>
      <c r="I88" s="608"/>
      <c r="K88" s="421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1:24" ht="23.1" customHeight="1">
      <c r="B89" s="620"/>
      <c r="C89" s="1447" t="s">
        <v>1154</v>
      </c>
      <c r="D89" s="1379"/>
      <c r="E89" s="1426" t="s">
        <v>1025</v>
      </c>
      <c r="F89" s="1456"/>
      <c r="G89" s="1460"/>
      <c r="H89" s="1460"/>
      <c r="I89" s="608"/>
      <c r="K89" s="421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1:24" ht="23.1" customHeight="1">
      <c r="B90" s="620"/>
      <c r="C90" s="1640" t="s">
        <v>1111</v>
      </c>
      <c r="D90" s="1641"/>
      <c r="E90" s="1439"/>
      <c r="F90" s="1464"/>
      <c r="G90" s="1461"/>
      <c r="H90" s="1462"/>
      <c r="I90" s="608"/>
      <c r="K90" s="421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1:24" ht="23.1" customHeight="1">
      <c r="B91" s="620"/>
      <c r="C91" s="1447" t="s">
        <v>1159</v>
      </c>
      <c r="D91" s="1379"/>
      <c r="E91" s="1426" t="s">
        <v>1026</v>
      </c>
      <c r="F91" s="1456"/>
      <c r="G91" s="1460"/>
      <c r="H91" s="1460"/>
      <c r="I91" s="608"/>
      <c r="K91" s="421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1:24" ht="23.1" customHeight="1">
      <c r="B92" s="620"/>
      <c r="C92" s="1447" t="s">
        <v>1160</v>
      </c>
      <c r="D92" s="1379"/>
      <c r="E92" s="1426" t="s">
        <v>1026</v>
      </c>
      <c r="F92" s="1456"/>
      <c r="G92" s="1460"/>
      <c r="H92" s="1460"/>
      <c r="I92" s="608"/>
      <c r="K92" s="421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1:24" ht="23.1" customHeight="1">
      <c r="B93" s="620"/>
      <c r="C93" s="1447" t="s">
        <v>1161</v>
      </c>
      <c r="D93" s="1379"/>
      <c r="E93" s="1426" t="s">
        <v>1026</v>
      </c>
      <c r="F93" s="1456"/>
      <c r="G93" s="1460"/>
      <c r="H93" s="1460"/>
      <c r="I93" s="608"/>
      <c r="K93" s="421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1:24" ht="23.1" customHeight="1">
      <c r="B94" s="620"/>
      <c r="C94" s="1447" t="s">
        <v>1162</v>
      </c>
      <c r="D94" s="1379"/>
      <c r="E94" s="1426" t="s">
        <v>1026</v>
      </c>
      <c r="F94" s="1456"/>
      <c r="G94" s="1460"/>
      <c r="H94" s="1460"/>
      <c r="I94" s="608"/>
      <c r="K94" s="421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1:24" ht="23.1" customHeight="1">
      <c r="B95" s="620"/>
      <c r="C95" s="1447" t="s">
        <v>1155</v>
      </c>
      <c r="D95" s="1379"/>
      <c r="E95" s="1426" t="s">
        <v>1025</v>
      </c>
      <c r="F95" s="1456"/>
      <c r="G95" s="1460"/>
      <c r="H95" s="1460"/>
      <c r="I95" s="608"/>
      <c r="K95" s="421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1:24" ht="23.1" customHeight="1">
      <c r="B96" s="620"/>
      <c r="C96" s="1447" t="s">
        <v>1156</v>
      </c>
      <c r="D96" s="1379"/>
      <c r="E96" s="1426" t="s">
        <v>1025</v>
      </c>
      <c r="F96" s="1456"/>
      <c r="G96" s="1460"/>
      <c r="H96" s="1460"/>
      <c r="I96" s="608"/>
      <c r="K96" s="421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3.1" customHeight="1">
      <c r="B97" s="620"/>
      <c r="C97" s="1447" t="s">
        <v>1157</v>
      </c>
      <c r="D97" s="1379"/>
      <c r="E97" s="1426" t="s">
        <v>1025</v>
      </c>
      <c r="F97" s="1456"/>
      <c r="G97" s="1460"/>
      <c r="H97" s="1460"/>
      <c r="I97" s="608"/>
      <c r="K97" s="421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3.1" customHeight="1">
      <c r="B98" s="620"/>
      <c r="C98" s="1447" t="s">
        <v>1158</v>
      </c>
      <c r="D98" s="1379"/>
      <c r="E98" s="1426" t="s">
        <v>1025</v>
      </c>
      <c r="F98" s="1456"/>
      <c r="G98" s="1460"/>
      <c r="H98" s="1460"/>
      <c r="I98" s="608"/>
      <c r="K98" s="421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s="188" customFormat="1" ht="23.1" customHeight="1" thickBot="1">
      <c r="B99" s="611"/>
      <c r="C99" s="1615"/>
      <c r="D99" s="1617"/>
      <c r="E99" s="1403"/>
      <c r="F99" s="1371" t="s">
        <v>467</v>
      </c>
      <c r="G99" s="656">
        <f>SUM(G61:G98)</f>
        <v>0</v>
      </c>
      <c r="H99" s="656">
        <f>SUM(H61:H98)</f>
        <v>0</v>
      </c>
      <c r="I99" s="609"/>
      <c r="K99" s="421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3.1" customHeight="1">
      <c r="B100" s="620"/>
      <c r="C100" s="598"/>
      <c r="D100" s="598"/>
      <c r="E100" s="598"/>
      <c r="F100" s="948"/>
      <c r="G100" s="948"/>
      <c r="H100" s="618"/>
      <c r="I100" s="608"/>
      <c r="K100" s="421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4"/>
    </row>
    <row r="101" spans="2:24" ht="23.1" customHeight="1">
      <c r="B101" s="620"/>
      <c r="C101" s="676" t="s">
        <v>405</v>
      </c>
      <c r="D101" s="598"/>
      <c r="E101" s="598"/>
      <c r="F101" s="948"/>
      <c r="G101" s="948"/>
      <c r="H101" s="618"/>
      <c r="I101" s="608"/>
      <c r="K101" s="421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4"/>
    </row>
    <row r="102" spans="2:24" ht="15.95" customHeight="1">
      <c r="B102" s="620"/>
      <c r="C102" s="1247" t="s">
        <v>514</v>
      </c>
      <c r="D102" s="598"/>
      <c r="E102" s="598"/>
      <c r="F102" s="948"/>
      <c r="G102" s="948"/>
      <c r="H102" s="618"/>
      <c r="I102" s="608"/>
      <c r="K102" s="421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4"/>
    </row>
    <row r="103" spans="2:24" ht="15.95" customHeight="1">
      <c r="B103" s="620"/>
      <c r="C103" s="1247" t="s">
        <v>1131</v>
      </c>
      <c r="D103" s="598"/>
      <c r="E103" s="598"/>
      <c r="F103" s="948"/>
      <c r="G103" s="948"/>
      <c r="H103" s="618"/>
      <c r="I103" s="608"/>
      <c r="K103" s="421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4"/>
    </row>
    <row r="104" spans="2:24" ht="15.95" customHeight="1">
      <c r="B104" s="620"/>
      <c r="C104" s="1438" t="s">
        <v>1112</v>
      </c>
      <c r="D104" s="1247"/>
      <c r="E104" s="1247"/>
      <c r="F104" s="678"/>
      <c r="G104" s="678"/>
      <c r="H104" s="618"/>
      <c r="I104" s="608"/>
      <c r="K104" s="421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4"/>
    </row>
    <row r="105" spans="2:24" ht="23.1" customHeight="1" thickBot="1">
      <c r="B105" s="679"/>
      <c r="C105" s="1498"/>
      <c r="D105" s="1498"/>
      <c r="E105" s="1401"/>
      <c r="F105" s="1369"/>
      <c r="G105" s="1369"/>
      <c r="H105" s="1372"/>
      <c r="I105" s="681"/>
      <c r="K105" s="415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7"/>
    </row>
    <row r="106" spans="2:24" ht="23.1" customHeight="1">
      <c r="C106" s="103"/>
      <c r="D106" s="103"/>
      <c r="E106" s="103"/>
      <c r="F106" s="104"/>
      <c r="G106" s="104"/>
      <c r="H106" s="104"/>
      <c r="J106" s="96" t="s">
        <v>885</v>
      </c>
    </row>
    <row r="107" spans="2:24" ht="12.75">
      <c r="C107" s="123" t="s">
        <v>70</v>
      </c>
      <c r="D107" s="103"/>
      <c r="E107" s="103"/>
      <c r="F107" s="104"/>
      <c r="G107" s="104"/>
      <c r="H107" s="94" t="s">
        <v>506</v>
      </c>
    </row>
    <row r="108" spans="2:24" ht="12.75">
      <c r="C108" s="124" t="s">
        <v>71</v>
      </c>
      <c r="D108" s="103"/>
      <c r="E108" s="103"/>
      <c r="F108" s="104"/>
      <c r="G108" s="104"/>
      <c r="H108" s="104"/>
    </row>
    <row r="109" spans="2:24" ht="12.75">
      <c r="C109" s="124" t="s">
        <v>72</v>
      </c>
      <c r="D109" s="103"/>
      <c r="E109" s="103"/>
      <c r="F109" s="104"/>
      <c r="G109" s="104"/>
      <c r="H109" s="104"/>
    </row>
    <row r="110" spans="2:24" ht="12.75">
      <c r="C110" s="124" t="s">
        <v>73</v>
      </c>
      <c r="D110" s="103"/>
      <c r="E110" s="103"/>
      <c r="F110" s="104"/>
      <c r="G110" s="104"/>
      <c r="H110" s="104"/>
    </row>
    <row r="111" spans="2:24" ht="12.75">
      <c r="C111" s="124" t="s">
        <v>74</v>
      </c>
      <c r="D111" s="103"/>
      <c r="E111" s="103"/>
      <c r="F111" s="104"/>
      <c r="G111" s="104"/>
      <c r="H111" s="104"/>
    </row>
    <row r="112" spans="2:24" s="1422" customFormat="1" ht="12.75">
      <c r="C112" s="1423"/>
      <c r="D112" s="1423"/>
      <c r="E112" s="1423"/>
      <c r="F112" s="1424"/>
      <c r="G112" s="1424"/>
      <c r="H112" s="1424"/>
    </row>
    <row r="113" s="1422" customFormat="1" ht="12.75"/>
    <row r="114" s="1422" customFormat="1" ht="12.75"/>
    <row r="115" s="1422" customFormat="1" ht="12.75"/>
    <row r="116" s="1422" customFormat="1" ht="12.75"/>
    <row r="117" s="1422" customFormat="1" ht="12.75"/>
    <row r="118" s="1422" customFormat="1" ht="12.75"/>
    <row r="119" s="1422" customFormat="1" ht="12.75"/>
    <row r="120" s="1422" customFormat="1" ht="12.75"/>
    <row r="121" s="1422" customFormat="1" ht="12.75"/>
    <row r="122" s="1422" customFormat="1" ht="12.75"/>
    <row r="123" s="1422" customFormat="1" ht="12.75"/>
    <row r="124" s="1422" customFormat="1" ht="12.75"/>
    <row r="125" s="1422" customFormat="1" ht="12.75"/>
    <row r="126" s="1422" customFormat="1" ht="12.75"/>
    <row r="127" s="1422" customFormat="1" ht="12.75"/>
    <row r="128" s="1422" customFormat="1" ht="12.75"/>
    <row r="129" s="1422" customFormat="1" ht="12.75"/>
    <row r="130" s="1422" customFormat="1" ht="12.75"/>
    <row r="131" s="1422" customFormat="1" ht="12.75"/>
    <row r="132" s="1422" customFormat="1" ht="12.75"/>
    <row r="133" s="1422" customFormat="1" ht="12.75"/>
    <row r="134" s="1422" customFormat="1" ht="12.75"/>
    <row r="135" s="1422" customFormat="1" ht="12.75"/>
    <row r="136" s="1422" customFormat="1" ht="12.75"/>
    <row r="137" s="1422" customFormat="1" ht="12.75"/>
    <row r="138" s="1422" customFormat="1" ht="12.75"/>
    <row r="139" s="1422" customFormat="1" ht="12.75"/>
    <row r="140" s="1422" customFormat="1" ht="12.75"/>
    <row r="141" s="1422" customFormat="1" ht="12.75"/>
    <row r="142" s="1422" customFormat="1" ht="12.75"/>
    <row r="143" s="1422" customFormat="1" ht="12.75"/>
    <row r="144" s="1422" customFormat="1" ht="12.75"/>
    <row r="145" s="1422" customFormat="1" ht="12.75"/>
    <row r="146" s="1422" customFormat="1" ht="12.75"/>
    <row r="147" s="1422" customFormat="1" ht="12.75"/>
    <row r="148" s="1422" customFormat="1" ht="12.75"/>
    <row r="149" s="1422" customFormat="1" ht="12.75"/>
    <row r="150" s="1422" customFormat="1" ht="12.75"/>
    <row r="151" s="1422" customFormat="1" ht="12.75"/>
    <row r="152" s="1422" customFormat="1" ht="12.75"/>
    <row r="153" s="1422" customFormat="1" ht="12.75"/>
    <row r="154" s="1422" customFormat="1" ht="12.75"/>
    <row r="155" s="1422" customFormat="1" ht="12.75"/>
    <row r="156" s="1422" customFormat="1" ht="12.75"/>
    <row r="157" s="1422" customFormat="1" ht="12.75"/>
    <row r="158" s="1422" customFormat="1" ht="12.75"/>
    <row r="159" s="1422" customFormat="1" ht="12.75"/>
    <row r="160" s="1422" customFormat="1" ht="12.75"/>
    <row r="161" spans="4:8" s="1422" customFormat="1" ht="12.75">
      <c r="D161" s="1425"/>
      <c r="E161" s="1425"/>
      <c r="F161" s="1425"/>
    </row>
    <row r="162" spans="4:8" s="1422" customFormat="1" ht="23.1" customHeight="1">
      <c r="D162" s="1425"/>
      <c r="E162" s="1425"/>
      <c r="F162" s="1425"/>
    </row>
    <row r="163" spans="4:8" s="1422" customFormat="1" ht="23.1" customHeight="1">
      <c r="D163" s="1425"/>
      <c r="E163" s="1425"/>
      <c r="F163" s="1425"/>
    </row>
    <row r="164" spans="4:8" s="1422" customFormat="1" ht="23.1" customHeight="1">
      <c r="D164" s="1425"/>
      <c r="E164" s="1425"/>
      <c r="F164" s="1425"/>
    </row>
    <row r="165" spans="4:8" s="1422" customFormat="1" ht="23.1" customHeight="1">
      <c r="D165" s="1425"/>
      <c r="E165" s="1425"/>
      <c r="F165" s="1425"/>
    </row>
    <row r="166" spans="4:8" s="1422" customFormat="1" ht="23.1" customHeight="1">
      <c r="D166" s="1425"/>
      <c r="E166" s="1425"/>
      <c r="F166" s="1425"/>
    </row>
    <row r="167" spans="4:8" s="1422" customFormat="1" ht="23.1" customHeight="1">
      <c r="D167" s="1425"/>
      <c r="E167" s="1425"/>
      <c r="F167" s="1425"/>
      <c r="G167" s="1425"/>
      <c r="H167" s="1425"/>
    </row>
    <row r="168" spans="4:8" s="1422" customFormat="1" ht="23.1" customHeight="1">
      <c r="D168" s="1425"/>
      <c r="E168" s="1425"/>
      <c r="F168" s="1425"/>
      <c r="G168" s="1425"/>
      <c r="H168" s="1425"/>
    </row>
    <row r="169" spans="4:8" s="1422" customFormat="1" ht="23.1" customHeight="1">
      <c r="F169" s="1425"/>
      <c r="G169" s="1425"/>
      <c r="H169" s="1425"/>
    </row>
    <row r="170" spans="4:8" s="1422" customFormat="1" ht="23.1" customHeight="1">
      <c r="F170" s="1425"/>
      <c r="G170" s="1425"/>
      <c r="H170" s="1425"/>
    </row>
    <row r="171" spans="4:8" s="1422" customFormat="1" ht="23.1" customHeight="1">
      <c r="F171" s="1425"/>
      <c r="G171" s="1425"/>
      <c r="H171" s="1425"/>
    </row>
    <row r="172" spans="4:8" s="1422" customFormat="1" ht="23.1" customHeight="1">
      <c r="F172" s="1425"/>
      <c r="G172" s="1425"/>
      <c r="H172" s="1425"/>
    </row>
  </sheetData>
  <sheetProtection algorithmName="SHA-512" hashValue="dDMpknueVCU5TBc6kMm/eyIacSHDJ1Y+CzOV3IGBpamBQ7ayVf8gT2J34FGRJrH4siO7kfsnOXh7MWYHLj9g3Q==" saltValue="exE7FZp9vODtivynSLlPug==" spinCount="100000" sheet="1" objects="1" scenarios="1"/>
  <mergeCells count="16">
    <mergeCell ref="H6:H7"/>
    <mergeCell ref="D9:H9"/>
    <mergeCell ref="C12:D12"/>
    <mergeCell ref="C99:D99"/>
    <mergeCell ref="C105:D105"/>
    <mergeCell ref="C13:H13"/>
    <mergeCell ref="C15:D15"/>
    <mergeCell ref="C55:D55"/>
    <mergeCell ref="C59:D59"/>
    <mergeCell ref="C57:H57"/>
    <mergeCell ref="C90:D90"/>
    <mergeCell ref="C16:D16"/>
    <mergeCell ref="C35:D35"/>
    <mergeCell ref="C46:D46"/>
    <mergeCell ref="C60:D60"/>
    <mergeCell ref="C79:D79"/>
  </mergeCells>
  <phoneticPr fontId="21" type="noConversion"/>
  <dataValidations count="3">
    <dataValidation type="list" showDropDown="1" showInputMessage="1" showErrorMessage="1" sqref="C36:C45 C84:C89" xr:uid="{00000000-0002-0000-1200-000000000000}">
      <formula1>$C$136:$C$150</formula1>
    </dataValidation>
    <dataValidation type="list" showDropDown="1" showInputMessage="1" showErrorMessage="1" sqref="C47:C54 C91:C98" xr:uid="{00000000-0002-0000-1200-000001000000}">
      <formula1>$C$152:$C$160</formula1>
    </dataValidation>
    <dataValidation type="list" showDropDown="1" showInputMessage="1" showErrorMessage="1" sqref="C72:C78 C19:C34" xr:uid="{00000000-0002-0000-1200-000002000000}">
      <formula1>$C$114:$C$134</formula1>
    </dataValidation>
  </dataValidations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ignoredErrors>
    <ignoredError sqref="E46 E35 E79 E90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2:M78"/>
  <sheetViews>
    <sheetView zoomScale="54" zoomScaleNormal="70" workbookViewId="0">
      <pane ySplit="14" topLeftCell="A15" activePane="bottomLeft" state="frozen"/>
      <selection pane="bottomLeft" activeCell="F47" sqref="F47"/>
    </sheetView>
  </sheetViews>
  <sheetFormatPr baseColWidth="10" defaultColWidth="10.6640625" defaultRowHeight="23.1" customHeight="1"/>
  <cols>
    <col min="1" max="1" width="3" style="276" customWidth="1"/>
    <col min="2" max="2" width="3.109375" style="276" customWidth="1"/>
    <col min="3" max="3" width="12.109375" style="276" customWidth="1"/>
    <col min="4" max="4" width="73.6640625" style="276" customWidth="1"/>
    <col min="5" max="5" width="42.44140625" style="276" customWidth="1"/>
    <col min="6" max="7" width="39.33203125" style="276" customWidth="1"/>
    <col min="8" max="8" width="3.5546875" style="276" customWidth="1"/>
    <col min="9" max="9" width="10.6640625" style="276"/>
    <col min="10" max="12" width="4.109375" style="276" customWidth="1"/>
    <col min="13" max="13" width="11.5546875" style="276" bestFit="1" customWidth="1"/>
    <col min="14" max="16384" width="10.6640625" style="276"/>
  </cols>
  <sheetData>
    <row r="2" spans="2:13" ht="23.1" customHeight="1">
      <c r="D2" s="298" t="str">
        <f>_GENERAL!D2</f>
        <v>Área de Presidencia, Hacienda y Modernización</v>
      </c>
    </row>
    <row r="3" spans="2:13" ht="23.1" customHeight="1">
      <c r="D3" s="298" t="str">
        <f>_GENERAL!D3</f>
        <v>Dirección Insular de Hacienda</v>
      </c>
    </row>
    <row r="4" spans="2:13" ht="23.1" customHeight="1" thickBot="1"/>
    <row r="5" spans="2:13" ht="9" customHeight="1">
      <c r="B5" s="863" t="s">
        <v>727</v>
      </c>
      <c r="C5" s="349"/>
      <c r="D5" s="349"/>
      <c r="E5" s="349"/>
      <c r="F5" s="349"/>
      <c r="G5" s="349"/>
      <c r="H5" s="350"/>
    </row>
    <row r="6" spans="2:13" ht="30" customHeight="1">
      <c r="B6" s="351"/>
      <c r="C6" s="1" t="s">
        <v>0</v>
      </c>
      <c r="D6" s="22"/>
      <c r="E6" s="22"/>
      <c r="F6" s="348"/>
      <c r="G6" s="1489">
        <f>ejercicio</f>
        <v>2021</v>
      </c>
      <c r="H6" s="352"/>
    </row>
    <row r="7" spans="2:13" ht="30" customHeight="1">
      <c r="B7" s="351"/>
      <c r="C7" s="1" t="s">
        <v>1</v>
      </c>
      <c r="D7" s="348"/>
      <c r="E7" s="348"/>
      <c r="F7" s="348"/>
      <c r="G7" s="1489">
        <v>2018</v>
      </c>
      <c r="H7" s="352"/>
    </row>
    <row r="8" spans="2:13" ht="30" customHeight="1">
      <c r="B8" s="351"/>
      <c r="C8" s="348"/>
      <c r="D8" s="348"/>
      <c r="E8" s="348"/>
      <c r="F8" s="348"/>
      <c r="G8" s="16"/>
      <c r="H8" s="352"/>
      <c r="J8" s="353"/>
    </row>
    <row r="9" spans="2:13" ht="30" customHeight="1">
      <c r="B9" s="351"/>
      <c r="C9" s="38" t="s">
        <v>2</v>
      </c>
      <c r="D9" s="1494" t="str">
        <f>Entidad</f>
        <v>Spet, turismo de Tenerife s.a</v>
      </c>
      <c r="E9" s="1494"/>
      <c r="F9" s="1494"/>
      <c r="G9" s="1494"/>
      <c r="H9" s="352"/>
    </row>
    <row r="10" spans="2:13" ht="6.95" customHeight="1">
      <c r="B10" s="351"/>
      <c r="C10" s="348"/>
      <c r="D10" s="348"/>
      <c r="E10" s="348"/>
      <c r="F10" s="348"/>
      <c r="G10" s="354"/>
      <c r="H10" s="352"/>
    </row>
    <row r="11" spans="2:13" s="12" customFormat="1" ht="30" customHeight="1">
      <c r="B11" s="23"/>
      <c r="C11" s="861" t="s">
        <v>726</v>
      </c>
      <c r="D11" s="862"/>
      <c r="E11" s="862"/>
      <c r="F11" s="862"/>
      <c r="G11" s="862"/>
      <c r="H11" s="24"/>
    </row>
    <row r="12" spans="2:13" ht="23.1" customHeight="1">
      <c r="B12" s="351"/>
      <c r="C12" s="348"/>
      <c r="D12" s="348"/>
      <c r="E12" s="348"/>
      <c r="F12" s="348"/>
      <c r="G12" s="348"/>
      <c r="H12" s="352"/>
    </row>
    <row r="13" spans="2:13" ht="23.1" customHeight="1">
      <c r="B13" s="351"/>
      <c r="C13" s="348"/>
      <c r="D13" s="348"/>
      <c r="E13" s="837" t="s">
        <v>695</v>
      </c>
      <c r="F13" s="837" t="s">
        <v>694</v>
      </c>
      <c r="G13" s="837" t="s">
        <v>696</v>
      </c>
      <c r="H13" s="352"/>
    </row>
    <row r="14" spans="2:13" ht="23.1" customHeight="1">
      <c r="B14" s="351"/>
      <c r="D14" s="348"/>
      <c r="E14" s="838">
        <f>ejercicio-2</f>
        <v>2019</v>
      </c>
      <c r="F14" s="838">
        <f>ejercicio-1</f>
        <v>2020</v>
      </c>
      <c r="G14" s="838">
        <f>ejercicio</f>
        <v>2021</v>
      </c>
      <c r="H14" s="352"/>
    </row>
    <row r="15" spans="2:13" s="843" customFormat="1" ht="30" customHeight="1">
      <c r="B15" s="839"/>
      <c r="C15" s="840" t="s">
        <v>598</v>
      </c>
      <c r="D15" s="840"/>
      <c r="E15" s="841" t="str">
        <f>IF(ROUND('FC-4_ACTIVO'!E94-'FC-4_PASIVO'!E86,2)=0,"Ok","Mal, revisa FC-4")</f>
        <v>Ok</v>
      </c>
      <c r="F15" s="841" t="str">
        <f>IF(ROUND('FC-4_ACTIVO'!F94-'FC-4_PASIVO'!F86,2)=0,"Ok","Mal, revisa FC-4")</f>
        <v>Ok</v>
      </c>
      <c r="G15" s="841" t="str">
        <f>IF(ROUND('FC-4_ACTIVO'!G94-'FC-4_PASIVO'!G86,2)=0,"Ok","Mal, revisa FC-4")</f>
        <v>Ok</v>
      </c>
      <c r="H15" s="842"/>
      <c r="J15" s="844">
        <f>IF(E15="Ok",0,1)</f>
        <v>0</v>
      </c>
      <c r="K15" s="844">
        <f>IF(F15="Ok",0,1)</f>
        <v>0</v>
      </c>
      <c r="L15" s="844">
        <f>IF(G15="Ok",0,1)</f>
        <v>0</v>
      </c>
      <c r="M15" s="844">
        <f>SUM(J15:L15)</f>
        <v>0</v>
      </c>
    </row>
    <row r="16" spans="2:13" s="843" customFormat="1" ht="30" customHeight="1">
      <c r="B16" s="839"/>
      <c r="C16" s="845" t="s">
        <v>600</v>
      </c>
      <c r="D16" s="845"/>
      <c r="E16" s="846" t="str">
        <f>IF(ROUND(('FC-3_CPyG'!E95-'FC-4_PASIVO'!E32),2)=0,"Ok","Mal, revisa FC-3 y FC-4")</f>
        <v>Ok</v>
      </c>
      <c r="F16" s="846" t="str">
        <f>IF(ROUND(('FC-3_CPyG'!F95-'FC-4_PASIVO'!F32),2)=0,"Ok","Mal, revisa FC-3 y FC-4")</f>
        <v>Ok</v>
      </c>
      <c r="G16" s="846" t="str">
        <f>IF(ROUND(('FC-3_CPyG'!G95-'FC-4_PASIVO'!G32),2)=0,"Ok","Mal, revisa FC-3 y FC-4")</f>
        <v>Ok</v>
      </c>
      <c r="H16" s="842"/>
      <c r="J16" s="844">
        <f t="shared" ref="J16:J21" si="0">IF(E16="Ok",0,1)</f>
        <v>0</v>
      </c>
      <c r="K16" s="844">
        <f t="shared" ref="K16:K21" si="1">IF(F16="Ok",0,1)</f>
        <v>0</v>
      </c>
      <c r="L16" s="844">
        <f t="shared" ref="L16:L32" si="2">IF(G16="Ok",0,1)</f>
        <v>0</v>
      </c>
      <c r="M16" s="844">
        <f t="shared" ref="M16:M64" si="3">SUM(J16:L16)</f>
        <v>0</v>
      </c>
    </row>
    <row r="17" spans="2:13" s="843" customFormat="1" ht="30" customHeight="1">
      <c r="B17" s="839"/>
      <c r="C17" s="845" t="s">
        <v>601</v>
      </c>
      <c r="D17" s="845"/>
      <c r="E17" s="846" t="str">
        <f>IF(_GENERAL!D14="Normal",IF(ROUND('FC-5_EFE'!F92,2)=ROUND(('FC-5_EFE'!F95-'FC-5_EFE'!F94),2),"Ok","Mal, revisa FC-5"),"No aplica")</f>
        <v>Ok</v>
      </c>
      <c r="F17" s="846" t="str">
        <f>IF(_GENERAL!D14="Normal",IF(ROUND('FC-5_EFE'!G92,2)=ROUND(('FC-5_EFE'!G95-'FC-5_EFE'!G94),2),"Ok","Mal, revisa FC-5"),"No aplica")</f>
        <v>Ok</v>
      </c>
      <c r="G17" s="846" t="str">
        <f>IF(_GENERAL!D14="Normal",IF(ROUND('FC-5_EFE'!H92,2)=ROUND(('FC-5_EFE'!H95-'FC-5_EFE'!H94),2),"Ok","Mal, revisa FC-5"),"No aplica")</f>
        <v>Ok</v>
      </c>
      <c r="H17" s="842"/>
      <c r="J17" s="844">
        <f t="shared" si="0"/>
        <v>0</v>
      </c>
      <c r="K17" s="844">
        <f t="shared" si="1"/>
        <v>0</v>
      </c>
      <c r="L17" s="844">
        <f t="shared" si="2"/>
        <v>0</v>
      </c>
      <c r="M17" s="844">
        <f t="shared" si="3"/>
        <v>0</v>
      </c>
    </row>
    <row r="18" spans="2:13" s="843" customFormat="1" ht="30" customHeight="1">
      <c r="B18" s="839"/>
      <c r="C18" s="847" t="s">
        <v>661</v>
      </c>
      <c r="D18" s="845"/>
      <c r="E18" s="846" t="str">
        <f>IF(ROUND('FC-3_CPyG'!E16-'FC-3_1_INF_ADIC_CPyG'!E43,2)=0,"Ok","Mal, revisa datos en FC-3 PyG y FC3.1")</f>
        <v>Ok</v>
      </c>
      <c r="F18" s="846" t="str">
        <f>IF(ROUND('FC-3_CPyG'!F16-'FC-3_1_INF_ADIC_CPyG'!H43,2)=0,"Ok","Mal, revisa datos en FC-3 PyG y FC3.1")</f>
        <v>Ok</v>
      </c>
      <c r="G18" s="846" t="str">
        <f>IF(ROUND('FC-3_CPyG'!G16-'FC-3_1_INF_ADIC_CPyG'!K43,2)=0,"Ok","Mal, revisa datos en FC-3 PyG y FC3.1")</f>
        <v>Ok</v>
      </c>
      <c r="H18" s="842"/>
      <c r="J18" s="844">
        <f t="shared" si="0"/>
        <v>0</v>
      </c>
      <c r="K18" s="844">
        <f t="shared" si="1"/>
        <v>0</v>
      </c>
      <c r="L18" s="844">
        <f t="shared" si="2"/>
        <v>0</v>
      </c>
      <c r="M18" s="844">
        <f t="shared" si="3"/>
        <v>0</v>
      </c>
    </row>
    <row r="19" spans="2:13" s="843" customFormat="1" ht="30" customHeight="1">
      <c r="B19" s="839"/>
      <c r="C19" s="847" t="s">
        <v>664</v>
      </c>
      <c r="D19" s="845"/>
      <c r="E19" s="846" t="str">
        <f>IF(ROUND('FC-3_CPyG'!E57-'FC-3_1_INF_ADIC_CPyG'!E47-'FC-3_1_INF_ADIC_CPyG'!E56,2)=0,"Ok","Mal, revisa datos en FC-3 CPYG y FC-3.1")</f>
        <v>Ok</v>
      </c>
      <c r="F19" s="846" t="str">
        <f>IF(ROUND('FC-3_CPyG'!F57-'FC-3_1_INF_ADIC_CPyG'!F47-'FC-3_1_INF_ADIC_CPyG'!F56,2)=0,"Ok","Mal, revisa datos en FC-3 CPYG y FC-3.1")</f>
        <v>Ok</v>
      </c>
      <c r="G19" s="846" t="str">
        <f>IF(ROUND('FC-3_CPyG'!G57-'FC-3_1_INF_ADIC_CPyG'!G47-'FC-3_1_INF_ADIC_CPyG'!G56,2)=0,"Ok","Mal, revisa datos en FC-3 CPYG y FC-3.1")</f>
        <v>Ok</v>
      </c>
      <c r="H19" s="842"/>
      <c r="J19" s="844">
        <f t="shared" si="0"/>
        <v>0</v>
      </c>
      <c r="K19" s="844">
        <f t="shared" si="1"/>
        <v>0</v>
      </c>
      <c r="L19" s="844">
        <f t="shared" si="2"/>
        <v>0</v>
      </c>
      <c r="M19" s="844">
        <f t="shared" si="3"/>
        <v>0</v>
      </c>
    </row>
    <row r="20" spans="2:13" s="843" customFormat="1" ht="30" customHeight="1">
      <c r="B20" s="839"/>
      <c r="C20" s="847" t="s">
        <v>665</v>
      </c>
      <c r="D20" s="845"/>
      <c r="E20" s="846" t="str">
        <f>IF(ROUND('FC-3_CPyG'!E28-'FC-3_1_INF_ADIC_CPyG'!E73,2)=0,"Ok","Mal, revísa datos en FC-3 y FC-3.1")</f>
        <v>Ok</v>
      </c>
      <c r="F20" s="846" t="str">
        <f>IF(ROUND('FC-3_CPyG'!F28-'FC-3_1_INF_ADIC_CPyG'!F73,2)=0,"Ok","Mal, revísa datos en FC-3 y FC-3.1")</f>
        <v>Ok</v>
      </c>
      <c r="G20" s="846" t="str">
        <f>IF(ROUND('FC-3_CPyG'!G28-'FC-3_1_INF_ADIC_CPyG'!G73,2)=0,"Ok","Mal, revísa datos en FC-3 y FC-3.1")</f>
        <v>Ok</v>
      </c>
      <c r="H20" s="842"/>
      <c r="J20" s="844">
        <f t="shared" si="0"/>
        <v>0</v>
      </c>
      <c r="K20" s="844">
        <f t="shared" si="1"/>
        <v>0</v>
      </c>
      <c r="L20" s="844">
        <f t="shared" si="2"/>
        <v>0</v>
      </c>
      <c r="M20" s="844">
        <f t="shared" si="3"/>
        <v>0</v>
      </c>
    </row>
    <row r="21" spans="2:13" s="843" customFormat="1" ht="30" customHeight="1">
      <c r="B21" s="839"/>
      <c r="C21" s="847" t="s">
        <v>666</v>
      </c>
      <c r="D21" s="845"/>
      <c r="E21" s="846" t="str">
        <f>IF(ROUND('FC-3_CPyG'!E29-'FC-3_1_INF_ADIC_CPyG'!E77,2)=0,"Ok","Mal, revisa datos en FC-3 CPyG y FC-3.1")</f>
        <v>Ok</v>
      </c>
      <c r="F21" s="846" t="str">
        <f>IF(ROUND('FC-3_CPyG'!F29-'FC-3_1_INF_ADIC_CPyG'!F77,2)=0,"Ok","Mal, revisa datos en FC-3 CPyG y FC-3.1")</f>
        <v>Ok</v>
      </c>
      <c r="G21" s="846" t="str">
        <f>IF(ROUND('FC-3_CPyG'!G29-'FC-3_1_INF_ADIC_CPyG'!G77,2)=0,"Ok","Mal, revisa datos en FC-3 CPyG y FC-3.1")</f>
        <v>Ok</v>
      </c>
      <c r="H21" s="842"/>
      <c r="J21" s="844">
        <f t="shared" si="0"/>
        <v>0</v>
      </c>
      <c r="K21" s="844">
        <f t="shared" si="1"/>
        <v>0</v>
      </c>
      <c r="L21" s="844">
        <f t="shared" si="2"/>
        <v>0</v>
      </c>
      <c r="M21" s="844">
        <f t="shared" si="3"/>
        <v>0</v>
      </c>
    </row>
    <row r="22" spans="2:13" s="843" customFormat="1" ht="30" customHeight="1">
      <c r="B22" s="839"/>
      <c r="C22" s="892" t="s">
        <v>917</v>
      </c>
      <c r="D22" s="845"/>
      <c r="E22" s="848"/>
      <c r="F22" s="846" t="str">
        <f>IF(ROUND('FC-4_PASIVO'!F18-'FC-4_1_MOV_FP'!L17,2)=0,"Ok","Mal, revisa FC-4 y FC-4.1 MOV. F.P.")</f>
        <v>Ok</v>
      </c>
      <c r="G22" s="846" t="str">
        <f>IF(ROUND('FC-4_PASIVO'!G18-'FC-4_1_MOV_FP'!L39,2)=0,"Ok","Mal, revisa FC-4 y FC-4.1 MOV. F.P.")</f>
        <v>Ok</v>
      </c>
      <c r="H22" s="842"/>
      <c r="J22" s="844"/>
      <c r="K22" s="844"/>
      <c r="L22" s="844"/>
      <c r="M22" s="844"/>
    </row>
    <row r="23" spans="2:13" s="843" customFormat="1" ht="30" customHeight="1">
      <c r="B23" s="839"/>
      <c r="C23" s="892" t="s">
        <v>918</v>
      </c>
      <c r="D23" s="845"/>
      <c r="E23" s="848"/>
      <c r="F23" s="846" t="str">
        <f>IF(ROUND('FC-4_PASIVO'!F21-'FC-4_1_MOV_FP'!L20,2)=0,"Ok","Mal, revisa FC-4 y FC-4.1 MOV. F.P.")</f>
        <v>Ok</v>
      </c>
      <c r="G23" s="846" t="str">
        <f>IF(ROUND('FC-4_PASIVO'!G21-'FC-4_1_MOV_FP'!L42,2)=0,"Ok","Mal, revisa FC-4 y FC-4.1 MOV. F.P.")</f>
        <v>Ok</v>
      </c>
      <c r="H23" s="842"/>
      <c r="J23" s="844"/>
      <c r="K23" s="844"/>
      <c r="L23" s="844"/>
      <c r="M23" s="844"/>
    </row>
    <row r="24" spans="2:13" s="843" customFormat="1" ht="30" customHeight="1">
      <c r="B24" s="839"/>
      <c r="C24" s="892" t="s">
        <v>919</v>
      </c>
      <c r="D24" s="845"/>
      <c r="E24" s="848"/>
      <c r="F24" s="846" t="str">
        <f>IF(ROUND('FC-4_PASIVO'!F22-'FC-4_1_MOV_FP'!L21,2)=0,"Ok","Mal, revisa FC-4 y FC-4.1 MOV. F.P.")</f>
        <v>Ok</v>
      </c>
      <c r="G24" s="846" t="str">
        <f>IF(ROUND('FC-4_PASIVO'!G22-'FC-4_1_MOV_FP'!L43,2)=0,"Ok","Mal, revisa FC-4 y FC-4.1 MOV. F.P.")</f>
        <v>Ok</v>
      </c>
      <c r="H24" s="842"/>
      <c r="J24" s="844"/>
      <c r="K24" s="844"/>
      <c r="L24" s="844"/>
      <c r="M24" s="844"/>
    </row>
    <row r="25" spans="2:13" s="843" customFormat="1" ht="30" customHeight="1">
      <c r="B25" s="839"/>
      <c r="C25" s="892" t="s">
        <v>920</v>
      </c>
      <c r="D25" s="845"/>
      <c r="E25" s="848"/>
      <c r="F25" s="846" t="str">
        <f>IF(ROUND('FC-4_PASIVO'!F27-'FC-4_1_MOV_FP'!L26,2)=0,"Ok","Mal, revisa FC-4 y FC-4.1 MOV. F.P.")</f>
        <v>Ok</v>
      </c>
      <c r="G25" s="846" t="str">
        <f>IF(ROUND('FC-4_PASIVO'!G27-'FC-4_1_MOV_FP'!L48,2)=0,"Ok","Mal, revisa FC-4 y FC-4.1 MOV. F.P.")</f>
        <v>Ok</v>
      </c>
      <c r="H25" s="842"/>
      <c r="J25" s="844"/>
      <c r="K25" s="844"/>
      <c r="L25" s="844"/>
      <c r="M25" s="844"/>
    </row>
    <row r="26" spans="2:13" s="843" customFormat="1" ht="30" customHeight="1">
      <c r="B26" s="839"/>
      <c r="C26" s="892" t="s">
        <v>921</v>
      </c>
      <c r="D26" s="845"/>
      <c r="E26" s="848"/>
      <c r="F26" s="846" t="str">
        <f>IF(ROUND('FC-4_PASIVO'!F28-'FC-4_1_MOV_FP'!L27,2)=0,"Ok","Mal, revisa FC-4 y FC-4.1 MOV. F.P.")</f>
        <v>Ok</v>
      </c>
      <c r="G26" s="846" t="str">
        <f>IF(ROUND('FC-4_PASIVO'!G28-'FC-4_1_MOV_FP'!L49,2)=0,"Ok","Mal, revisa FC-4 y FC-4.1 MOV. F.P.")</f>
        <v>Ok</v>
      </c>
      <c r="H26" s="842"/>
      <c r="J26" s="844"/>
      <c r="K26" s="844"/>
      <c r="L26" s="844"/>
      <c r="M26" s="844"/>
    </row>
    <row r="27" spans="2:13" s="843" customFormat="1" ht="30" customHeight="1">
      <c r="B27" s="839"/>
      <c r="C27" s="892" t="s">
        <v>922</v>
      </c>
      <c r="D27" s="845"/>
      <c r="E27" s="848"/>
      <c r="F27" s="846" t="str">
        <f>IF(ROUND('FC-4_PASIVO'!F31-'FC-4_1_MOV_FP'!L30,2)=0,"Ok","Mal, revisa FC-4 y FC-4.1 MOV. F.P.")</f>
        <v>Ok</v>
      </c>
      <c r="G27" s="846" t="str">
        <f>IF(ROUND('FC-4_PASIVO'!G31-'FC-4_1_MOV_FP'!L52,2)=0,"Ok","Mal, revisa FC-4 y FC-4.1 MOV. F.P.")</f>
        <v>Ok</v>
      </c>
      <c r="H27" s="842"/>
      <c r="J27" s="844"/>
      <c r="K27" s="844"/>
      <c r="L27" s="844"/>
      <c r="M27" s="844"/>
    </row>
    <row r="28" spans="2:13" s="843" customFormat="1" ht="30" customHeight="1">
      <c r="B28" s="839"/>
      <c r="C28" s="892" t="s">
        <v>923</v>
      </c>
      <c r="D28" s="845"/>
      <c r="E28" s="848"/>
      <c r="F28" s="846" t="str">
        <f>IF(ROUND('FC-4_PASIVO'!F32-'FC-4_1_MOV_FP'!L31,2)=0,"Ok","Mal, revisa FC-4 y FC-4.1 MOV. F.P.")</f>
        <v>Ok</v>
      </c>
      <c r="G28" s="846" t="str">
        <f>IF(ROUND('FC-4_PASIVO'!G32-'FC-4_1_MOV_FP'!L53,2)=0,"Ok","Mal, revisa FC-4 y FC-4.1 MOV. F.P.")</f>
        <v>Ok</v>
      </c>
      <c r="H28" s="842"/>
      <c r="J28" s="844"/>
      <c r="K28" s="844"/>
      <c r="L28" s="844"/>
      <c r="M28" s="844"/>
    </row>
    <row r="29" spans="2:13" s="843" customFormat="1" ht="30" customHeight="1">
      <c r="B29" s="839"/>
      <c r="C29" s="892" t="s">
        <v>924</v>
      </c>
      <c r="D29" s="845"/>
      <c r="E29" s="848"/>
      <c r="F29" s="846" t="str">
        <f>IF(ROUND('FC-4_PASIVO'!F33-'FC-4_1_MOV_FP'!L32,2)=0,"Ok","Mal, revisa FC-4 y FC-4.1 MOV. F.P.")</f>
        <v>Ok</v>
      </c>
      <c r="G29" s="846" t="str">
        <f>IF(ROUND('FC-4_PASIVO'!G33-'FC-4_1_MOV_FP'!L54,2)=0,"Ok","Mal, revisa FC-4 y FC-4.1 MOV. F.P.")</f>
        <v>Ok</v>
      </c>
      <c r="H29" s="842"/>
      <c r="J29" s="844"/>
      <c r="K29" s="844"/>
      <c r="L29" s="844"/>
      <c r="M29" s="844"/>
    </row>
    <row r="30" spans="2:13" s="843" customFormat="1" ht="30" customHeight="1">
      <c r="B30" s="839"/>
      <c r="C30" s="892" t="s">
        <v>925</v>
      </c>
      <c r="D30" s="845"/>
      <c r="E30" s="848"/>
      <c r="F30" s="846" t="str">
        <f>IF(ROUND('FC-4_PASIVO'!F34-'FC-4_1_MOV_FP'!L33,2)=0,"Ok","Mal, revisa FC-4 y FC-4.1 MOV. F.P.")</f>
        <v>Ok</v>
      </c>
      <c r="G30" s="846" t="str">
        <f>IF(ROUND('FC-4_PASIVO'!G34-'FC-4_1_MOV_FP'!L55,2)=0,"Ok","Mal, revisa FC-4 y FC-4.1 MOV. F.P.")</f>
        <v>Ok</v>
      </c>
      <c r="H30" s="842"/>
      <c r="J30" s="844"/>
      <c r="K30" s="844"/>
      <c r="L30" s="844"/>
      <c r="M30" s="844"/>
    </row>
    <row r="31" spans="2:13" s="843" customFormat="1" ht="30" customHeight="1">
      <c r="B31" s="839"/>
      <c r="C31" s="892" t="s">
        <v>926</v>
      </c>
      <c r="D31" s="845"/>
      <c r="E31" s="848"/>
      <c r="F31" s="846" t="str">
        <f>IF(ROUND('FC-4_1_MOV_FP'!H30-'FC-9_TRANS_SUBV'!H114,2)=0,"Ok","Mal, revísa FC-4 PASIVO y FC-9")</f>
        <v>Ok</v>
      </c>
      <c r="G31" s="846" t="str">
        <f>IF(ROUND('FC-4_1_MOV_FP'!H52-'FC-9_TRANS_SUBV'!K114,2)=0,"Ok","Mal, revísa FC-4 PASIVO y FC-9")</f>
        <v>Ok</v>
      </c>
      <c r="H31" s="842"/>
      <c r="J31" s="844"/>
      <c r="K31" s="844">
        <f>IF(F31="Ok",0,1)</f>
        <v>0</v>
      </c>
      <c r="L31" s="844">
        <f>IF(G31="Ok",0,1)</f>
        <v>0</v>
      </c>
      <c r="M31" s="844">
        <f>SUM(J31:L31)</f>
        <v>0</v>
      </c>
    </row>
    <row r="32" spans="2:13" s="843" customFormat="1" ht="30" customHeight="1">
      <c r="B32" s="839"/>
      <c r="C32" s="847" t="s">
        <v>660</v>
      </c>
      <c r="D32" s="845"/>
      <c r="E32" s="848"/>
      <c r="F32" s="848"/>
      <c r="G32" s="846" t="str">
        <f>IF(ROUND('FC-6_Inversiones'!G46-SUM('FC-6_Inversiones'!H46:M46),2)=0,"Ok","Mal, revisa totales FC-6")</f>
        <v>Ok</v>
      </c>
      <c r="H32" s="842"/>
      <c r="J32" s="844"/>
      <c r="K32" s="844"/>
      <c r="L32" s="844">
        <f t="shared" si="2"/>
        <v>0</v>
      </c>
      <c r="M32" s="844">
        <f t="shared" si="3"/>
        <v>0</v>
      </c>
    </row>
    <row r="33" spans="2:13" s="843" customFormat="1" ht="30" customHeight="1">
      <c r="B33" s="839"/>
      <c r="C33" s="845" t="s">
        <v>603</v>
      </c>
      <c r="D33" s="845"/>
      <c r="E33" s="848"/>
      <c r="F33" s="846" t="str">
        <f>IF(ROUND('FC-4_ACTIVO'!F17-'FC-7_INF'!M15,2)=0,"Ok","Mal, revisa FC-4 ACTIVO y FC-7")</f>
        <v>Ok</v>
      </c>
      <c r="G33" s="846" t="str">
        <f>IF(ROUND('FC-4_ACTIVO'!G17-'FC-7_INF'!M26,2)=0,"Ok","Mal, revisa FC-4 ACTIVO y FC-7")</f>
        <v>Ok</v>
      </c>
      <c r="H33" s="842"/>
      <c r="J33" s="844"/>
      <c r="K33" s="844">
        <f t="shared" ref="K33:K37" si="4">IF(F33="Ok",0,1)</f>
        <v>0</v>
      </c>
      <c r="L33" s="844">
        <f t="shared" ref="L33:L37" si="5">IF(G33="Ok",0,1)</f>
        <v>0</v>
      </c>
      <c r="M33" s="844">
        <f t="shared" si="3"/>
        <v>0</v>
      </c>
    </row>
    <row r="34" spans="2:13" s="843" customFormat="1" ht="30" customHeight="1">
      <c r="B34" s="839"/>
      <c r="C34" s="845" t="s">
        <v>602</v>
      </c>
      <c r="D34" s="845"/>
      <c r="E34" s="848"/>
      <c r="F34" s="846" t="str">
        <f>IF(ROUND('FC-4_ACTIVO'!F26-'FC-7_INF'!M16-'FC-7_INF'!M17,2)=0,"Ok","Mal, revisa FC-4 ACTIVO y FC-7")</f>
        <v>Ok</v>
      </c>
      <c r="G34" s="846" t="str">
        <f>IF(ROUND('FC-4_ACTIVO'!G26-'FC-7_INF'!M27-'FC-7_INF'!M28,2)=0,"Ok","Mal, revisa FC-4 ACTIVO y FC-7")</f>
        <v>Ok</v>
      </c>
      <c r="H34" s="842"/>
      <c r="J34" s="844"/>
      <c r="K34" s="844">
        <f t="shared" si="4"/>
        <v>0</v>
      </c>
      <c r="L34" s="844">
        <f t="shared" si="5"/>
        <v>0</v>
      </c>
      <c r="M34" s="844">
        <f t="shared" si="3"/>
        <v>0</v>
      </c>
    </row>
    <row r="35" spans="2:13" s="843" customFormat="1" ht="30" customHeight="1">
      <c r="B35" s="839"/>
      <c r="C35" s="845" t="s">
        <v>604</v>
      </c>
      <c r="D35" s="845"/>
      <c r="E35" s="848"/>
      <c r="F35" s="846" t="str">
        <f>IF(ROUND(('FC-4_ACTIVO'!F30-'FC-7_INF'!M18-'FC-7_INF'!M19),2)=0,"Ok","Mal, revisa FC-4 ACTIVO y FC-7")</f>
        <v>Ok</v>
      </c>
      <c r="G35" s="846" t="str">
        <f>IF(ROUND(('FC-4_ACTIVO'!G30-'FC-7_INF'!M29-'FC-7_INF'!M30),2)=0,"Ok","Mal, revisa FC-4 ACTIVO y FC-7")</f>
        <v>Ok</v>
      </c>
      <c r="H35" s="842"/>
      <c r="J35" s="844"/>
      <c r="K35" s="844">
        <f t="shared" si="4"/>
        <v>0</v>
      </c>
      <c r="L35" s="844">
        <f t="shared" si="5"/>
        <v>0</v>
      </c>
      <c r="M35" s="844">
        <f t="shared" si="3"/>
        <v>0</v>
      </c>
    </row>
    <row r="36" spans="2:13" s="843" customFormat="1" ht="30" customHeight="1">
      <c r="B36" s="839"/>
      <c r="C36" s="847" t="s">
        <v>647</v>
      </c>
      <c r="D36" s="845"/>
      <c r="E36" s="848"/>
      <c r="F36" s="849" t="str">
        <f>IF(ROUND('FC-7_INF'!M22-'FC-4_ACTIVO'!F52,2)=0,"Ok","Mal, revisa FC-4 ACTIVO y FC-7")</f>
        <v>Ok</v>
      </c>
      <c r="G36" s="849" t="str">
        <f>IF(ROUND('FC-7_INF'!M33-'FC-4_ACTIVO'!G52,2)=0,"Ok","Mal, revisa FC-4 ACTIVO y FC-7")</f>
        <v>Ok</v>
      </c>
      <c r="H36" s="842"/>
      <c r="J36" s="844"/>
      <c r="K36" s="844">
        <f t="shared" si="4"/>
        <v>0</v>
      </c>
      <c r="L36" s="844">
        <f t="shared" si="5"/>
        <v>0</v>
      </c>
      <c r="M36" s="844">
        <f t="shared" si="3"/>
        <v>0</v>
      </c>
    </row>
    <row r="37" spans="2:13" s="843" customFormat="1" ht="30" customHeight="1">
      <c r="B37" s="839"/>
      <c r="C37" s="847" t="s">
        <v>648</v>
      </c>
      <c r="D37" s="845"/>
      <c r="E37" s="848"/>
      <c r="F37" s="846" t="str">
        <f>IF(ROUND('FC-3_CPyG'!F40-'FC-7_INF'!I20,2)=0,"Ok","Mal, revisa datos en FC-3 y FC-7")</f>
        <v>Ok</v>
      </c>
      <c r="G37" s="846" t="str">
        <f>IF(ROUND('FC-3_CPyG'!G40-'FC-7_INF'!I31,2)=0,"Ok","Mal, revisa datos en FC-3 y FC-7")</f>
        <v>Ok</v>
      </c>
      <c r="H37" s="842"/>
      <c r="J37" s="844"/>
      <c r="K37" s="844">
        <f t="shared" si="4"/>
        <v>0</v>
      </c>
      <c r="L37" s="844">
        <f t="shared" si="5"/>
        <v>0</v>
      </c>
      <c r="M37" s="844">
        <f t="shared" si="3"/>
        <v>0</v>
      </c>
    </row>
    <row r="38" spans="2:13" s="843" customFormat="1" ht="30" customHeight="1">
      <c r="B38" s="839"/>
      <c r="C38" s="850" t="s">
        <v>693</v>
      </c>
      <c r="D38" s="845"/>
      <c r="E38" s="848"/>
      <c r="F38" s="848"/>
      <c r="G38" s="846" t="str">
        <f>IF(ROUND('FC-6_Inversiones'!I46-'FC-7_INF'!F31,2)=0,"Ok","Mal, revisa I46 en FC-6 y F31 en FC-7")</f>
        <v>Ok</v>
      </c>
      <c r="H38" s="842"/>
      <c r="J38" s="844"/>
      <c r="K38" s="844"/>
      <c r="L38" s="844"/>
      <c r="M38" s="844"/>
    </row>
    <row r="39" spans="2:13" s="843" customFormat="1" ht="30" customHeight="1">
      <c r="B39" s="839"/>
      <c r="C39" s="851" t="s">
        <v>721</v>
      </c>
      <c r="D39" s="851"/>
      <c r="E39" s="852"/>
      <c r="F39" s="853" t="str">
        <f>IF(ROUND(('FC-4_ACTIVO'!F34+'FC-4_ACTIVO'!F76)-'FC-8_INV_FINANCIERAS'!F25,2)=0,"Ok","Mal, revisa datos en FC-4 Activo y FC-8")</f>
        <v>Ok</v>
      </c>
      <c r="G39" s="853" t="str">
        <f>IF(ROUND(('FC-4_ACTIVO'!G34+'FC-4_ACTIVO'!G76)-'FC-8_INV_FINANCIERAS'!J25,2)=0,"Ok","Mal, revisa datos en FC-4 Activo y FC-8")</f>
        <v>Ok</v>
      </c>
      <c r="H39" s="842"/>
      <c r="J39" s="844"/>
      <c r="K39" s="844"/>
      <c r="L39" s="844"/>
      <c r="M39" s="844"/>
    </row>
    <row r="40" spans="2:13" s="843" customFormat="1" ht="30" customHeight="1">
      <c r="B40" s="839"/>
      <c r="C40" s="851" t="s">
        <v>723</v>
      </c>
      <c r="D40" s="851"/>
      <c r="E40" s="852"/>
      <c r="F40" s="853" t="str">
        <f>IF(ROUND((SUM('FC-4_ACTIVO'!F35:F39)+SUM('FC-4_ACTIVO'!F77:F81))-('FC-8_INV_FINANCIERAS'!F34),2)=0,"Ok","Mal, revisa datos en FC-4 Activo y FC-8")</f>
        <v>Ok</v>
      </c>
      <c r="G40" s="853" t="str">
        <f>IF(ROUND((SUM('FC-4_ACTIVO'!G35:G39)+SUM('FC-4_ACTIVO'!G77:G81))-('FC-8_INV_FINANCIERAS'!J34),2)=0,"Ok","Mal, revisa datos en FC-4 Activo y FC-8")</f>
        <v>Ok</v>
      </c>
      <c r="H40" s="842"/>
      <c r="J40" s="844"/>
      <c r="K40" s="844"/>
      <c r="L40" s="844"/>
      <c r="M40" s="844"/>
    </row>
    <row r="41" spans="2:13" s="843" customFormat="1" ht="30" customHeight="1">
      <c r="B41" s="839"/>
      <c r="C41" s="851" t="s">
        <v>722</v>
      </c>
      <c r="D41" s="851"/>
      <c r="E41" s="852"/>
      <c r="F41" s="853" t="str">
        <f>IF(ROUND(('FC-4_ACTIVO'!F41+'FC-4_ACTIVO'!F83)-'FC-8_INV_FINANCIERAS'!F49,2)=0,"Ok","Mal, revisa datos en FC-4 ACTIVO y FC-8")</f>
        <v>Ok</v>
      </c>
      <c r="G41" s="853" t="str">
        <f>IF(ROUND(('FC-4_ACTIVO'!G41+'FC-4_ACTIVO'!G83)-'FC-8_INV_FINANCIERAS'!J49,2)=0,"Ok","Mal, revisa datos en FC-4 ACTIVO y FC-8")</f>
        <v>Ok</v>
      </c>
      <c r="H41" s="842"/>
      <c r="J41" s="844"/>
      <c r="K41" s="844"/>
      <c r="L41" s="844"/>
      <c r="M41" s="844"/>
    </row>
    <row r="42" spans="2:13" s="843" customFormat="1" ht="30" customHeight="1">
      <c r="B42" s="839"/>
      <c r="C42" s="851" t="s">
        <v>724</v>
      </c>
      <c r="D42" s="851"/>
      <c r="E42" s="852"/>
      <c r="F42" s="853" t="str">
        <f>IF(ROUND((SUM('FC-4_ACTIVO'!F42:F46)+SUM('FC-4_ACTIVO'!F84:F88))-'FC-8_INV_FINANCIERAS'!F58,2)=0,"Ok","Mal, revisa datos en FC-4 Activo y en FC-8")</f>
        <v>Ok</v>
      </c>
      <c r="G42" s="853" t="str">
        <f>IF(ROUND((SUM('FC-4_ACTIVO'!G42:G46)+SUM('FC-4_ACTIVO'!G84:G88))-'FC-8_INV_FINANCIERAS'!J58,2)=0,"Ok","Mal, revisa datos en FC-4 Activo y en FC-8")</f>
        <v>Ok</v>
      </c>
      <c r="H42" s="842"/>
      <c r="J42" s="844"/>
      <c r="K42" s="844"/>
      <c r="L42" s="844"/>
      <c r="M42" s="844"/>
    </row>
    <row r="43" spans="2:13" s="843" customFormat="1" ht="30" customHeight="1">
      <c r="B43" s="839"/>
      <c r="C43" s="892" t="s">
        <v>894</v>
      </c>
      <c r="D43" s="845"/>
      <c r="E43" s="852"/>
      <c r="F43" s="950" t="str">
        <f>IF(ROUND('FC-9_TRANS_SUBV'!G44-'FC-9_TRANS_SUBV'!H44-'FC-9_TRANS_SUBV'!I44,2)=0,"Ok","Mal, revisa en FC-9 línea original 31")</f>
        <v>Ok</v>
      </c>
      <c r="G43" s="950" t="str">
        <f>IF(ROUND('FC-9_TRANS_SUBV'!J44-'FC-9_TRANS_SUBV'!K44-'FC-9_TRANS_SUBV'!L44,2)=0,"Ok","Mal, revisa en FC-9 línea original 31")</f>
        <v>Ok</v>
      </c>
      <c r="H43" s="842"/>
      <c r="J43" s="844"/>
      <c r="K43" s="844"/>
      <c r="L43" s="844"/>
      <c r="M43" s="844"/>
    </row>
    <row r="44" spans="2:13" s="843" customFormat="1" ht="30" customHeight="1">
      <c r="B44" s="839"/>
      <c r="C44" s="847" t="s">
        <v>650</v>
      </c>
      <c r="D44" s="845"/>
      <c r="E44" s="848"/>
      <c r="F44" s="846" t="str">
        <f>IF(ROUND('FC-4_PASIVO'!F41-'FC-9_TRANS_SUBV'!H47,2)=0,"Ok","Mal, revisa FC-4 PASIVO y FC-9")</f>
        <v>Ok</v>
      </c>
      <c r="G44" s="846" t="str">
        <f>IF(ROUND('FC-4_PASIVO'!G41-'FC-9_TRANS_SUBV'!K47,2)=0,"Ok","Mal, revisa FC-4 PASIVO y FC-9")</f>
        <v>Ok</v>
      </c>
      <c r="H44" s="842"/>
      <c r="J44" s="844"/>
      <c r="K44" s="844">
        <f t="shared" ref="K44:K49" si="6">IF(F44="Ok",0,1)</f>
        <v>0</v>
      </c>
      <c r="L44" s="844">
        <f t="shared" ref="L44:L64" si="7">IF(G44="Ok",0,1)</f>
        <v>0</v>
      </c>
      <c r="M44" s="844">
        <f t="shared" si="3"/>
        <v>0</v>
      </c>
    </row>
    <row r="45" spans="2:13" s="890" customFormat="1" ht="30" customHeight="1">
      <c r="B45" s="891"/>
      <c r="C45" s="892" t="s">
        <v>760</v>
      </c>
      <c r="D45" s="892"/>
      <c r="E45" s="893"/>
      <c r="F45" s="894" t="str">
        <f>IF(ROUND('FC-3_CPyG'!F44+('FC-9_TRANS_SUBV'!G46),2)=0,"Ok","Mal, revisa datos FC-3 epígr. A) 9. y FC-9 celda F33")</f>
        <v>Ok</v>
      </c>
      <c r="G45" s="894" t="str">
        <f>IF(ROUND('FC-3_CPyG'!G44+('FC-9_TRANS_SUBV'!J46),2)=0,"Ok","Mal, revisa datos FC-3 epígr. A) 9. y FC-9 celda G33")</f>
        <v>Ok</v>
      </c>
      <c r="H45" s="895"/>
      <c r="J45" s="844"/>
      <c r="K45" s="844"/>
      <c r="L45" s="844"/>
      <c r="M45" s="844"/>
    </row>
    <row r="46" spans="2:13" s="843" customFormat="1" ht="30" customHeight="1">
      <c r="B46" s="839"/>
      <c r="C46" s="847" t="s">
        <v>651</v>
      </c>
      <c r="D46" s="845"/>
      <c r="E46" s="848"/>
      <c r="F46" s="846" t="str">
        <f>IF(ROUND('FC-3_CPyG'!F29-'FC-9_TRANS_SUBV'!G93-'FC-9_TRANS_SUBV'!I114,2)=0,"Ok","Mal, revisa dato en FC-3 y FC-9 (Apdos I.2 y II)")</f>
        <v>Ok</v>
      </c>
      <c r="G46" s="846" t="str">
        <f>IF(ROUND('FC-3_CPyG'!G29-'FC-9_TRANS_SUBV'!H93-'FC-9_TRANS_SUBV'!L114,2)=0,"Ok","Mal, revisa dato en FC-3 y FC-9 (Apdos I.2 y II)")</f>
        <v>Ok</v>
      </c>
      <c r="H46" s="842"/>
      <c r="J46" s="844"/>
      <c r="K46" s="844">
        <f t="shared" si="6"/>
        <v>0</v>
      </c>
      <c r="L46" s="844">
        <f t="shared" si="7"/>
        <v>0</v>
      </c>
      <c r="M46" s="844">
        <f t="shared" si="3"/>
        <v>0</v>
      </c>
    </row>
    <row r="47" spans="2:13" s="843" customFormat="1" ht="30" customHeight="1">
      <c r="B47" s="839"/>
      <c r="C47" s="892" t="s">
        <v>957</v>
      </c>
      <c r="D47" s="845"/>
      <c r="E47" s="848"/>
      <c r="F47" s="846" t="str">
        <f>IF(ROUND('FC-3_1_INF_ADIC_CPyG'!F81-'FC-9_TRANS_SUBV'!G94-'FC-9_TRANS_SUBV'!I115,2)=0,"Ok","Mal, revisa dato en FC-3_1 y FC-9 (Apdos I.2 y II)")</f>
        <v>Ok</v>
      </c>
      <c r="G47" s="846" t="str">
        <f>IF(ROUND('FC-3_1_INF_ADIC_CPyG'!G81-'FC-9_TRANS_SUBV'!H94-'FC-9_TRANS_SUBV'!L115,2)=0,"Ok","Mal, revisa dato en FC-3_1 y FC-9")</f>
        <v>Ok</v>
      </c>
      <c r="H47" s="842"/>
      <c r="J47" s="844"/>
      <c r="K47" s="844"/>
      <c r="L47" s="844"/>
      <c r="M47" s="844"/>
    </row>
    <row r="48" spans="2:13" s="843" customFormat="1" ht="30" customHeight="1">
      <c r="B48" s="839"/>
      <c r="C48" s="892" t="s">
        <v>1041</v>
      </c>
      <c r="D48" s="845"/>
      <c r="E48" s="848"/>
      <c r="F48" s="1483" t="str">
        <f>IF(AND(_GENERAL!D16&lt;&gt;"Íntegra", 'FC-9_TRANS_SUBV'!H115='FC-9_TRANS_SUBV'!G115,'FC-9_TRANS_SUBV'!H115&gt;0),"Mal, revisa dato en FC-9 (Apdo II)","Ok")</f>
        <v>Ok</v>
      </c>
      <c r="G48" s="846" t="str">
        <f>IF(AND(_GENERAL!D16&lt;&gt;"Íntegra", 'FC-9_TRANS_SUBV'!J115= 'FC-9_TRANS_SUBV'!K115,'FC-9_TRANS_SUBV'!J115&gt;0),"Mal, revisa dato en FC-9 (Apdo II)","Ok")</f>
        <v>Ok</v>
      </c>
      <c r="H48" s="842"/>
      <c r="J48" s="844"/>
      <c r="K48" s="844"/>
      <c r="L48" s="844"/>
      <c r="M48" s="844"/>
    </row>
    <row r="49" spans="2:13" s="843" customFormat="1" ht="30" customHeight="1">
      <c r="B49" s="839"/>
      <c r="C49" s="892" t="s">
        <v>876</v>
      </c>
      <c r="D49" s="845"/>
      <c r="E49" s="848"/>
      <c r="F49" s="1495" t="str">
        <f>IF(ROUND(('FC-4_PASIVO'!F51+'FC-4_PASIVO'!F52+'FC-4_PASIVO'!F68+'FC-4_PASIVO'!F69)-('FC-10_DEUDAS'!L43),2)=0,"Ok","Mal, revisa datos en FC-4 PASIVO y FC-10")</f>
        <v>Ok</v>
      </c>
      <c r="G49" s="846" t="str">
        <f>IF(ROUND(('FC-4_PASIVO'!G51+'FC-4_PASIVO'!G52)-('FC-10_DEUDAS'!S43),2)=0,"Ok","Mal, revisa datos en FC-4 PASIVO y FC-10")</f>
        <v>Ok</v>
      </c>
      <c r="H49" s="842"/>
      <c r="J49" s="844"/>
      <c r="K49" s="844">
        <f t="shared" si="6"/>
        <v>0</v>
      </c>
      <c r="L49" s="844">
        <f t="shared" si="7"/>
        <v>0</v>
      </c>
      <c r="M49" s="844">
        <f t="shared" si="3"/>
        <v>0</v>
      </c>
    </row>
    <row r="50" spans="2:13" s="843" customFormat="1" ht="30" customHeight="1">
      <c r="B50" s="839"/>
      <c r="C50" s="892" t="s">
        <v>877</v>
      </c>
      <c r="D50" s="845"/>
      <c r="E50" s="848"/>
      <c r="F50" s="1496"/>
      <c r="G50" s="846" t="str">
        <f>IF(ROUND(('FC-4_PASIVO'!G68+'FC-4_PASIVO'!G69)-('FC-10_DEUDAS'!R43),2)=0,"Ok","Mal, revisa datos en FC-4 PASIVO y FC-10")</f>
        <v>Ok</v>
      </c>
      <c r="H50" s="842"/>
      <c r="J50" s="844"/>
      <c r="K50" s="844"/>
      <c r="L50" s="844"/>
      <c r="M50" s="844"/>
    </row>
    <row r="51" spans="2:13" s="843" customFormat="1" ht="30" customHeight="1">
      <c r="B51" s="839"/>
      <c r="C51" s="892" t="s">
        <v>898</v>
      </c>
      <c r="D51" s="845"/>
      <c r="E51" s="848"/>
      <c r="F51" s="1495" t="str">
        <f>IF(ROUND('FC-4_PASIVO'!F54+'FC-4_PASIVO'!F71-'FC-10_DEUDAS'!L106,2)=0,"Ok","Mal, revisa datos en FC-4 Pasivo y FC-10")</f>
        <v>Ok</v>
      </c>
      <c r="G51" s="846" t="str">
        <f>IF(ROUND('FC-4_PASIVO'!G54-'FC-10_DEUDAS'!S106,2)=0,"Ok","Mal, revisa datos en FC-4 Pasivo y FC-10")</f>
        <v>Ok</v>
      </c>
      <c r="H51" s="842"/>
      <c r="J51" s="844"/>
      <c r="K51" s="844"/>
      <c r="L51" s="844"/>
      <c r="M51" s="844"/>
    </row>
    <row r="52" spans="2:13" s="843" customFormat="1" ht="30" customHeight="1">
      <c r="B52" s="839"/>
      <c r="C52" s="892" t="s">
        <v>897</v>
      </c>
      <c r="D52" s="845"/>
      <c r="E52" s="848"/>
      <c r="F52" s="1496"/>
      <c r="G52" s="846" t="str">
        <f>IF(ROUND('FC-4_PASIVO'!G71-'FC-10_DEUDAS'!R106,2)=0,"Ok","Mal, revisa datos en FC-4 Pasivo y FC-10")</f>
        <v>Ok</v>
      </c>
      <c r="H52" s="842"/>
      <c r="J52" s="844"/>
      <c r="K52" s="844"/>
      <c r="L52" s="844"/>
      <c r="M52" s="844"/>
    </row>
    <row r="53" spans="2:13" s="843" customFormat="1" ht="30" customHeight="1">
      <c r="B53" s="839"/>
      <c r="C53" s="892" t="s">
        <v>899</v>
      </c>
      <c r="D53" s="845"/>
      <c r="E53" s="848"/>
      <c r="F53" s="1495" t="str">
        <f>IF(ROUND('FC-4_PASIVO'!F55+'FC-4_PASIVO'!F72-'FC-10_DEUDAS'!L138,2)=0,"Ok","Mal, revisa datos en FC-4 Pasivo y FC-10")</f>
        <v>Ok</v>
      </c>
      <c r="G53" s="846" t="str">
        <f>IF(ROUND('FC-4_PASIVO'!G55-'FC-10_DEUDAS'!S138,2)=0,"Ok","Mal, revisa datos en FC-4 Pasivo y FC-10")</f>
        <v>Ok</v>
      </c>
      <c r="H53" s="842"/>
      <c r="J53" s="844"/>
      <c r="K53" s="844"/>
      <c r="L53" s="844"/>
      <c r="M53" s="844"/>
    </row>
    <row r="54" spans="2:13" s="843" customFormat="1" ht="30" customHeight="1">
      <c r="B54" s="839"/>
      <c r="C54" s="892" t="s">
        <v>900</v>
      </c>
      <c r="D54" s="845"/>
      <c r="E54" s="848"/>
      <c r="F54" s="1496"/>
      <c r="G54" s="846" t="str">
        <f>IF(ROUND('FC-4_PASIVO'!G72-'FC-10_DEUDAS'!R138,2)=0,"Ok","Mal, revisa datos en FC-4 Pasivo y FC-10")</f>
        <v>Ok</v>
      </c>
      <c r="H54" s="842"/>
      <c r="J54" s="844"/>
      <c r="K54" s="844"/>
      <c r="L54" s="844"/>
      <c r="M54" s="844"/>
    </row>
    <row r="55" spans="2:13" s="843" customFormat="1" ht="30" customHeight="1">
      <c r="B55" s="839"/>
      <c r="C55" s="892" t="s">
        <v>1000</v>
      </c>
      <c r="D55" s="845"/>
      <c r="E55" s="848"/>
      <c r="F55" s="848"/>
      <c r="G55" s="846" t="str">
        <f>IF(ROUND('FC-10_DEUDAS'!Q43-'FC-10_DEUDAS'!R43-'FC-10_DEUDAS'!S43,2)=0,"Ok","Mal, revisa datos, fila inicial 43 en FC-10")</f>
        <v>Ok</v>
      </c>
      <c r="H55" s="842"/>
      <c r="J55" s="844"/>
      <c r="K55" s="844"/>
      <c r="L55" s="844">
        <f t="shared" si="7"/>
        <v>0</v>
      </c>
      <c r="M55" s="844">
        <f t="shared" si="3"/>
        <v>0</v>
      </c>
    </row>
    <row r="56" spans="2:13" s="843" customFormat="1" ht="30" customHeight="1">
      <c r="B56" s="839"/>
      <c r="C56" s="892" t="s">
        <v>1001</v>
      </c>
      <c r="D56" s="1156"/>
      <c r="E56" s="1157"/>
      <c r="F56" s="1157"/>
      <c r="G56" s="846" t="str">
        <f>IF(ROUND('FC-10_DEUDAS'!Q106-'FC-10_DEUDAS'!R106-'FC-10_DEUDAS'!S106,2)=0,"Ok","Mal, revisa datos, fila inicial 75 en FC-10")</f>
        <v>Ok</v>
      </c>
      <c r="H56" s="842"/>
      <c r="J56" s="844"/>
      <c r="K56" s="844"/>
      <c r="L56" s="844"/>
      <c r="M56" s="844"/>
    </row>
    <row r="57" spans="2:13" s="843" customFormat="1" ht="30" customHeight="1">
      <c r="B57" s="839"/>
      <c r="C57" s="892" t="s">
        <v>1002</v>
      </c>
      <c r="D57" s="1156"/>
      <c r="E57" s="1157"/>
      <c r="F57" s="1157"/>
      <c r="G57" s="846" t="str">
        <f>IF(ROUND('FC-10_DEUDAS'!Q138-'FC-10_DEUDAS'!R138-'FC-10_DEUDAS'!S138,2)=0,"Ok","Mal, revisa datos, fila inicial 107 en FC-10")</f>
        <v>Ok</v>
      </c>
      <c r="H57" s="842"/>
      <c r="J57" s="844"/>
      <c r="K57" s="844"/>
      <c r="L57" s="844"/>
      <c r="M57" s="844"/>
    </row>
    <row r="58" spans="2:13" s="843" customFormat="1" ht="30" customHeight="1">
      <c r="B58" s="839"/>
      <c r="C58" s="1298" t="s">
        <v>991</v>
      </c>
      <c r="D58" s="1156"/>
      <c r="E58" s="1157"/>
      <c r="F58" s="846" t="str">
        <f>IF(ROUND('FC-4_PASIVO'!F44-'FC-16_1_ INF_ADIC_ESTAB_PRESUP'!E19,2)=0,"Ok","Mal, revisa dato en FC-4_PASIVO y FC-16_1")</f>
        <v>Ok</v>
      </c>
      <c r="G58" s="846" t="str">
        <f>IF(ROUND('FC-4_PASIVO'!G44-'FC-16_1_ INF_ADIC_ESTAB_PRESUP'!J19,2)=0,"Ok","Mal, revisa dato en FC-4_PASIVO y FC-16_1")</f>
        <v>Ok</v>
      </c>
      <c r="H58" s="842"/>
      <c r="J58" s="844"/>
      <c r="K58" s="844"/>
      <c r="L58" s="844"/>
      <c r="M58" s="844"/>
    </row>
    <row r="59" spans="2:13" s="843" customFormat="1" ht="30" customHeight="1">
      <c r="B59" s="839"/>
      <c r="C59" s="1298" t="s">
        <v>992</v>
      </c>
      <c r="D59" s="1156"/>
      <c r="E59" s="1157"/>
      <c r="F59" s="846" t="str">
        <f>IF(ROUND('FC-4_PASIVO'!F63-'FC-16_1_ INF_ADIC_ESTAB_PRESUP'!E28,2)=0,"Ok","Mal, revisa dato en FC-4_PASIVO y FC-16_1")</f>
        <v>Ok</v>
      </c>
      <c r="G59" s="846" t="str">
        <f>IF(ROUND('FC-4_PASIVO'!G63-'FC-16_1_ INF_ADIC_ESTAB_PRESUP'!J28,2)=0,"Ok","Mal, revisa dato en FC-4_PASIVO y FC-16_1")</f>
        <v>Ok</v>
      </c>
      <c r="H59" s="842"/>
      <c r="J59" s="844"/>
      <c r="K59" s="844"/>
      <c r="L59" s="844"/>
      <c r="M59" s="844"/>
    </row>
    <row r="60" spans="2:13" s="843" customFormat="1" ht="30" customHeight="1">
      <c r="B60" s="839"/>
      <c r="C60" s="1298" t="s">
        <v>1101</v>
      </c>
      <c r="D60" s="1156"/>
      <c r="E60" s="1157"/>
      <c r="F60" s="1157"/>
      <c r="G60" s="846" t="str">
        <f>IF(ROUND('FC-9_TRANS_SUBV'!N44-'FC-17_FINANCIACIÓN'!E28,2)=0,"Ok","Mal, revisa dato en FC-9 y FC-17")</f>
        <v>Ok</v>
      </c>
      <c r="H60" s="842"/>
      <c r="J60" s="844"/>
      <c r="K60" s="844"/>
      <c r="L60" s="844"/>
      <c r="M60" s="844"/>
    </row>
    <row r="61" spans="2:13" s="843" customFormat="1" ht="30" customHeight="1">
      <c r="B61" s="839"/>
      <c r="C61" s="1298" t="s">
        <v>1169</v>
      </c>
      <c r="D61" s="1156"/>
      <c r="E61" s="1157"/>
      <c r="F61" s="1157"/>
      <c r="G61" s="846" t="str">
        <f>IF(ROUND('FC-9_TRANS_SUBV'!J93-'FC-17_FINANCIACIÓN'!E24,2)=0,"Ok","Mal, revisa dato en FC-9 y FC-17")</f>
        <v>Ok</v>
      </c>
      <c r="H61" s="842"/>
      <c r="J61" s="844"/>
      <c r="K61" s="844"/>
      <c r="L61" s="844"/>
      <c r="M61" s="844"/>
    </row>
    <row r="62" spans="2:13" s="843" customFormat="1" ht="30" customHeight="1">
      <c r="B62" s="839"/>
      <c r="C62" s="854" t="s">
        <v>655</v>
      </c>
      <c r="D62" s="855"/>
      <c r="E62" s="856"/>
      <c r="F62" s="856"/>
      <c r="G62" s="857" t="str">
        <f>IF(ROUND(-'FC-3_CPyG'!G30-'FC-13_PERSONAL'!F31,2)=0,"Ok","Mal, revísa dato en FC-3 CPyG y FC-13")</f>
        <v>Ok</v>
      </c>
      <c r="H62" s="842"/>
      <c r="J62" s="844"/>
      <c r="K62" s="844"/>
      <c r="L62" s="844">
        <f t="shared" si="7"/>
        <v>0</v>
      </c>
      <c r="M62" s="844">
        <f t="shared" si="3"/>
        <v>0</v>
      </c>
    </row>
    <row r="63" spans="2:13" ht="30" customHeight="1">
      <c r="B63" s="351"/>
      <c r="C63" s="348"/>
      <c r="D63" s="348"/>
      <c r="E63" s="348"/>
      <c r="F63" s="348"/>
      <c r="G63" s="348"/>
      <c r="H63" s="352"/>
      <c r="J63" s="770"/>
      <c r="K63" s="770"/>
      <c r="L63" s="770"/>
      <c r="M63" s="770"/>
    </row>
    <row r="64" spans="2:13" ht="30" customHeight="1">
      <c r="B64" s="351"/>
      <c r="C64" s="923" t="s">
        <v>883</v>
      </c>
      <c r="D64" s="858"/>
      <c r="E64" s="859"/>
      <c r="F64" s="859"/>
      <c r="G64" s="860" t="str">
        <f>IF(ROUND('FC-3_CPyG'!G95-'_FC-90_DETALLE'!E167,2)=0,"Ok","Mal, revisa resultado en F-3 y FC-92")</f>
        <v>Ok</v>
      </c>
      <c r="H64" s="352"/>
      <c r="J64" s="770"/>
      <c r="K64" s="770"/>
      <c r="L64" s="770">
        <f t="shared" si="7"/>
        <v>0</v>
      </c>
      <c r="M64" s="770">
        <f t="shared" si="3"/>
        <v>0</v>
      </c>
    </row>
    <row r="65" spans="2:8" ht="23.1" customHeight="1" thickBot="1">
      <c r="B65" s="355"/>
      <c r="C65" s="356"/>
      <c r="D65" s="356"/>
      <c r="E65" s="356"/>
      <c r="F65" s="357"/>
      <c r="G65" s="356"/>
      <c r="H65" s="358"/>
    </row>
    <row r="66" spans="2:8" ht="23.1" customHeight="1">
      <c r="F66" s="359"/>
    </row>
    <row r="67" spans="2:8" s="41" customFormat="1" ht="12.75">
      <c r="C67" s="36" t="s">
        <v>70</v>
      </c>
      <c r="F67" s="42"/>
      <c r="G67" s="40"/>
    </row>
    <row r="68" spans="2:8" s="41" customFormat="1" ht="12.75">
      <c r="C68" s="37" t="s">
        <v>71</v>
      </c>
      <c r="F68" s="42"/>
    </row>
    <row r="69" spans="2:8" s="41" customFormat="1" ht="12.75">
      <c r="C69" s="37" t="s">
        <v>72</v>
      </c>
      <c r="F69" s="42"/>
    </row>
    <row r="70" spans="2:8" s="41" customFormat="1" ht="12.75">
      <c r="C70" s="37" t="s">
        <v>73</v>
      </c>
      <c r="F70" s="42"/>
    </row>
    <row r="71" spans="2:8" s="41" customFormat="1" ht="12.75">
      <c r="C71" s="37" t="s">
        <v>74</v>
      </c>
      <c r="F71" s="42"/>
    </row>
    <row r="72" spans="2:8" ht="23.1" customHeight="1">
      <c r="F72" s="359"/>
    </row>
    <row r="73" spans="2:8" ht="23.1" customHeight="1">
      <c r="F73" s="359"/>
    </row>
    <row r="74" spans="2:8" ht="23.1" customHeight="1">
      <c r="F74" s="359"/>
    </row>
    <row r="75" spans="2:8" ht="23.1" customHeight="1">
      <c r="F75" s="359"/>
    </row>
    <row r="76" spans="2:8" ht="23.1" customHeight="1">
      <c r="F76" s="359"/>
    </row>
    <row r="77" spans="2:8" ht="23.1" customHeight="1">
      <c r="F77" s="359"/>
    </row>
    <row r="78" spans="2:8" ht="23.1" customHeight="1">
      <c r="F78" s="359"/>
    </row>
  </sheetData>
  <sheetProtection algorithmName="SHA-512" hashValue="26kbNPHcYt317P/qTpD8YlBxNkRwJzkr6SvW1pSn4ZINnTRhmY6flrWdirtXMXnleaa7EQZdJkLe9r7Ue+XzfA==" saltValue="VejxP9oBKpOwGF8S67dyQg==" spinCount="100000" sheet="1" objects="1" scenarios="1"/>
  <mergeCells count="5">
    <mergeCell ref="G6:G7"/>
    <mergeCell ref="D9:G9"/>
    <mergeCell ref="F49:F50"/>
    <mergeCell ref="F51:F52"/>
    <mergeCell ref="F53:F5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2:X46"/>
  <sheetViews>
    <sheetView zoomScale="70" zoomScaleNormal="70" workbookViewId="0">
      <selection activeCell="C17" sqref="C17:H17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4" width="13.5546875" style="96" customWidth="1"/>
    <col min="5" max="5" width="99.5546875" style="96" customWidth="1"/>
    <col min="6" max="8" width="17.6640625" style="97" customWidth="1"/>
    <col min="9" max="9" width="3.33203125" style="96" customWidth="1"/>
    <col min="10" max="16384" width="10.6640625" style="96"/>
  </cols>
  <sheetData>
    <row r="2" spans="1:24" ht="23.1" customHeight="1">
      <c r="E2" s="298" t="str">
        <f>_GENERAL!D2</f>
        <v>Área de Presidencia, Hacienda y Modernización</v>
      </c>
    </row>
    <row r="3" spans="1:24" ht="23.1" customHeight="1">
      <c r="E3" s="298" t="str">
        <f>_GENERAL!D3</f>
        <v>Dirección Insular de Hacienda</v>
      </c>
    </row>
    <row r="4" spans="1:24" ht="23.1" customHeight="1" thickBot="1">
      <c r="A4" s="96" t="s">
        <v>884</v>
      </c>
    </row>
    <row r="5" spans="1:24" ht="9" customHeight="1">
      <c r="B5" s="98"/>
      <c r="C5" s="99"/>
      <c r="D5" s="99"/>
      <c r="E5" s="99"/>
      <c r="F5" s="100"/>
      <c r="G5" s="100"/>
      <c r="H5" s="100"/>
      <c r="I5" s="101"/>
      <c r="K5" s="418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20"/>
    </row>
    <row r="6" spans="1:24" ht="30" customHeight="1">
      <c r="B6" s="102"/>
      <c r="C6" s="66" t="s">
        <v>0</v>
      </c>
      <c r="D6" s="66"/>
      <c r="E6" s="103"/>
      <c r="F6" s="104"/>
      <c r="G6" s="104"/>
      <c r="H6" s="1489">
        <f>ejercicio</f>
        <v>2021</v>
      </c>
      <c r="I6" s="105"/>
      <c r="K6" s="421"/>
      <c r="L6" s="422" t="s">
        <v>628</v>
      </c>
      <c r="M6" s="422"/>
      <c r="N6" s="422"/>
      <c r="O6" s="422"/>
      <c r="P6" s="423"/>
      <c r="Q6" s="423"/>
      <c r="R6" s="423"/>
      <c r="S6" s="423"/>
      <c r="T6" s="423"/>
      <c r="U6" s="423"/>
      <c r="V6" s="423"/>
      <c r="W6" s="423"/>
      <c r="X6" s="424"/>
    </row>
    <row r="7" spans="1:24" ht="30" customHeight="1">
      <c r="B7" s="102"/>
      <c r="C7" s="66" t="s">
        <v>1</v>
      </c>
      <c r="D7" s="66"/>
      <c r="E7" s="103"/>
      <c r="F7" s="104"/>
      <c r="G7" s="104"/>
      <c r="H7" s="1489"/>
      <c r="I7" s="105"/>
      <c r="K7" s="421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4"/>
    </row>
    <row r="8" spans="1:24" ht="30" customHeight="1">
      <c r="B8" s="102"/>
      <c r="C8" s="106"/>
      <c r="D8" s="106"/>
      <c r="E8" s="103"/>
      <c r="F8" s="104"/>
      <c r="G8" s="104"/>
      <c r="H8" s="107"/>
      <c r="I8" s="105"/>
      <c r="K8" s="421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4"/>
    </row>
    <row r="9" spans="1:24" s="188" customFormat="1" ht="30" customHeight="1">
      <c r="B9" s="186"/>
      <c r="C9" s="55" t="s">
        <v>2</v>
      </c>
      <c r="D9" s="1367"/>
      <c r="E9" s="1505" t="str">
        <f>Entidad</f>
        <v>Spet, turismo de Tenerife s.a</v>
      </c>
      <c r="F9" s="1505"/>
      <c r="G9" s="1505"/>
      <c r="H9" s="1505"/>
      <c r="I9" s="187"/>
      <c r="K9" s="421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4"/>
    </row>
    <row r="10" spans="1:24" ht="6.95" customHeight="1">
      <c r="B10" s="102"/>
      <c r="C10" s="103"/>
      <c r="D10" s="103"/>
      <c r="E10" s="103"/>
      <c r="F10" s="104"/>
      <c r="G10" s="104"/>
      <c r="H10" s="104"/>
      <c r="I10" s="105"/>
      <c r="K10" s="421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</row>
    <row r="11" spans="1:24" s="114" customFormat="1" ht="30" customHeight="1">
      <c r="B11" s="110"/>
      <c r="C11" s="111" t="s">
        <v>959</v>
      </c>
      <c r="D11" s="111"/>
      <c r="E11" s="111"/>
      <c r="F11" s="112"/>
      <c r="G11" s="112"/>
      <c r="H11" s="112"/>
      <c r="I11" s="113"/>
      <c r="K11" s="421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4"/>
    </row>
    <row r="12" spans="1:24" s="114" customFormat="1" ht="30" customHeight="1">
      <c r="B12" s="110"/>
      <c r="C12" s="1576"/>
      <c r="D12" s="1576"/>
      <c r="E12" s="1576"/>
      <c r="F12" s="95"/>
      <c r="G12" s="95"/>
      <c r="H12" s="95"/>
      <c r="I12" s="113"/>
      <c r="K12" s="421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4"/>
    </row>
    <row r="13" spans="1:24" ht="29.1" customHeight="1">
      <c r="B13" s="116"/>
      <c r="C13" s="65" t="s">
        <v>1102</v>
      </c>
      <c r="D13" s="65"/>
      <c r="E13" s="155"/>
      <c r="F13" s="95"/>
      <c r="G13" s="95"/>
      <c r="H13" s="253"/>
      <c r="I13" s="105"/>
      <c r="K13" s="421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4"/>
    </row>
    <row r="14" spans="1:24" ht="9" customHeight="1">
      <c r="B14" s="116"/>
      <c r="C14" s="155"/>
      <c r="D14" s="1368"/>
      <c r="E14" s="155"/>
      <c r="F14" s="95"/>
      <c r="G14" s="95"/>
      <c r="H14" s="95"/>
      <c r="I14" s="105"/>
      <c r="K14" s="421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4"/>
    </row>
    <row r="15" spans="1:24" s="240" customFormat="1" ht="23.1" customHeight="1">
      <c r="B15" s="241"/>
      <c r="C15" s="196" t="s">
        <v>1103</v>
      </c>
      <c r="D15" s="196"/>
      <c r="E15" s="242"/>
      <c r="F15" s="196" t="s">
        <v>466</v>
      </c>
      <c r="G15" s="196" t="s">
        <v>515</v>
      </c>
      <c r="H15" s="196"/>
      <c r="I15" s="243"/>
      <c r="K15" s="421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4"/>
    </row>
    <row r="16" spans="1:24" s="240" customFormat="1" ht="24" customHeight="1">
      <c r="B16" s="241"/>
      <c r="C16" s="246" t="s">
        <v>1104</v>
      </c>
      <c r="D16" s="246" t="s">
        <v>435</v>
      </c>
      <c r="E16" s="247" t="s">
        <v>443</v>
      </c>
      <c r="F16" s="246" t="s">
        <v>960</v>
      </c>
      <c r="G16" s="246">
        <f>ejercicio</f>
        <v>2021</v>
      </c>
      <c r="H16" s="246" t="s">
        <v>516</v>
      </c>
      <c r="I16" s="243"/>
      <c r="K16" s="421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4"/>
    </row>
    <row r="17" spans="2:24" ht="23.1" customHeight="1">
      <c r="B17" s="116"/>
      <c r="C17" s="1196"/>
      <c r="D17" s="1196"/>
      <c r="E17" s="922"/>
      <c r="F17" s="500"/>
      <c r="G17" s="500"/>
      <c r="H17" s="1470"/>
      <c r="I17" s="105"/>
      <c r="K17" s="421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4"/>
    </row>
    <row r="18" spans="2:24" ht="23.1" customHeight="1">
      <c r="B18" s="116"/>
      <c r="C18" s="507"/>
      <c r="D18" s="507"/>
      <c r="E18" s="504"/>
      <c r="F18" s="500"/>
      <c r="G18" s="500"/>
      <c r="H18" s="585"/>
      <c r="I18" s="105"/>
      <c r="K18" s="421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4"/>
    </row>
    <row r="19" spans="2:24" ht="23.1" customHeight="1">
      <c r="B19" s="116"/>
      <c r="C19" s="507"/>
      <c r="D19" s="507"/>
      <c r="E19" s="504"/>
      <c r="F19" s="500"/>
      <c r="G19" s="500"/>
      <c r="H19" s="585"/>
      <c r="I19" s="105"/>
      <c r="K19" s="421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4"/>
    </row>
    <row r="20" spans="2:24" ht="23.1" customHeight="1">
      <c r="B20" s="116"/>
      <c r="C20" s="507"/>
      <c r="D20" s="507"/>
      <c r="E20" s="504"/>
      <c r="F20" s="500"/>
      <c r="G20" s="500"/>
      <c r="H20" s="585"/>
      <c r="I20" s="105"/>
      <c r="K20" s="421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4"/>
    </row>
    <row r="21" spans="2:24" ht="23.1" customHeight="1">
      <c r="B21" s="116"/>
      <c r="C21" s="507"/>
      <c r="D21" s="507"/>
      <c r="E21" s="504"/>
      <c r="F21" s="500"/>
      <c r="G21" s="500"/>
      <c r="H21" s="585"/>
      <c r="I21" s="105"/>
      <c r="K21" s="421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4"/>
    </row>
    <row r="22" spans="2:24" ht="23.1" customHeight="1">
      <c r="B22" s="116"/>
      <c r="C22" s="507"/>
      <c r="D22" s="507"/>
      <c r="E22" s="504"/>
      <c r="F22" s="500"/>
      <c r="G22" s="500"/>
      <c r="H22" s="585"/>
      <c r="I22" s="105"/>
      <c r="K22" s="421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4"/>
    </row>
    <row r="23" spans="2:24" ht="23.1" customHeight="1">
      <c r="B23" s="116"/>
      <c r="C23" s="507"/>
      <c r="D23" s="507"/>
      <c r="E23" s="504"/>
      <c r="F23" s="500"/>
      <c r="G23" s="500"/>
      <c r="H23" s="585"/>
      <c r="I23" s="105"/>
      <c r="K23" s="421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4"/>
    </row>
    <row r="24" spans="2:24" ht="23.1" customHeight="1">
      <c r="B24" s="116"/>
      <c r="C24" s="507"/>
      <c r="D24" s="507"/>
      <c r="E24" s="504"/>
      <c r="F24" s="500"/>
      <c r="G24" s="500"/>
      <c r="H24" s="585"/>
      <c r="I24" s="105"/>
      <c r="K24" s="421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4"/>
    </row>
    <row r="25" spans="2:24" ht="23.1" customHeight="1">
      <c r="B25" s="116"/>
      <c r="C25" s="507"/>
      <c r="D25" s="507"/>
      <c r="E25" s="504"/>
      <c r="F25" s="500"/>
      <c r="G25" s="500"/>
      <c r="H25" s="585"/>
      <c r="I25" s="105"/>
      <c r="K25" s="421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4"/>
    </row>
    <row r="26" spans="2:24" ht="23.1" customHeight="1">
      <c r="B26" s="116"/>
      <c r="C26" s="507"/>
      <c r="D26" s="507"/>
      <c r="E26" s="504"/>
      <c r="F26" s="500"/>
      <c r="G26" s="500"/>
      <c r="H26" s="585"/>
      <c r="I26" s="105"/>
      <c r="K26" s="421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4"/>
    </row>
    <row r="27" spans="2:24" ht="23.1" customHeight="1">
      <c r="B27" s="116"/>
      <c r="C27" s="507"/>
      <c r="D27" s="507"/>
      <c r="E27" s="504"/>
      <c r="F27" s="500"/>
      <c r="G27" s="500"/>
      <c r="H27" s="585"/>
      <c r="I27" s="105"/>
      <c r="K27" s="421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4"/>
    </row>
    <row r="28" spans="2:24" ht="23.1" customHeight="1">
      <c r="B28" s="116"/>
      <c r="C28" s="507"/>
      <c r="D28" s="507"/>
      <c r="E28" s="504"/>
      <c r="F28" s="500"/>
      <c r="G28" s="500"/>
      <c r="H28" s="585"/>
      <c r="I28" s="105"/>
      <c r="K28" s="421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4"/>
    </row>
    <row r="29" spans="2:24" ht="23.1" customHeight="1">
      <c r="B29" s="116"/>
      <c r="C29" s="507"/>
      <c r="D29" s="507"/>
      <c r="E29" s="504"/>
      <c r="F29" s="500"/>
      <c r="G29" s="500"/>
      <c r="H29" s="585"/>
      <c r="I29" s="105"/>
      <c r="K29" s="421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4"/>
    </row>
    <row r="30" spans="2:24" ht="23.1" customHeight="1">
      <c r="B30" s="116"/>
      <c r="C30" s="507"/>
      <c r="D30" s="507"/>
      <c r="E30" s="504"/>
      <c r="F30" s="500"/>
      <c r="G30" s="500"/>
      <c r="H30" s="585"/>
      <c r="I30" s="105"/>
      <c r="K30" s="421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116"/>
      <c r="C31" s="508"/>
      <c r="D31" s="508"/>
      <c r="E31" s="505"/>
      <c r="F31" s="501"/>
      <c r="G31" s="501"/>
      <c r="H31" s="586"/>
      <c r="I31" s="105"/>
      <c r="K31" s="421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116"/>
      <c r="C32" s="509"/>
      <c r="D32" s="509"/>
      <c r="E32" s="506"/>
      <c r="F32" s="503"/>
      <c r="G32" s="503"/>
      <c r="H32" s="587"/>
      <c r="I32" s="105"/>
      <c r="K32" s="421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4"/>
    </row>
    <row r="33" spans="2:24" ht="23.1" customHeight="1" thickBot="1">
      <c r="B33" s="116"/>
      <c r="C33" s="215"/>
      <c r="D33" s="215"/>
      <c r="E33" s="219" t="s">
        <v>394</v>
      </c>
      <c r="F33" s="174">
        <f>SUM(F17:F32)</f>
        <v>0</v>
      </c>
      <c r="G33" s="174">
        <f>SUM(G17:G32)</f>
        <v>0</v>
      </c>
      <c r="H33" s="95"/>
      <c r="I33" s="105"/>
      <c r="K33" s="421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4"/>
    </row>
    <row r="34" spans="2:24" ht="23.1" customHeight="1">
      <c r="B34" s="116"/>
      <c r="C34" s="215"/>
      <c r="D34" s="215"/>
      <c r="E34" s="215"/>
      <c r="F34" s="216"/>
      <c r="G34" s="216"/>
      <c r="H34" s="95"/>
      <c r="I34" s="105"/>
      <c r="K34" s="421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4"/>
    </row>
    <row r="35" spans="2:24" ht="23.1" customHeight="1" thickBot="1">
      <c r="B35" s="120"/>
      <c r="C35" s="1504"/>
      <c r="D35" s="1504"/>
      <c r="E35" s="1504"/>
      <c r="F35" s="56"/>
      <c r="G35" s="56"/>
      <c r="H35" s="121"/>
      <c r="I35" s="122"/>
      <c r="K35" s="415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7"/>
    </row>
    <row r="36" spans="2:24" ht="23.1" customHeight="1">
      <c r="C36" s="103"/>
      <c r="D36" s="103"/>
      <c r="E36" s="103"/>
      <c r="F36" s="104"/>
      <c r="G36" s="104"/>
      <c r="H36" s="104"/>
      <c r="J36" s="96" t="s">
        <v>885</v>
      </c>
    </row>
    <row r="37" spans="2:24" ht="12.75">
      <c r="C37" s="123" t="s">
        <v>70</v>
      </c>
      <c r="D37" s="123"/>
      <c r="E37" s="103"/>
      <c r="F37" s="104"/>
      <c r="G37" s="104"/>
      <c r="H37" s="94" t="s">
        <v>507</v>
      </c>
    </row>
    <row r="38" spans="2:24" ht="12.75">
      <c r="C38" s="124" t="s">
        <v>71</v>
      </c>
      <c r="D38" s="124"/>
      <c r="E38" s="103"/>
      <c r="F38" s="104"/>
      <c r="G38" s="104"/>
      <c r="H38" s="104"/>
    </row>
    <row r="39" spans="2:24" ht="12.75">
      <c r="C39" s="124" t="s">
        <v>72</v>
      </c>
      <c r="D39" s="124"/>
      <c r="E39" s="103"/>
      <c r="F39" s="104"/>
      <c r="G39" s="104"/>
      <c r="H39" s="104"/>
    </row>
    <row r="40" spans="2:24" ht="12.75">
      <c r="C40" s="124" t="s">
        <v>73</v>
      </c>
      <c r="D40" s="124"/>
      <c r="E40" s="103"/>
      <c r="F40" s="104"/>
      <c r="G40" s="104"/>
      <c r="H40" s="104"/>
    </row>
    <row r="41" spans="2:24" ht="12.75">
      <c r="C41" s="124" t="s">
        <v>74</v>
      </c>
      <c r="D41" s="124"/>
      <c r="E41" s="103"/>
      <c r="F41" s="104"/>
      <c r="G41" s="104"/>
      <c r="H41" s="104"/>
    </row>
    <row r="42" spans="2:24" ht="23.1" customHeight="1">
      <c r="C42" s="103"/>
      <c r="D42" s="103"/>
      <c r="E42" s="103"/>
      <c r="F42" s="104"/>
      <c r="G42" s="104"/>
      <c r="H42" s="104"/>
    </row>
    <row r="43" spans="2:24" ht="23.1" customHeight="1">
      <c r="C43" s="103"/>
      <c r="D43" s="103"/>
      <c r="E43" s="103"/>
      <c r="F43" s="104"/>
      <c r="G43" s="104"/>
      <c r="H43" s="104"/>
    </row>
    <row r="44" spans="2:24" ht="23.1" customHeight="1">
      <c r="C44" s="103"/>
      <c r="D44" s="103"/>
      <c r="E44" s="103"/>
      <c r="F44" s="104"/>
      <c r="G44" s="104"/>
      <c r="H44" s="104"/>
    </row>
    <row r="45" spans="2:24" ht="23.1" customHeight="1">
      <c r="C45" s="103"/>
      <c r="D45" s="103"/>
      <c r="E45" s="103"/>
      <c r="F45" s="104"/>
      <c r="G45" s="104"/>
      <c r="H45" s="104"/>
    </row>
    <row r="46" spans="2:24" ht="23.1" customHeight="1">
      <c r="F46" s="104"/>
      <c r="G46" s="104"/>
      <c r="H46" s="104"/>
    </row>
  </sheetData>
  <sheetProtection algorithmName="SHA-512" hashValue="j2cUVm9HCzd00xKgavu7XjxZnpJsk0muMr1wGYvTJAgfHEiamqOMD/ojMfHl3HAfcAjuXh5mBXQEXWEKx+DgcQ==" saltValue="4sKaoyuz2XeAPa3HfFxoBw==" spinCount="100000" sheet="1" insertRows="0"/>
  <mergeCells count="4">
    <mergeCell ref="C35:E35"/>
    <mergeCell ref="H6:H7"/>
    <mergeCell ref="E9:H9"/>
    <mergeCell ref="C12:E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2:W97"/>
  <sheetViews>
    <sheetView topLeftCell="A13" zoomScale="85" zoomScaleNormal="85" workbookViewId="0">
      <selection activeCell="E24" sqref="E24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109375" style="96" customWidth="1"/>
    <col min="4" max="4" width="68" style="96" customWidth="1"/>
    <col min="5" max="5" width="17.6640625" style="97" customWidth="1"/>
    <col min="6" max="6" width="44.88671875" style="97" customWidth="1"/>
    <col min="7" max="7" width="10.6640625" style="97" customWidth="1"/>
    <col min="8" max="8" width="3.33203125" style="96" customWidth="1"/>
    <col min="9" max="16384" width="10.6640625" style="96"/>
  </cols>
  <sheetData>
    <row r="2" spans="1:23" ht="23.1" customHeight="1">
      <c r="D2" s="298" t="str">
        <f>_GENERAL!D2</f>
        <v>Área de Presidencia, Hacienda y Modernización</v>
      </c>
    </row>
    <row r="3" spans="1:23" ht="23.1" customHeight="1">
      <c r="D3" s="298" t="str">
        <f>_GENERAL!D3</f>
        <v>Dirección Insular de Hacienda</v>
      </c>
    </row>
    <row r="4" spans="1:23" ht="23.1" customHeight="1" thickBot="1">
      <c r="A4" s="96" t="s">
        <v>884</v>
      </c>
    </row>
    <row r="5" spans="1:23" ht="9" customHeight="1">
      <c r="B5" s="98"/>
      <c r="C5" s="99"/>
      <c r="D5" s="99"/>
      <c r="E5" s="100"/>
      <c r="F5" s="100"/>
      <c r="G5" s="100"/>
      <c r="H5" s="101"/>
      <c r="J5" s="418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20"/>
    </row>
    <row r="6" spans="1:23" ht="30" customHeight="1">
      <c r="B6" s="102"/>
      <c r="C6" s="66" t="s">
        <v>0</v>
      </c>
      <c r="D6" s="103"/>
      <c r="E6" s="104"/>
      <c r="F6" s="104"/>
      <c r="G6" s="1489">
        <f>ejercicio</f>
        <v>2021</v>
      </c>
      <c r="H6" s="105"/>
      <c r="J6" s="421"/>
      <c r="K6" s="422" t="s">
        <v>628</v>
      </c>
      <c r="L6" s="422"/>
      <c r="M6" s="422"/>
      <c r="N6" s="422"/>
      <c r="O6" s="423"/>
      <c r="P6" s="423"/>
      <c r="Q6" s="423"/>
      <c r="R6" s="423"/>
      <c r="S6" s="423"/>
      <c r="T6" s="423"/>
      <c r="U6" s="423"/>
      <c r="V6" s="423"/>
      <c r="W6" s="424"/>
    </row>
    <row r="7" spans="1:23" ht="30" customHeight="1">
      <c r="B7" s="102"/>
      <c r="C7" s="66" t="s">
        <v>1</v>
      </c>
      <c r="D7" s="103"/>
      <c r="E7" s="104"/>
      <c r="F7" s="104"/>
      <c r="G7" s="1489"/>
      <c r="H7" s="105"/>
      <c r="J7" s="421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4"/>
    </row>
    <row r="8" spans="1:23" ht="30" customHeight="1">
      <c r="B8" s="102"/>
      <c r="C8" s="106"/>
      <c r="D8" s="103"/>
      <c r="E8" s="104"/>
      <c r="F8" s="104"/>
      <c r="G8" s="107"/>
      <c r="H8" s="105"/>
      <c r="J8" s="421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4"/>
    </row>
    <row r="9" spans="1:23" s="188" customFormat="1" ht="30" customHeight="1">
      <c r="B9" s="186"/>
      <c r="C9" s="55" t="s">
        <v>2</v>
      </c>
      <c r="D9" s="1505" t="str">
        <f>Entidad</f>
        <v>Spet, turismo de Tenerife s.a</v>
      </c>
      <c r="E9" s="1505"/>
      <c r="F9" s="1505"/>
      <c r="G9" s="1505"/>
      <c r="H9" s="187"/>
      <c r="J9" s="421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4"/>
    </row>
    <row r="10" spans="1:23" ht="6.95" customHeight="1">
      <c r="B10" s="102"/>
      <c r="C10" s="103"/>
      <c r="D10" s="103"/>
      <c r="E10" s="104"/>
      <c r="F10" s="104"/>
      <c r="G10" s="104"/>
      <c r="H10" s="105"/>
      <c r="J10" s="421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4"/>
    </row>
    <row r="11" spans="1:23" s="114" customFormat="1" ht="30" customHeight="1">
      <c r="B11" s="110"/>
      <c r="C11" s="111" t="s">
        <v>521</v>
      </c>
      <c r="D11" s="111"/>
      <c r="E11" s="112"/>
      <c r="F11" s="112"/>
      <c r="G11" s="112"/>
      <c r="H11" s="113"/>
      <c r="J11" s="421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4"/>
    </row>
    <row r="12" spans="1:23" s="114" customFormat="1" ht="30" customHeight="1">
      <c r="B12" s="110"/>
      <c r="C12" s="1576"/>
      <c r="D12" s="1576"/>
      <c r="E12" s="95"/>
      <c r="F12" s="95"/>
      <c r="G12" s="95"/>
      <c r="H12" s="113"/>
      <c r="J12" s="421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4"/>
    </row>
    <row r="13" spans="1:23" ht="29.1" customHeight="1">
      <c r="B13" s="116"/>
      <c r="C13" s="927" t="str">
        <f>IF(_GENERAL!D15&lt;&gt;"Administración Pública","No aplica a entidades clasificadas como Entidad no financiera","")</f>
        <v/>
      </c>
      <c r="D13" s="155"/>
      <c r="E13" s="95"/>
      <c r="F13" s="95"/>
      <c r="G13" s="253"/>
      <c r="H13" s="105"/>
      <c r="J13" s="421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4"/>
    </row>
    <row r="14" spans="1:23" ht="9" customHeight="1">
      <c r="B14" s="116"/>
      <c r="C14" s="155"/>
      <c r="D14" s="155"/>
      <c r="E14" s="95"/>
      <c r="F14" s="95"/>
      <c r="G14" s="95"/>
      <c r="H14" s="105"/>
      <c r="J14" s="421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4"/>
    </row>
    <row r="15" spans="1:23" s="240" customFormat="1" ht="23.1" customHeight="1">
      <c r="B15" s="241"/>
      <c r="C15" s="256"/>
      <c r="D15" s="259"/>
      <c r="E15" s="196" t="s">
        <v>517</v>
      </c>
      <c r="F15" s="256"/>
      <c r="G15" s="259"/>
      <c r="H15" s="243"/>
      <c r="J15" s="421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4"/>
    </row>
    <row r="16" spans="1:23" s="240" customFormat="1" ht="23.1" customHeight="1">
      <c r="B16" s="241"/>
      <c r="C16" s="257"/>
      <c r="D16" s="260"/>
      <c r="E16" s="244" t="s">
        <v>518</v>
      </c>
      <c r="F16" s="257"/>
      <c r="G16" s="260"/>
      <c r="H16" s="243"/>
      <c r="J16" s="421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4"/>
    </row>
    <row r="17" spans="2:23" s="240" customFormat="1" ht="23.1" customHeight="1">
      <c r="B17" s="241"/>
      <c r="C17" s="257"/>
      <c r="D17" s="260"/>
      <c r="E17" s="244" t="s">
        <v>519</v>
      </c>
      <c r="F17" s="257"/>
      <c r="G17" s="260"/>
      <c r="H17" s="243"/>
      <c r="J17" s="421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4"/>
    </row>
    <row r="18" spans="2:23" s="240" customFormat="1" ht="24" customHeight="1">
      <c r="B18" s="241"/>
      <c r="C18" s="1590" t="s">
        <v>443</v>
      </c>
      <c r="D18" s="1591"/>
      <c r="E18" s="279">
        <f>ejercicio</f>
        <v>2021</v>
      </c>
      <c r="F18" s="258" t="s">
        <v>520</v>
      </c>
      <c r="G18" s="261"/>
      <c r="H18" s="243"/>
      <c r="J18" s="421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4"/>
    </row>
    <row r="19" spans="2:23" ht="9" customHeight="1">
      <c r="B19" s="116"/>
      <c r="C19" s="65"/>
      <c r="D19" s="155"/>
      <c r="E19" s="95"/>
      <c r="F19" s="95"/>
      <c r="G19" s="253"/>
      <c r="H19" s="105"/>
      <c r="J19" s="421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4"/>
    </row>
    <row r="20" spans="2:23" s="128" customFormat="1" ht="23.1" customHeight="1" thickBot="1">
      <c r="B20" s="165"/>
      <c r="C20" s="1631" t="s">
        <v>522</v>
      </c>
      <c r="D20" s="1632"/>
      <c r="E20" s="268">
        <f>SUM(E21:E30)</f>
        <v>15195294.130000001</v>
      </c>
      <c r="F20" s="1648"/>
      <c r="G20" s="1649"/>
      <c r="H20" s="127"/>
      <c r="J20" s="421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4"/>
    </row>
    <row r="21" spans="2:23" ht="23.1" customHeight="1">
      <c r="B21" s="116"/>
      <c r="C21" s="181" t="s">
        <v>523</v>
      </c>
      <c r="D21" s="262"/>
      <c r="E21" s="589">
        <f>+'FC-3_CPyG'!G16</f>
        <v>0</v>
      </c>
      <c r="F21" s="1650"/>
      <c r="G21" s="1651"/>
      <c r="H21" s="105"/>
      <c r="J21" s="421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4"/>
    </row>
    <row r="22" spans="2:23" ht="23.1" customHeight="1">
      <c r="B22" s="116"/>
      <c r="C22" s="181" t="s">
        <v>524</v>
      </c>
      <c r="D22" s="262"/>
      <c r="E22" s="589">
        <f>+'FC-3_CPyG'!G21</f>
        <v>0</v>
      </c>
      <c r="F22" s="1644"/>
      <c r="G22" s="1645"/>
      <c r="H22" s="105"/>
      <c r="J22" s="421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4"/>
    </row>
    <row r="23" spans="2:23" ht="23.1" customHeight="1">
      <c r="B23" s="116"/>
      <c r="C23" s="181" t="s">
        <v>525</v>
      </c>
      <c r="D23" s="262"/>
      <c r="E23" s="589">
        <f>+'FC-3_CPyG'!G28</f>
        <v>0</v>
      </c>
      <c r="F23" s="1644"/>
      <c r="G23" s="1645"/>
      <c r="H23" s="105"/>
      <c r="J23" s="421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4"/>
    </row>
    <row r="24" spans="2:23" ht="23.1" customHeight="1">
      <c r="B24" s="116"/>
      <c r="C24" s="181" t="s">
        <v>526</v>
      </c>
      <c r="D24" s="262"/>
      <c r="E24" s="589">
        <f>'FC-9_TRANS_SUBV'!J93</f>
        <v>12980782.610000001</v>
      </c>
      <c r="F24" s="1644"/>
      <c r="G24" s="1645"/>
      <c r="H24" s="105"/>
      <c r="J24" s="421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4"/>
    </row>
    <row r="25" spans="2:23" ht="23.1" customHeight="1">
      <c r="B25" s="116"/>
      <c r="C25" s="181" t="s">
        <v>527</v>
      </c>
      <c r="D25" s="262"/>
      <c r="E25" s="589">
        <f>+'FC-3_CPyG'!G66+'FC-3_CPyG'!G83+IF('FC-3_CPyG'!G84&gt;0,'FC-3_CPyG'!G84,0)</f>
        <v>3000</v>
      </c>
      <c r="F25" s="1644"/>
      <c r="G25" s="1645"/>
      <c r="H25" s="105"/>
      <c r="J25" s="421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4"/>
    </row>
    <row r="26" spans="2:23" ht="23.1" customHeight="1">
      <c r="B26" s="116"/>
      <c r="C26" s="181" t="s">
        <v>528</v>
      </c>
      <c r="D26" s="262"/>
      <c r="E26" s="589">
        <f>+'FC-3_CPyG'!G63</f>
        <v>0</v>
      </c>
      <c r="F26" s="1644"/>
      <c r="G26" s="1645"/>
      <c r="H26" s="105"/>
      <c r="J26" s="421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4"/>
    </row>
    <row r="27" spans="2:23" ht="23.1" customHeight="1">
      <c r="B27" s="116"/>
      <c r="C27" s="1230" t="s">
        <v>999</v>
      </c>
      <c r="D27" s="262"/>
      <c r="E27" s="1231"/>
      <c r="F27" s="1210" t="s">
        <v>949</v>
      </c>
      <c r="G27" s="1258"/>
      <c r="H27" s="105"/>
      <c r="J27" s="421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4"/>
    </row>
    <row r="28" spans="2:23" ht="23.1" customHeight="1">
      <c r="B28" s="116"/>
      <c r="C28" s="181" t="s">
        <v>529</v>
      </c>
      <c r="D28" s="262"/>
      <c r="E28" s="589">
        <f>+'FC-3_1_INF_ADIC_CPyG'!G48</f>
        <v>0</v>
      </c>
      <c r="F28" s="1644"/>
      <c r="G28" s="1645"/>
      <c r="H28" s="105"/>
      <c r="J28" s="421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4"/>
    </row>
    <row r="29" spans="2:23" ht="23.1" customHeight="1">
      <c r="B29" s="116"/>
      <c r="C29" s="829" t="s">
        <v>725</v>
      </c>
      <c r="D29" s="262"/>
      <c r="E29" s="589">
        <f>'FC-9_TRANS_SUBV'!N114+'FC-9_TRANS_SUBV'!H129</f>
        <v>2211511.52</v>
      </c>
      <c r="F29" s="1644"/>
      <c r="G29" s="1645"/>
      <c r="H29" s="105"/>
      <c r="J29" s="421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4"/>
    </row>
    <row r="30" spans="2:23" ht="23.1" customHeight="1">
      <c r="B30" s="116"/>
      <c r="C30" s="160" t="s">
        <v>530</v>
      </c>
      <c r="D30" s="263"/>
      <c r="E30" s="590">
        <f>'FC-9_TRANS_SUBV'!N44</f>
        <v>0</v>
      </c>
      <c r="F30" s="1646"/>
      <c r="G30" s="1647"/>
      <c r="H30" s="105"/>
      <c r="J30" s="421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9" customHeight="1">
      <c r="B31" s="116"/>
      <c r="C31" s="65"/>
      <c r="D31" s="155"/>
      <c r="E31" s="95"/>
      <c r="F31" s="95"/>
      <c r="G31" s="253"/>
      <c r="H31" s="105"/>
      <c r="J31" s="421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 thickBot="1">
      <c r="B32" s="116"/>
      <c r="C32" s="1631" t="s">
        <v>531</v>
      </c>
      <c r="D32" s="1632"/>
      <c r="E32" s="268">
        <f>SUM(E33:E44)</f>
        <v>-15297452.33</v>
      </c>
      <c r="F32" s="1648"/>
      <c r="G32" s="1649"/>
      <c r="H32" s="105"/>
      <c r="J32" s="421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4"/>
    </row>
    <row r="33" spans="2:23" ht="23.1" customHeight="1">
      <c r="B33" s="116"/>
      <c r="C33" s="181" t="s">
        <v>93</v>
      </c>
      <c r="D33" s="262"/>
      <c r="E33" s="589">
        <f>+'FC-3_CPyG'!G22</f>
        <v>0</v>
      </c>
      <c r="F33" s="1644"/>
      <c r="G33" s="1645"/>
      <c r="H33" s="105"/>
      <c r="J33" s="421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4"/>
    </row>
    <row r="34" spans="2:23" ht="23.1" customHeight="1">
      <c r="B34" s="116"/>
      <c r="C34" s="181" t="s">
        <v>532</v>
      </c>
      <c r="D34" s="262"/>
      <c r="E34" s="589">
        <f>+'FC-3_CPyG'!G30</f>
        <v>-2390470.23</v>
      </c>
      <c r="F34" s="525"/>
      <c r="G34" s="486"/>
      <c r="H34" s="105"/>
      <c r="J34" s="421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4"/>
    </row>
    <row r="35" spans="2:23" ht="23.1" customHeight="1">
      <c r="B35" s="116"/>
      <c r="C35" s="181" t="s">
        <v>108</v>
      </c>
      <c r="D35" s="262"/>
      <c r="E35" s="589">
        <f>'FC-3_CPyG'!G35+'FC-3_CPyG'!G38+'FC-3_CPyG'!G39</f>
        <v>-12900982.1</v>
      </c>
      <c r="F35" s="525"/>
      <c r="G35" s="486"/>
      <c r="H35" s="105"/>
      <c r="J35" s="421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4"/>
    </row>
    <row r="36" spans="2:23" ht="23.1" customHeight="1">
      <c r="B36" s="116"/>
      <c r="C36" s="181" t="s">
        <v>533</v>
      </c>
      <c r="D36" s="262"/>
      <c r="E36" s="589">
        <f>+'FC-3_CPyG'!G71+'FC-3_CPyG'!G72+'FC-3_CPyG'!G82+IF('FC-3_CPyG'!G84&lt;0,'FC-3_CPyG'!G84,0)</f>
        <v>-3000</v>
      </c>
      <c r="F36" s="525"/>
      <c r="G36" s="486"/>
      <c r="H36" s="105"/>
      <c r="J36" s="421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3.1" customHeight="1">
      <c r="B37" s="116"/>
      <c r="C37" s="181" t="s">
        <v>534</v>
      </c>
      <c r="D37" s="262"/>
      <c r="E37" s="589">
        <f>-'FC-3_1_INF_ADIC_CPyG'!G68-'FC-3_1_INF_ADIC_CPyG'!G69</f>
        <v>0</v>
      </c>
      <c r="F37" s="525"/>
      <c r="G37" s="486"/>
      <c r="H37" s="105"/>
      <c r="J37" s="421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3.1" customHeight="1">
      <c r="B38" s="116"/>
      <c r="C38" s="181" t="s">
        <v>535</v>
      </c>
      <c r="D38" s="262"/>
      <c r="E38" s="589">
        <f>+'FC-3_CPyG'!G36</f>
        <v>-3000</v>
      </c>
      <c r="F38" s="525"/>
      <c r="G38" s="486"/>
      <c r="H38" s="105"/>
      <c r="J38" s="421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3.1" customHeight="1">
      <c r="B39" s="116"/>
      <c r="C39" s="181" t="s">
        <v>536</v>
      </c>
      <c r="D39" s="262"/>
      <c r="E39" s="589">
        <f>+'FC-3_1_INF_ADIC_CPyG'!G57</f>
        <v>0</v>
      </c>
      <c r="F39" s="525"/>
      <c r="G39" s="486"/>
      <c r="H39" s="105"/>
      <c r="J39" s="421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3.1" customHeight="1">
      <c r="B40" s="116"/>
      <c r="C40" s="181" t="s">
        <v>537</v>
      </c>
      <c r="D40" s="262"/>
      <c r="E40" s="1229">
        <f>-'FC-7_INF'!F31-'FC-7_INF'!H31+'FC-7_INF'!N31-'FC-7_INF'!F33-'FC-7_INF'!H33-'FC-7_INF'!K33</f>
        <v>0</v>
      </c>
      <c r="F40" s="525"/>
      <c r="G40" s="486"/>
      <c r="H40" s="105"/>
      <c r="J40" s="421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3.1" customHeight="1">
      <c r="B41" s="116"/>
      <c r="C41" s="588" t="s">
        <v>538</v>
      </c>
      <c r="D41" s="262"/>
      <c r="E41" s="1229">
        <f>+'FC-3_CPyG'!G20</f>
        <v>0</v>
      </c>
      <c r="F41" s="525"/>
      <c r="G41" s="486"/>
      <c r="H41" s="105"/>
      <c r="J41" s="421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3.1" customHeight="1">
      <c r="B42" s="116"/>
      <c r="C42" s="1230" t="s">
        <v>994</v>
      </c>
      <c r="D42" s="262"/>
      <c r="E42" s="1229">
        <f>'FC-16_1_ INF_ADIC_ESTAB_PRESUP'!G19+'FC-16_1_ INF_ADIC_ESTAB_PRESUP'!G28</f>
        <v>0</v>
      </c>
      <c r="F42" s="1210"/>
      <c r="G42" s="486"/>
      <c r="H42" s="105"/>
      <c r="J42" s="421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3.1" customHeight="1">
      <c r="B43" s="116"/>
      <c r="C43" s="1230" t="s">
        <v>995</v>
      </c>
      <c r="D43" s="262"/>
      <c r="E43" s="1231"/>
      <c r="F43" s="1644" t="s">
        <v>949</v>
      </c>
      <c r="G43" s="1645" t="s">
        <v>949</v>
      </c>
      <c r="H43" s="105"/>
      <c r="J43" s="421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3.1" customHeight="1">
      <c r="B44" s="116"/>
      <c r="C44" s="1232" t="s">
        <v>996</v>
      </c>
      <c r="D44" s="263"/>
      <c r="E44" s="1235">
        <f>-'FC-3_1_INF_ADIC_CPyG'!G87</f>
        <v>0</v>
      </c>
      <c r="F44" s="1646"/>
      <c r="G44" s="1647"/>
      <c r="H44" s="105"/>
      <c r="J44" s="1395" t="str">
        <f>IF(E44=0,"","En el proceso de revisión del PAIF, si han habido ayudas concedidas, debe descontarse el importe en la correspondiente celda E33 a E43 en el que estuviese incluido su gasto")</f>
        <v/>
      </c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9" customHeight="1">
      <c r="B45" s="116"/>
      <c r="C45" s="65"/>
      <c r="D45" s="155"/>
      <c r="E45" s="95"/>
      <c r="F45" s="95"/>
      <c r="G45" s="253"/>
      <c r="H45" s="105"/>
      <c r="J45" s="421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3.1" customHeight="1" thickBot="1">
      <c r="B46" s="116"/>
      <c r="C46" s="162" t="s">
        <v>539</v>
      </c>
      <c r="D46" s="281"/>
      <c r="E46" s="174">
        <f>+E20+E32</f>
        <v>-102158.19999999925</v>
      </c>
      <c r="F46" s="95"/>
      <c r="G46" s="95"/>
      <c r="H46" s="105"/>
      <c r="J46" s="421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3.1" customHeight="1">
      <c r="B47" s="116"/>
      <c r="C47" s="215"/>
      <c r="D47" s="215"/>
      <c r="E47" s="216"/>
      <c r="F47" s="216"/>
      <c r="G47" s="95"/>
      <c r="H47" s="105"/>
      <c r="J47" s="421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3.1" customHeight="1">
      <c r="B48" s="116"/>
      <c r="C48" s="170" t="s">
        <v>405</v>
      </c>
      <c r="D48" s="215"/>
      <c r="E48" s="216"/>
      <c r="F48" s="216"/>
      <c r="G48" s="95"/>
      <c r="H48" s="105"/>
      <c r="J48" s="421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3.1" customHeight="1">
      <c r="B49" s="116"/>
      <c r="C49" s="168" t="s">
        <v>658</v>
      </c>
      <c r="D49" s="215"/>
      <c r="E49" s="216"/>
      <c r="F49" s="216"/>
      <c r="G49" s="95"/>
      <c r="H49" s="105"/>
      <c r="J49" s="421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3.1" customHeight="1">
      <c r="B50" s="116"/>
      <c r="C50" s="168" t="s">
        <v>997</v>
      </c>
      <c r="D50" s="215"/>
      <c r="E50" s="216"/>
      <c r="F50" s="216"/>
      <c r="G50" s="95"/>
      <c r="H50" s="105"/>
      <c r="J50" s="421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3.1" customHeight="1">
      <c r="B51" s="116"/>
      <c r="C51" s="1356" t="s">
        <v>1067</v>
      </c>
      <c r="D51" s="1357"/>
      <c r="E51" s="216"/>
      <c r="F51" s="216"/>
      <c r="G51" s="95"/>
      <c r="H51" s="105"/>
      <c r="J51" s="421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3.95" customHeight="1">
      <c r="B52" s="116"/>
      <c r="C52" s="1356"/>
      <c r="D52" s="1357"/>
      <c r="E52" s="216"/>
      <c r="F52" s="216"/>
      <c r="G52" s="95"/>
      <c r="H52" s="105"/>
      <c r="J52" s="421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18">
      <c r="B53" s="116"/>
      <c r="C53" s="1358" t="s">
        <v>1068</v>
      </c>
      <c r="E53" s="216"/>
      <c r="F53" s="216"/>
      <c r="G53" s="95"/>
      <c r="H53" s="105"/>
      <c r="J53" s="421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18">
      <c r="B54" s="116"/>
      <c r="D54" s="1356" t="s">
        <v>1069</v>
      </c>
      <c r="E54" s="216"/>
      <c r="F54" s="216"/>
      <c r="G54" s="95"/>
      <c r="H54" s="105"/>
      <c r="J54" s="421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18">
      <c r="B55" s="116"/>
      <c r="D55" s="1356" t="s">
        <v>1070</v>
      </c>
      <c r="E55" s="216"/>
      <c r="F55" s="216"/>
      <c r="G55" s="95"/>
      <c r="H55" s="105"/>
      <c r="J55" s="421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18">
      <c r="B56" s="116"/>
      <c r="D56" s="1356" t="s">
        <v>1071</v>
      </c>
      <c r="E56" s="216"/>
      <c r="F56" s="216"/>
      <c r="G56" s="95"/>
      <c r="H56" s="105"/>
      <c r="J56" s="421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18">
      <c r="B57" s="116"/>
      <c r="D57" s="1356" t="s">
        <v>1072</v>
      </c>
      <c r="E57" s="216"/>
      <c r="F57" s="216"/>
      <c r="G57" s="95"/>
      <c r="H57" s="105"/>
      <c r="J57" s="421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18">
      <c r="B58" s="116"/>
      <c r="C58" s="1358" t="s">
        <v>1073</v>
      </c>
      <c r="E58" s="216"/>
      <c r="F58" s="216"/>
      <c r="G58" s="95"/>
      <c r="H58" s="105"/>
      <c r="J58" s="421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18">
      <c r="B59" s="116"/>
      <c r="D59" s="1356" t="s">
        <v>1074</v>
      </c>
      <c r="E59" s="216"/>
      <c r="F59" s="216"/>
      <c r="G59" s="95"/>
      <c r="H59" s="105"/>
      <c r="J59" s="421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18">
      <c r="B60" s="116"/>
      <c r="D60" s="1356" t="s">
        <v>1075</v>
      </c>
      <c r="E60" s="216"/>
      <c r="F60" s="216"/>
      <c r="G60" s="95"/>
      <c r="H60" s="105"/>
      <c r="J60" s="421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18">
      <c r="B61" s="116"/>
      <c r="C61" s="1358" t="s">
        <v>1076</v>
      </c>
      <c r="E61" s="216"/>
      <c r="F61" s="216"/>
      <c r="G61" s="95"/>
      <c r="H61" s="105"/>
      <c r="J61" s="421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18">
      <c r="B62" s="116"/>
      <c r="D62" s="1356" t="s">
        <v>1077</v>
      </c>
      <c r="E62" s="216"/>
      <c r="F62" s="216"/>
      <c r="G62" s="95"/>
      <c r="H62" s="105"/>
      <c r="J62" s="421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18">
      <c r="B63" s="116"/>
      <c r="D63" s="1356" t="s">
        <v>1078</v>
      </c>
      <c r="E63" s="216"/>
      <c r="F63" s="216"/>
      <c r="G63" s="95"/>
      <c r="H63" s="105"/>
      <c r="J63" s="421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18">
      <c r="B64" s="116"/>
      <c r="D64" s="1356" t="s">
        <v>1079</v>
      </c>
      <c r="E64" s="216"/>
      <c r="F64" s="216"/>
      <c r="G64" s="95"/>
      <c r="H64" s="105"/>
      <c r="J64" s="421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18">
      <c r="B65" s="116"/>
      <c r="D65" s="1356" t="s">
        <v>1080</v>
      </c>
      <c r="E65" s="216"/>
      <c r="F65" s="216"/>
      <c r="G65" s="95"/>
      <c r="H65" s="105"/>
      <c r="J65" s="421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18">
      <c r="B66" s="116"/>
      <c r="C66" s="1358" t="s">
        <v>1081</v>
      </c>
      <c r="E66" s="216"/>
      <c r="F66" s="216"/>
      <c r="G66" s="95"/>
      <c r="H66" s="105"/>
      <c r="J66" s="421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18">
      <c r="B67" s="116"/>
      <c r="D67" s="1356" t="s">
        <v>1082</v>
      </c>
      <c r="E67" s="216"/>
      <c r="F67" s="216"/>
      <c r="G67" s="95"/>
      <c r="H67" s="105"/>
      <c r="J67" s="421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18">
      <c r="B68" s="116"/>
      <c r="D68" s="1356" t="s">
        <v>511</v>
      </c>
      <c r="E68" s="216"/>
      <c r="F68" s="216"/>
      <c r="G68" s="95"/>
      <c r="H68" s="105"/>
      <c r="J68" s="421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18">
      <c r="B69" s="116"/>
      <c r="D69" s="1356" t="s">
        <v>1083</v>
      </c>
      <c r="E69" s="216"/>
      <c r="F69" s="216"/>
      <c r="G69" s="95"/>
      <c r="H69" s="105"/>
      <c r="J69" s="421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18">
      <c r="B70" s="116"/>
      <c r="D70" s="1356" t="s">
        <v>1084</v>
      </c>
      <c r="E70" s="216"/>
      <c r="F70" s="216"/>
      <c r="G70" s="95"/>
      <c r="H70" s="105"/>
      <c r="J70" s="421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18">
      <c r="B71" s="116"/>
      <c r="D71" s="1356" t="s">
        <v>1085</v>
      </c>
      <c r="E71" s="216"/>
      <c r="F71" s="216"/>
      <c r="G71" s="95"/>
      <c r="H71" s="105"/>
      <c r="J71" s="421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18">
      <c r="B72" s="116"/>
      <c r="D72" s="1356" t="s">
        <v>1086</v>
      </c>
      <c r="E72" s="216"/>
      <c r="F72" s="216"/>
      <c r="G72" s="95"/>
      <c r="H72" s="105"/>
      <c r="J72" s="421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18">
      <c r="B73" s="116"/>
      <c r="C73" s="1358" t="s">
        <v>1087</v>
      </c>
      <c r="E73" s="216"/>
      <c r="F73" s="216"/>
      <c r="G73" s="95"/>
      <c r="H73" s="105"/>
      <c r="J73" s="421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18">
      <c r="B74" s="116"/>
      <c r="D74" s="1356" t="s">
        <v>1088</v>
      </c>
      <c r="E74" s="216"/>
      <c r="F74" s="216"/>
      <c r="G74" s="95"/>
      <c r="H74" s="105"/>
      <c r="J74" s="421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18">
      <c r="B75" s="116"/>
      <c r="D75" s="1356" t="s">
        <v>1089</v>
      </c>
      <c r="E75" s="216"/>
      <c r="F75" s="216"/>
      <c r="G75" s="95"/>
      <c r="H75" s="105"/>
      <c r="J75" s="421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18">
      <c r="B76" s="116"/>
      <c r="D76" s="1356" t="s">
        <v>1090</v>
      </c>
      <c r="E76" s="216"/>
      <c r="F76" s="216"/>
      <c r="G76" s="95"/>
      <c r="H76" s="105"/>
      <c r="J76" s="421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18">
      <c r="B77" s="116"/>
      <c r="D77" s="1356" t="s">
        <v>513</v>
      </c>
      <c r="E77" s="216"/>
      <c r="F77" s="216"/>
      <c r="G77" s="95"/>
      <c r="H77" s="105"/>
      <c r="J77" s="421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18">
      <c r="B78" s="116"/>
      <c r="D78" s="1356" t="s">
        <v>1091</v>
      </c>
      <c r="E78" s="216"/>
      <c r="F78" s="216"/>
      <c r="G78" s="95"/>
      <c r="H78" s="105"/>
      <c r="J78" s="421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18">
      <c r="B79" s="116"/>
      <c r="D79" s="1356" t="s">
        <v>1092</v>
      </c>
      <c r="E79" s="216"/>
      <c r="F79" s="216"/>
      <c r="G79" s="95"/>
      <c r="H79" s="105"/>
      <c r="J79" s="421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18">
      <c r="B80" s="116"/>
      <c r="C80" s="1358" t="s">
        <v>1093</v>
      </c>
      <c r="E80" s="216"/>
      <c r="F80" s="216"/>
      <c r="G80" s="95"/>
      <c r="H80" s="105"/>
      <c r="J80" s="421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18">
      <c r="B81" s="116"/>
      <c r="D81" s="1356" t="s">
        <v>1094</v>
      </c>
      <c r="E81" s="216"/>
      <c r="F81" s="216"/>
      <c r="G81" s="95"/>
      <c r="H81" s="105"/>
      <c r="J81" s="421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18">
      <c r="B82" s="116"/>
      <c r="D82" s="1356" t="s">
        <v>512</v>
      </c>
      <c r="E82" s="216"/>
      <c r="F82" s="216"/>
      <c r="G82" s="95"/>
      <c r="H82" s="105"/>
      <c r="J82" s="421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18">
      <c r="B83" s="116"/>
      <c r="D83" s="1356" t="s">
        <v>1095</v>
      </c>
      <c r="E83" s="216"/>
      <c r="F83" s="216"/>
      <c r="G83" s="95"/>
      <c r="H83" s="105"/>
      <c r="J83" s="421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18">
      <c r="B84" s="116"/>
      <c r="D84" s="1356" t="s">
        <v>1096</v>
      </c>
      <c r="E84" s="216"/>
      <c r="F84" s="216"/>
      <c r="G84" s="95"/>
      <c r="H84" s="105"/>
      <c r="J84" s="421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3.1" customHeight="1">
      <c r="B85" s="116"/>
      <c r="C85" s="1356" t="s">
        <v>998</v>
      </c>
      <c r="D85" s="1357"/>
      <c r="E85" s="216"/>
      <c r="F85" s="216"/>
      <c r="G85" s="95"/>
      <c r="H85" s="105"/>
      <c r="J85" s="421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3.1" customHeight="1" thickBot="1">
      <c r="B86" s="120"/>
      <c r="C86" s="1504"/>
      <c r="D86" s="1504"/>
      <c r="E86" s="56"/>
      <c r="F86" s="56"/>
      <c r="G86" s="121"/>
      <c r="H86" s="122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3.1" customHeight="1">
      <c r="C87" s="103"/>
      <c r="D87" s="103"/>
      <c r="E87" s="104"/>
      <c r="F87" s="104"/>
      <c r="G87" s="104"/>
      <c r="I87" s="96" t="s">
        <v>885</v>
      </c>
    </row>
    <row r="88" spans="2:23" ht="12.75">
      <c r="C88" s="123" t="s">
        <v>70</v>
      </c>
      <c r="D88" s="103"/>
      <c r="E88" s="104"/>
      <c r="F88" s="104"/>
      <c r="G88" s="94" t="s">
        <v>62</v>
      </c>
    </row>
    <row r="89" spans="2:23" ht="12.75">
      <c r="C89" s="124" t="s">
        <v>71</v>
      </c>
      <c r="D89" s="103"/>
      <c r="E89" s="104"/>
      <c r="F89" s="104"/>
      <c r="G89" s="104"/>
    </row>
    <row r="90" spans="2:23" ht="12.75">
      <c r="C90" s="124" t="s">
        <v>72</v>
      </c>
      <c r="D90" s="103"/>
      <c r="E90" s="104"/>
      <c r="F90" s="104"/>
      <c r="G90" s="104"/>
    </row>
    <row r="91" spans="2:23" ht="12.75">
      <c r="C91" s="124" t="s">
        <v>73</v>
      </c>
      <c r="D91" s="103"/>
      <c r="E91" s="104"/>
      <c r="F91" s="104"/>
      <c r="G91" s="104"/>
    </row>
    <row r="92" spans="2:23" ht="12.75">
      <c r="C92" s="124" t="s">
        <v>74</v>
      </c>
      <c r="D92" s="103"/>
      <c r="E92" s="104"/>
      <c r="F92" s="104"/>
      <c r="G92" s="104"/>
    </row>
    <row r="93" spans="2:23" ht="23.1" customHeight="1">
      <c r="C93" s="103"/>
      <c r="D93" s="103"/>
      <c r="E93" s="104"/>
      <c r="F93" s="104"/>
      <c r="G93" s="104"/>
    </row>
    <row r="94" spans="2:23" ht="23.1" customHeight="1">
      <c r="C94" s="103"/>
      <c r="D94" s="103"/>
      <c r="E94" s="104"/>
      <c r="F94" s="104"/>
      <c r="G94" s="104"/>
    </row>
    <row r="95" spans="2:23" ht="23.1" customHeight="1">
      <c r="C95" s="103"/>
      <c r="D95" s="103"/>
      <c r="E95" s="104"/>
      <c r="F95" s="104"/>
      <c r="G95" s="104"/>
    </row>
    <row r="96" spans="2:23" ht="23.1" customHeight="1">
      <c r="C96" s="103"/>
      <c r="D96" s="103"/>
      <c r="E96" s="104"/>
      <c r="F96" s="104"/>
      <c r="G96" s="104"/>
    </row>
    <row r="97" spans="5:7" ht="23.1" customHeight="1">
      <c r="E97" s="104"/>
      <c r="F97" s="104"/>
      <c r="G97" s="104"/>
    </row>
  </sheetData>
  <sheetProtection algorithmName="SHA-512" hashValue="hMybyZVrHP9sePESMI88Wc/6SyK09TxoDNKR20mNqfGW6eSyE5vg3bt9UArKCjgaRhRzijkK8pFFtUSVZRZXSw==" saltValue="YjQPsCAWfQhQocJjv3smwQ==" spinCount="100000" sheet="1" objects="1" scenarios="1"/>
  <mergeCells count="21">
    <mergeCell ref="G6:G7"/>
    <mergeCell ref="D9:G9"/>
    <mergeCell ref="C12:D12"/>
    <mergeCell ref="C86:D86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2:AA46"/>
  <sheetViews>
    <sheetView zoomScale="70" zoomScaleNormal="70" zoomScalePageLayoutView="125" workbookViewId="0">
      <selection activeCell="A24" sqref="A24:XFD27"/>
    </sheetView>
  </sheetViews>
  <sheetFormatPr baseColWidth="10" defaultColWidth="10.6640625" defaultRowHeight="23.1" customHeight="1"/>
  <cols>
    <col min="1" max="1" width="4.109375" style="597" bestFit="1" customWidth="1"/>
    <col min="2" max="2" width="3.109375" style="597" customWidth="1"/>
    <col min="3" max="3" width="13.5546875" style="597" customWidth="1"/>
    <col min="4" max="4" width="59.88671875" style="597" customWidth="1"/>
    <col min="5" max="10" width="13.44140625" style="599" customWidth="1"/>
    <col min="11" max="11" width="40.6640625" style="599" customWidth="1"/>
    <col min="12" max="12" width="3.33203125" style="597" customWidth="1"/>
    <col min="13" max="16384" width="10.6640625" style="597"/>
  </cols>
  <sheetData>
    <row r="2" spans="1:27" ht="23.1" customHeight="1">
      <c r="D2" s="659" t="str">
        <f>_GENERAL!D2</f>
        <v>Área de Presidencia, Hacienda y Modernización</v>
      </c>
    </row>
    <row r="3" spans="1:27" ht="23.1" customHeight="1">
      <c r="D3" s="659" t="str">
        <f>_GENERAL!D3</f>
        <v>Dirección Insular de Hacienda</v>
      </c>
    </row>
    <row r="4" spans="1:27" ht="23.1" customHeight="1" thickBot="1">
      <c r="A4" s="597" t="s">
        <v>884</v>
      </c>
    </row>
    <row r="5" spans="1:27" ht="9" customHeight="1">
      <c r="B5" s="600"/>
      <c r="C5" s="601"/>
      <c r="D5" s="601"/>
      <c r="E5" s="602"/>
      <c r="F5" s="602"/>
      <c r="G5" s="602"/>
      <c r="H5" s="602"/>
      <c r="I5" s="602"/>
      <c r="J5" s="602"/>
      <c r="K5" s="602"/>
      <c r="L5" s="603"/>
      <c r="N5" s="951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3"/>
    </row>
    <row r="6" spans="1:27" ht="30" customHeight="1">
      <c r="B6" s="604"/>
      <c r="C6" s="605" t="s">
        <v>0</v>
      </c>
      <c r="D6" s="606"/>
      <c r="E6" s="607"/>
      <c r="F6" s="607"/>
      <c r="G6" s="607"/>
      <c r="H6" s="607"/>
      <c r="I6" s="607"/>
      <c r="J6" s="607"/>
      <c r="K6" s="1497">
        <f>ejercicio</f>
        <v>2021</v>
      </c>
      <c r="L6" s="608"/>
      <c r="N6" s="954"/>
      <c r="O6" s="955" t="s">
        <v>628</v>
      </c>
      <c r="P6" s="956"/>
      <c r="Q6" s="956"/>
      <c r="R6" s="956"/>
      <c r="S6" s="956"/>
      <c r="T6" s="956"/>
      <c r="U6" s="956"/>
      <c r="V6" s="956"/>
      <c r="W6" s="956"/>
      <c r="X6" s="956"/>
      <c r="Y6" s="956"/>
      <c r="Z6" s="956"/>
      <c r="AA6" s="957"/>
    </row>
    <row r="7" spans="1:27" ht="30" customHeight="1">
      <c r="B7" s="604"/>
      <c r="C7" s="605" t="s">
        <v>1</v>
      </c>
      <c r="D7" s="606"/>
      <c r="E7" s="607"/>
      <c r="F7" s="607"/>
      <c r="G7" s="607"/>
      <c r="H7" s="607"/>
      <c r="I7" s="607"/>
      <c r="J7" s="607"/>
      <c r="K7" s="1497"/>
      <c r="L7" s="608"/>
      <c r="N7" s="954"/>
      <c r="O7" s="956"/>
      <c r="P7" s="956"/>
      <c r="Q7" s="956"/>
      <c r="R7" s="956"/>
      <c r="S7" s="956"/>
      <c r="T7" s="956"/>
      <c r="U7" s="956"/>
      <c r="V7" s="956"/>
      <c r="W7" s="956"/>
      <c r="X7" s="956"/>
      <c r="Y7" s="956"/>
      <c r="Z7" s="956"/>
      <c r="AA7" s="957"/>
    </row>
    <row r="8" spans="1:27" ht="30" customHeight="1">
      <c r="B8" s="604"/>
      <c r="C8" s="610"/>
      <c r="D8" s="606"/>
      <c r="E8" s="607"/>
      <c r="F8" s="607"/>
      <c r="G8" s="607"/>
      <c r="H8" s="607"/>
      <c r="I8" s="607"/>
      <c r="J8" s="607"/>
      <c r="K8" s="981"/>
      <c r="L8" s="608"/>
      <c r="N8" s="954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7"/>
    </row>
    <row r="9" spans="1:27" s="1268" customFormat="1" ht="30" customHeight="1">
      <c r="B9" s="1269"/>
      <c r="C9" s="612" t="s">
        <v>2</v>
      </c>
      <c r="D9" s="1499" t="str">
        <f>Entidad</f>
        <v>Spet, turismo de Tenerife s.a</v>
      </c>
      <c r="E9" s="1499"/>
      <c r="F9" s="1499"/>
      <c r="G9" s="1499"/>
      <c r="H9" s="1499"/>
      <c r="I9" s="1499"/>
      <c r="J9" s="1499"/>
      <c r="K9" s="1499"/>
      <c r="L9" s="1270"/>
      <c r="N9" s="1271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3"/>
    </row>
    <row r="10" spans="1:27" ht="6.95" customHeight="1">
      <c r="B10" s="604"/>
      <c r="C10" s="606"/>
      <c r="D10" s="606"/>
      <c r="E10" s="607"/>
      <c r="F10" s="607"/>
      <c r="G10" s="607"/>
      <c r="H10" s="607"/>
      <c r="I10" s="607"/>
      <c r="J10" s="607"/>
      <c r="K10" s="607"/>
      <c r="L10" s="608"/>
      <c r="N10" s="954"/>
      <c r="O10" s="956"/>
      <c r="P10" s="956"/>
      <c r="Q10" s="956"/>
      <c r="R10" s="956"/>
      <c r="S10" s="956"/>
      <c r="T10" s="956"/>
      <c r="U10" s="956"/>
      <c r="V10" s="956"/>
      <c r="W10" s="956"/>
      <c r="X10" s="956"/>
      <c r="Y10" s="956"/>
      <c r="Z10" s="956"/>
      <c r="AA10" s="957"/>
    </row>
    <row r="11" spans="1:27" s="617" customFormat="1" ht="30" customHeight="1">
      <c r="B11" s="614"/>
      <c r="C11" s="615" t="s">
        <v>971</v>
      </c>
      <c r="D11" s="615"/>
      <c r="E11" s="616"/>
      <c r="F11" s="616"/>
      <c r="G11" s="616"/>
      <c r="H11" s="616"/>
      <c r="I11" s="616"/>
      <c r="J11" s="616"/>
      <c r="K11" s="616"/>
      <c r="L11" s="958"/>
      <c r="N11" s="1274"/>
      <c r="O11" s="1275"/>
      <c r="P11" s="1275"/>
      <c r="Q11" s="1275"/>
      <c r="R11" s="1275"/>
      <c r="S11" s="1275"/>
      <c r="T11" s="1275"/>
      <c r="U11" s="1275"/>
      <c r="V11" s="1275"/>
      <c r="W11" s="1275"/>
      <c r="X11" s="1275"/>
      <c r="Y11" s="1275"/>
      <c r="Z11" s="1275"/>
      <c r="AA11" s="1276"/>
    </row>
    <row r="12" spans="1:27" s="617" customFormat="1" ht="30" customHeight="1">
      <c r="B12" s="614"/>
      <c r="C12" s="1321" t="str">
        <f>IF(_GENERAL!D15&lt;&gt;"Administración Pública","No aplica a entidades clasificadas como Entidad no financiera","")</f>
        <v/>
      </c>
      <c r="D12" s="1277"/>
      <c r="E12" s="618"/>
      <c r="F12" s="618"/>
      <c r="G12" s="618"/>
      <c r="H12" s="618"/>
      <c r="I12" s="618"/>
      <c r="J12" s="618"/>
      <c r="K12" s="618"/>
      <c r="L12" s="958"/>
      <c r="N12" s="1274"/>
      <c r="O12" s="1275"/>
      <c r="P12" s="1275"/>
      <c r="Q12" s="1275"/>
      <c r="R12" s="1275"/>
      <c r="S12" s="1275"/>
      <c r="T12" s="1275"/>
      <c r="U12" s="1275"/>
      <c r="V12" s="1275"/>
      <c r="W12" s="1275"/>
      <c r="X12" s="1275"/>
      <c r="Y12" s="1275"/>
      <c r="Z12" s="1275"/>
      <c r="AA12" s="1276"/>
    </row>
    <row r="13" spans="1:27" s="1278" customFormat="1" ht="23.1" customHeight="1">
      <c r="B13" s="620"/>
      <c r="C13" s="1652"/>
      <c r="D13" s="1653"/>
      <c r="E13" s="960" t="s">
        <v>978</v>
      </c>
      <c r="F13" s="1638" t="s">
        <v>396</v>
      </c>
      <c r="G13" s="1654"/>
      <c r="H13" s="1654"/>
      <c r="I13" s="1639"/>
      <c r="J13" s="960" t="s">
        <v>979</v>
      </c>
      <c r="K13" s="1655" t="s">
        <v>990</v>
      </c>
      <c r="L13" s="1279"/>
      <c r="N13" s="954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7"/>
    </row>
    <row r="14" spans="1:27" ht="24.75">
      <c r="B14" s="604"/>
      <c r="C14" s="1280" t="s">
        <v>972</v>
      </c>
      <c r="D14" s="1281"/>
      <c r="E14" s="1282">
        <f>ejercicio</f>
        <v>2021</v>
      </c>
      <c r="F14" s="1283" t="s">
        <v>980</v>
      </c>
      <c r="G14" s="1284" t="s">
        <v>981</v>
      </c>
      <c r="H14" s="1284" t="s">
        <v>982</v>
      </c>
      <c r="I14" s="1285" t="s">
        <v>983</v>
      </c>
      <c r="J14" s="1282">
        <f>ejercicio</f>
        <v>2021</v>
      </c>
      <c r="K14" s="1656"/>
      <c r="L14" s="608"/>
      <c r="N14" s="954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7"/>
    </row>
    <row r="15" spans="1:27" s="1286" customFormat="1" ht="23.1" customHeight="1">
      <c r="B15" s="620"/>
      <c r="C15" s="1287" t="s">
        <v>974</v>
      </c>
      <c r="D15" s="1288"/>
      <c r="E15" s="468"/>
      <c r="F15" s="469"/>
      <c r="G15" s="470"/>
      <c r="H15" s="470"/>
      <c r="I15" s="471"/>
      <c r="J15" s="783">
        <f>SUM(E15:I15)</f>
        <v>0</v>
      </c>
      <c r="K15" s="499"/>
      <c r="L15" s="1279"/>
      <c r="N15" s="954"/>
      <c r="O15" s="956"/>
      <c r="P15" s="956"/>
      <c r="Q15" s="956"/>
      <c r="R15" s="956"/>
      <c r="S15" s="956"/>
      <c r="T15" s="956"/>
      <c r="U15" s="956"/>
      <c r="V15" s="956"/>
      <c r="W15" s="956"/>
      <c r="X15" s="956"/>
      <c r="Y15" s="956"/>
      <c r="Z15" s="956"/>
      <c r="AA15" s="957"/>
    </row>
    <row r="16" spans="1:27" ht="23.1" customHeight="1">
      <c r="B16" s="620"/>
      <c r="C16" s="1289" t="s">
        <v>975</v>
      </c>
      <c r="D16" s="1290"/>
      <c r="E16" s="472"/>
      <c r="F16" s="473"/>
      <c r="G16" s="474"/>
      <c r="H16" s="474"/>
      <c r="I16" s="475"/>
      <c r="J16" s="788">
        <f>SUM(E16:I16)</f>
        <v>0</v>
      </c>
      <c r="K16" s="1265"/>
      <c r="L16" s="608"/>
      <c r="N16" s="954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7"/>
    </row>
    <row r="17" spans="2:27" ht="24" customHeight="1">
      <c r="B17" s="620"/>
      <c r="C17" s="1289" t="s">
        <v>976</v>
      </c>
      <c r="D17" s="1290"/>
      <c r="E17" s="472"/>
      <c r="F17" s="473"/>
      <c r="G17" s="474"/>
      <c r="H17" s="474"/>
      <c r="I17" s="475"/>
      <c r="J17" s="788">
        <f>SUM(E17:I17)</f>
        <v>0</v>
      </c>
      <c r="K17" s="1265"/>
      <c r="L17" s="608"/>
      <c r="N17" s="954"/>
      <c r="O17" s="956"/>
      <c r="P17" s="956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7"/>
    </row>
    <row r="18" spans="2:27" ht="23.1" customHeight="1">
      <c r="B18" s="620"/>
      <c r="C18" s="1291" t="s">
        <v>977</v>
      </c>
      <c r="D18" s="1292"/>
      <c r="E18" s="476"/>
      <c r="F18" s="477"/>
      <c r="G18" s="478"/>
      <c r="H18" s="478"/>
      <c r="I18" s="479"/>
      <c r="J18" s="1293">
        <f>SUM(E18:I18)</f>
        <v>0</v>
      </c>
      <c r="K18" s="1266"/>
      <c r="L18" s="608"/>
      <c r="N18" s="954"/>
      <c r="O18" s="956"/>
      <c r="P18" s="956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7"/>
    </row>
    <row r="19" spans="2:27" ht="23.1" customHeight="1" thickBot="1">
      <c r="B19" s="620"/>
      <c r="C19" s="939" t="s">
        <v>394</v>
      </c>
      <c r="D19" s="940"/>
      <c r="E19" s="656">
        <f>SUM(E15:E18)</f>
        <v>0</v>
      </c>
      <c r="F19" s="656">
        <f t="shared" ref="F19:J19" si="0">SUM(F15:F18)</f>
        <v>0</v>
      </c>
      <c r="G19" s="656">
        <f t="shared" si="0"/>
        <v>0</v>
      </c>
      <c r="H19" s="656">
        <f t="shared" si="0"/>
        <v>0</v>
      </c>
      <c r="I19" s="656">
        <f t="shared" si="0"/>
        <v>0</v>
      </c>
      <c r="J19" s="656">
        <f t="shared" si="0"/>
        <v>0</v>
      </c>
      <c r="K19" s="665"/>
      <c r="L19" s="608"/>
      <c r="N19" s="954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7"/>
    </row>
    <row r="20" spans="2:27" ht="8.1" customHeight="1">
      <c r="B20" s="620"/>
      <c r="C20" s="1294"/>
      <c r="D20" s="1294"/>
      <c r="E20" s="947"/>
      <c r="F20" s="947"/>
      <c r="G20" s="947"/>
      <c r="H20" s="947"/>
      <c r="I20" s="947"/>
      <c r="J20" s="947"/>
      <c r="K20" s="947"/>
      <c r="L20" s="608"/>
      <c r="N20" s="954"/>
      <c r="O20" s="956"/>
      <c r="P20" s="956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7"/>
    </row>
    <row r="21" spans="2:27" ht="23.1" customHeight="1">
      <c r="B21" s="620"/>
      <c r="C21" s="1277"/>
      <c r="D21" s="1277"/>
      <c r="E21" s="618"/>
      <c r="F21" s="618"/>
      <c r="G21" s="618"/>
      <c r="H21" s="618"/>
      <c r="I21" s="618"/>
      <c r="J21" s="618"/>
      <c r="K21" s="618"/>
      <c r="L21" s="608"/>
      <c r="N21" s="954"/>
      <c r="O21" s="956"/>
      <c r="P21" s="956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7"/>
    </row>
    <row r="22" spans="2:27" ht="23.1" customHeight="1">
      <c r="B22" s="620"/>
      <c r="C22" s="1652"/>
      <c r="D22" s="1653"/>
      <c r="E22" s="960" t="s">
        <v>978</v>
      </c>
      <c r="F22" s="1638" t="s">
        <v>396</v>
      </c>
      <c r="G22" s="1654"/>
      <c r="H22" s="1654"/>
      <c r="I22" s="1639"/>
      <c r="J22" s="960" t="s">
        <v>979</v>
      </c>
      <c r="K22" s="1655" t="s">
        <v>990</v>
      </c>
      <c r="L22" s="608"/>
      <c r="N22" s="954"/>
      <c r="O22" s="956"/>
      <c r="P22" s="956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7"/>
    </row>
    <row r="23" spans="2:27" ht="24.75">
      <c r="B23" s="620"/>
      <c r="C23" s="1280" t="s">
        <v>973</v>
      </c>
      <c r="D23" s="1281"/>
      <c r="E23" s="1282">
        <f>ejercicio</f>
        <v>2021</v>
      </c>
      <c r="F23" s="1283" t="s">
        <v>980</v>
      </c>
      <c r="G23" s="1284" t="s">
        <v>981</v>
      </c>
      <c r="H23" s="1284" t="s">
        <v>982</v>
      </c>
      <c r="I23" s="1285" t="s">
        <v>983</v>
      </c>
      <c r="J23" s="1282">
        <f>ejercicio</f>
        <v>2021</v>
      </c>
      <c r="K23" s="1656"/>
      <c r="L23" s="608"/>
      <c r="N23" s="954"/>
      <c r="O23" s="956"/>
      <c r="P23" s="956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7"/>
    </row>
    <row r="24" spans="2:27" ht="23.1" customHeight="1">
      <c r="B24" s="620"/>
      <c r="C24" s="1287" t="s">
        <v>984</v>
      </c>
      <c r="D24" s="1288"/>
      <c r="E24" s="468"/>
      <c r="F24" s="469"/>
      <c r="G24" s="470"/>
      <c r="H24" s="470"/>
      <c r="I24" s="471"/>
      <c r="J24" s="783">
        <f>SUM(E24:I24)</f>
        <v>0</v>
      </c>
      <c r="K24" s="499"/>
      <c r="L24" s="608"/>
      <c r="N24" s="954"/>
      <c r="O24" s="956"/>
      <c r="P24" s="956"/>
      <c r="Q24" s="956"/>
      <c r="R24" s="956"/>
      <c r="S24" s="956"/>
      <c r="T24" s="956"/>
      <c r="U24" s="956"/>
      <c r="V24" s="956"/>
      <c r="W24" s="956"/>
      <c r="X24" s="956"/>
      <c r="Y24" s="956"/>
      <c r="Z24" s="956"/>
      <c r="AA24" s="957"/>
    </row>
    <row r="25" spans="2:27" ht="23.1" customHeight="1">
      <c r="B25" s="620"/>
      <c r="C25" s="1289" t="s">
        <v>985</v>
      </c>
      <c r="D25" s="1290"/>
      <c r="E25" s="472"/>
      <c r="F25" s="473"/>
      <c r="G25" s="474"/>
      <c r="H25" s="474"/>
      <c r="I25" s="475"/>
      <c r="J25" s="783">
        <f t="shared" ref="J25:J27" si="1">SUM(E25:I25)</f>
        <v>0</v>
      </c>
      <c r="K25" s="1265"/>
      <c r="L25" s="608"/>
      <c r="N25" s="954"/>
      <c r="O25" s="956"/>
      <c r="P25" s="956"/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57"/>
    </row>
    <row r="26" spans="2:27" ht="23.1" customHeight="1">
      <c r="B26" s="620"/>
      <c r="C26" s="1289" t="s">
        <v>986</v>
      </c>
      <c r="D26" s="1290"/>
      <c r="E26" s="472"/>
      <c r="F26" s="473"/>
      <c r="G26" s="474"/>
      <c r="H26" s="474"/>
      <c r="I26" s="475"/>
      <c r="J26" s="783">
        <f t="shared" si="1"/>
        <v>0</v>
      </c>
      <c r="K26" s="1193"/>
      <c r="L26" s="608"/>
      <c r="N26" s="954"/>
      <c r="O26" s="956"/>
      <c r="P26" s="956"/>
      <c r="Q26" s="956"/>
      <c r="R26" s="956"/>
      <c r="S26" s="956"/>
      <c r="T26" s="956"/>
      <c r="U26" s="956"/>
      <c r="V26" s="956"/>
      <c r="W26" s="956"/>
      <c r="X26" s="956"/>
      <c r="Y26" s="956"/>
      <c r="Z26" s="956"/>
      <c r="AA26" s="957"/>
    </row>
    <row r="27" spans="2:27" ht="23.1" customHeight="1">
      <c r="B27" s="620"/>
      <c r="C27" s="1291" t="s">
        <v>987</v>
      </c>
      <c r="D27" s="1292"/>
      <c r="E27" s="476"/>
      <c r="F27" s="477"/>
      <c r="G27" s="478"/>
      <c r="H27" s="478"/>
      <c r="I27" s="479"/>
      <c r="J27" s="783">
        <f t="shared" si="1"/>
        <v>0</v>
      </c>
      <c r="K27" s="1266"/>
      <c r="L27" s="608"/>
      <c r="N27" s="1295"/>
      <c r="O27" s="1296"/>
      <c r="P27" s="1296"/>
      <c r="Q27" s="1296"/>
      <c r="R27" s="1296"/>
      <c r="S27" s="1296"/>
      <c r="T27" s="1296"/>
      <c r="U27" s="1296"/>
      <c r="V27" s="1296"/>
      <c r="W27" s="1296"/>
      <c r="X27" s="1296"/>
      <c r="Y27" s="1296"/>
      <c r="Z27" s="1296"/>
      <c r="AA27" s="1297"/>
    </row>
    <row r="28" spans="2:27" ht="23.1" customHeight="1" thickBot="1">
      <c r="B28" s="620"/>
      <c r="C28" s="939" t="s">
        <v>394</v>
      </c>
      <c r="D28" s="940"/>
      <c r="E28" s="656">
        <f t="shared" ref="E28:I28" si="2">SUM(E24:E27)</f>
        <v>0</v>
      </c>
      <c r="F28" s="656">
        <f t="shared" si="2"/>
        <v>0</v>
      </c>
      <c r="G28" s="656">
        <f t="shared" si="2"/>
        <v>0</v>
      </c>
      <c r="H28" s="656">
        <f t="shared" si="2"/>
        <v>0</v>
      </c>
      <c r="I28" s="656">
        <f t="shared" si="2"/>
        <v>0</v>
      </c>
      <c r="J28" s="656">
        <f>SUM(J24:J27)</f>
        <v>0</v>
      </c>
      <c r="K28" s="665"/>
      <c r="L28" s="608"/>
      <c r="N28" s="1295"/>
      <c r="O28" s="1296"/>
      <c r="P28" s="1296"/>
      <c r="Q28" s="1296"/>
      <c r="R28" s="1296"/>
      <c r="S28" s="1296"/>
      <c r="T28" s="1296"/>
      <c r="U28" s="1296"/>
      <c r="V28" s="1296"/>
      <c r="W28" s="1296"/>
      <c r="X28" s="1296"/>
      <c r="Y28" s="1296"/>
      <c r="Z28" s="1296"/>
      <c r="AA28" s="1297"/>
    </row>
    <row r="29" spans="2:27" ht="9" customHeight="1">
      <c r="B29" s="620"/>
      <c r="C29" s="1294"/>
      <c r="D29" s="1294"/>
      <c r="E29" s="947"/>
      <c r="F29" s="947"/>
      <c r="G29" s="947"/>
      <c r="H29" s="947"/>
      <c r="I29" s="947"/>
      <c r="J29" s="947"/>
      <c r="K29" s="947"/>
      <c r="L29" s="608"/>
      <c r="N29" s="954"/>
      <c r="O29" s="956"/>
      <c r="P29" s="956"/>
      <c r="Q29" s="956"/>
      <c r="R29" s="956"/>
      <c r="S29" s="956"/>
      <c r="T29" s="956"/>
      <c r="U29" s="956"/>
      <c r="V29" s="956"/>
      <c r="W29" s="956"/>
      <c r="X29" s="956"/>
      <c r="Y29" s="956"/>
      <c r="Z29" s="956"/>
      <c r="AA29" s="957"/>
    </row>
    <row r="30" spans="2:27" ht="23.1" customHeight="1">
      <c r="B30" s="620"/>
      <c r="C30" s="1277"/>
      <c r="D30" s="1277"/>
      <c r="E30" s="618"/>
      <c r="F30" s="618"/>
      <c r="G30" s="618"/>
      <c r="H30" s="618"/>
      <c r="I30" s="618"/>
      <c r="J30" s="618"/>
      <c r="K30" s="618"/>
      <c r="L30" s="608"/>
      <c r="N30" s="954"/>
      <c r="O30" s="956"/>
      <c r="P30" s="956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957"/>
    </row>
    <row r="31" spans="2:27" ht="23.1" customHeight="1">
      <c r="B31" s="620"/>
      <c r="C31" s="888" t="s">
        <v>680</v>
      </c>
      <c r="D31" s="1247"/>
      <c r="E31" s="678"/>
      <c r="F31" s="678"/>
      <c r="G31" s="678"/>
      <c r="H31" s="678"/>
      <c r="I31" s="678"/>
      <c r="J31" s="678"/>
      <c r="K31" s="618"/>
      <c r="L31" s="608"/>
      <c r="N31" s="954"/>
      <c r="O31" s="956"/>
      <c r="P31" s="956"/>
      <c r="Q31" s="956"/>
      <c r="R31" s="956"/>
      <c r="S31" s="956"/>
      <c r="T31" s="956"/>
      <c r="U31" s="956"/>
      <c r="V31" s="956"/>
      <c r="W31" s="956"/>
      <c r="X31" s="956"/>
      <c r="Y31" s="956"/>
      <c r="Z31" s="956"/>
      <c r="AA31" s="957"/>
    </row>
    <row r="32" spans="2:27" ht="18">
      <c r="B32" s="620"/>
      <c r="C32" s="889" t="s">
        <v>988</v>
      </c>
      <c r="D32" s="1247"/>
      <c r="E32" s="678"/>
      <c r="F32" s="678"/>
      <c r="G32" s="678"/>
      <c r="H32" s="678"/>
      <c r="I32" s="678"/>
      <c r="J32" s="678"/>
      <c r="K32" s="618"/>
      <c r="L32" s="608"/>
      <c r="N32" s="984"/>
      <c r="O32" s="985"/>
      <c r="P32" s="985"/>
      <c r="Q32" s="985"/>
      <c r="R32" s="985"/>
      <c r="S32" s="985"/>
      <c r="T32" s="985"/>
      <c r="U32" s="985"/>
      <c r="V32" s="985"/>
      <c r="W32" s="985"/>
      <c r="X32" s="985"/>
      <c r="Y32" s="985"/>
      <c r="Z32" s="985"/>
      <c r="AA32" s="986"/>
    </row>
    <row r="33" spans="2:27" ht="9" customHeight="1">
      <c r="B33" s="620"/>
      <c r="C33" s="979"/>
      <c r="D33" s="1247"/>
      <c r="E33" s="678"/>
      <c r="F33" s="678"/>
      <c r="G33" s="678"/>
      <c r="H33" s="678"/>
      <c r="I33" s="678"/>
      <c r="J33" s="678"/>
      <c r="K33" s="618"/>
      <c r="L33" s="608"/>
      <c r="N33" s="984"/>
      <c r="O33" s="985"/>
      <c r="P33" s="985"/>
      <c r="Q33" s="985"/>
      <c r="R33" s="985"/>
      <c r="S33" s="985"/>
      <c r="T33" s="985"/>
      <c r="U33" s="985"/>
      <c r="V33" s="985"/>
      <c r="W33" s="985"/>
      <c r="X33" s="985"/>
      <c r="Y33" s="985"/>
      <c r="Z33" s="985"/>
      <c r="AA33" s="986"/>
    </row>
    <row r="34" spans="2:27" ht="18">
      <c r="B34" s="620"/>
      <c r="C34" s="979" t="s">
        <v>989</v>
      </c>
      <c r="D34" s="1247"/>
      <c r="E34" s="678"/>
      <c r="F34" s="678"/>
      <c r="G34" s="678"/>
      <c r="H34" s="678"/>
      <c r="I34" s="678"/>
      <c r="J34" s="678"/>
      <c r="K34" s="618"/>
      <c r="L34" s="608"/>
      <c r="N34" s="984"/>
      <c r="O34" s="985"/>
      <c r="P34" s="985"/>
      <c r="Q34" s="985"/>
      <c r="R34" s="985"/>
      <c r="S34" s="985"/>
      <c r="T34" s="985"/>
      <c r="U34" s="985"/>
      <c r="V34" s="985"/>
      <c r="W34" s="985"/>
      <c r="X34" s="985"/>
      <c r="Y34" s="985"/>
      <c r="Z34" s="985"/>
      <c r="AA34" s="986"/>
    </row>
    <row r="35" spans="2:27" ht="23.1" customHeight="1" thickBot="1">
      <c r="B35" s="679"/>
      <c r="C35" s="1498"/>
      <c r="D35" s="1498"/>
      <c r="E35" s="1498"/>
      <c r="F35" s="1498"/>
      <c r="G35" s="1264"/>
      <c r="H35" s="1264"/>
      <c r="I35" s="1264"/>
      <c r="J35" s="1264"/>
      <c r="K35" s="1267"/>
      <c r="L35" s="681"/>
      <c r="N35" s="990"/>
      <c r="O35" s="991"/>
      <c r="P35" s="991"/>
      <c r="Q35" s="991"/>
      <c r="R35" s="991"/>
      <c r="S35" s="991"/>
      <c r="T35" s="991"/>
      <c r="U35" s="991"/>
      <c r="V35" s="991"/>
      <c r="W35" s="991"/>
      <c r="X35" s="991"/>
      <c r="Y35" s="991"/>
      <c r="Z35" s="991"/>
      <c r="AA35" s="992"/>
    </row>
    <row r="36" spans="2:27" ht="23.1" customHeight="1">
      <c r="C36" s="606"/>
      <c r="D36" s="606"/>
      <c r="E36" s="607"/>
      <c r="F36" s="607"/>
      <c r="G36" s="607"/>
      <c r="H36" s="607"/>
      <c r="I36" s="607"/>
      <c r="J36" s="607"/>
      <c r="K36" s="607"/>
      <c r="M36" s="597" t="s">
        <v>885</v>
      </c>
    </row>
    <row r="37" spans="2:27" ht="12.75">
      <c r="C37" s="682" t="s">
        <v>70</v>
      </c>
      <c r="D37" s="606"/>
      <c r="E37" s="607"/>
      <c r="F37" s="607"/>
      <c r="G37" s="607"/>
      <c r="H37" s="607"/>
      <c r="I37" s="607"/>
      <c r="J37" s="607"/>
      <c r="K37" s="993" t="s">
        <v>993</v>
      </c>
    </row>
    <row r="38" spans="2:27" ht="12.75">
      <c r="C38" s="684" t="s">
        <v>71</v>
      </c>
      <c r="D38" s="606"/>
      <c r="E38" s="607"/>
      <c r="F38" s="607"/>
      <c r="G38" s="607"/>
      <c r="H38" s="607"/>
      <c r="I38" s="607"/>
      <c r="J38" s="607"/>
      <c r="K38" s="607"/>
    </row>
    <row r="39" spans="2:27" ht="12.75">
      <c r="C39" s="684" t="s">
        <v>72</v>
      </c>
      <c r="D39" s="606"/>
      <c r="E39" s="607"/>
      <c r="F39" s="607"/>
      <c r="G39" s="607"/>
      <c r="H39" s="607"/>
      <c r="I39" s="607"/>
      <c r="J39" s="607"/>
      <c r="K39" s="607"/>
    </row>
    <row r="40" spans="2:27" ht="12.75">
      <c r="C40" s="684" t="s">
        <v>73</v>
      </c>
      <c r="D40" s="606"/>
      <c r="E40" s="607"/>
      <c r="F40" s="607"/>
      <c r="G40" s="607"/>
      <c r="H40" s="607"/>
      <c r="I40" s="607"/>
      <c r="J40" s="607"/>
      <c r="K40" s="607"/>
    </row>
    <row r="41" spans="2:27" ht="12.75">
      <c r="C41" s="684" t="s">
        <v>74</v>
      </c>
      <c r="D41" s="606"/>
      <c r="E41" s="607"/>
      <c r="F41" s="607"/>
      <c r="G41" s="607"/>
      <c r="H41" s="607"/>
      <c r="I41" s="607"/>
      <c r="J41" s="607"/>
      <c r="K41" s="607"/>
    </row>
    <row r="42" spans="2:27" ht="23.1" customHeight="1">
      <c r="C42" s="606"/>
      <c r="D42" s="606"/>
      <c r="E42" s="607"/>
      <c r="F42" s="607"/>
      <c r="G42" s="607"/>
      <c r="H42" s="607"/>
      <c r="I42" s="607"/>
      <c r="J42" s="607"/>
      <c r="K42" s="607"/>
    </row>
    <row r="43" spans="2:27" ht="23.1" customHeight="1">
      <c r="C43" s="606"/>
      <c r="D43" s="606"/>
      <c r="E43" s="607"/>
      <c r="F43" s="607"/>
      <c r="G43" s="607"/>
      <c r="H43" s="607"/>
      <c r="I43" s="607"/>
      <c r="J43" s="607"/>
      <c r="K43" s="607"/>
    </row>
    <row r="44" spans="2:27" ht="23.1" customHeight="1">
      <c r="C44" s="606"/>
      <c r="D44" s="606"/>
      <c r="E44" s="607"/>
      <c r="F44" s="607"/>
      <c r="G44" s="607"/>
      <c r="H44" s="607"/>
      <c r="I44" s="607"/>
      <c r="J44" s="607"/>
      <c r="K44" s="607"/>
    </row>
    <row r="45" spans="2:27" ht="23.1" customHeight="1">
      <c r="C45" s="606"/>
      <c r="D45" s="606"/>
      <c r="E45" s="607"/>
      <c r="F45" s="607"/>
      <c r="G45" s="607"/>
      <c r="H45" s="607"/>
      <c r="I45" s="607"/>
      <c r="J45" s="607"/>
      <c r="K45" s="607"/>
    </row>
    <row r="46" spans="2:27" ht="23.1" customHeight="1">
      <c r="F46" s="607"/>
      <c r="G46" s="607"/>
      <c r="H46" s="607"/>
      <c r="I46" s="607"/>
      <c r="J46" s="607"/>
      <c r="K46" s="607"/>
    </row>
  </sheetData>
  <sheetProtection algorithmName="SHA-512" hashValue="2PGPeZ5UEED3VaCAq2Ntte5Hmwhfk3XdGI0hpnQeW2r5i9I/B4m008iBrrWMZ1dPaGLpWdn72D/r56znqEsSuw==" saltValue="ENWBRlbHuRCsKxNuKqXeyg==" spinCount="100000"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2:V53"/>
  <sheetViews>
    <sheetView topLeftCell="A12" workbookViewId="0">
      <selection activeCell="F25" sqref="F25:F27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109375" style="96" customWidth="1"/>
    <col min="4" max="4" width="68" style="96" customWidth="1"/>
    <col min="5" max="5" width="14.88671875" style="97" customWidth="1"/>
    <col min="6" max="6" width="12.109375" style="97" customWidth="1"/>
    <col min="7" max="7" width="3.33203125" style="96" customWidth="1"/>
    <col min="8" max="16384" width="10.6640625" style="96"/>
  </cols>
  <sheetData>
    <row r="2" spans="1:22" ht="23.1" customHeight="1">
      <c r="D2" s="298" t="str">
        <f>_GENERAL!D2</f>
        <v>Área de Presidencia, Hacienda y Modernización</v>
      </c>
    </row>
    <row r="3" spans="1:22" ht="23.1" customHeight="1">
      <c r="D3" s="298" t="str">
        <f>_GENERAL!D3</f>
        <v>Dirección Insular de Hacienda</v>
      </c>
    </row>
    <row r="4" spans="1:22" ht="23.1" customHeight="1" thickBot="1">
      <c r="A4" s="96" t="s">
        <v>884</v>
      </c>
    </row>
    <row r="5" spans="1:22" ht="9" customHeight="1">
      <c r="B5" s="98"/>
      <c r="C5" s="99"/>
      <c r="D5" s="99"/>
      <c r="E5" s="100"/>
      <c r="F5" s="100"/>
      <c r="G5" s="101"/>
      <c r="I5" s="418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20"/>
    </row>
    <row r="6" spans="1:22" ht="30" customHeight="1">
      <c r="B6" s="102"/>
      <c r="C6" s="66" t="s">
        <v>0</v>
      </c>
      <c r="D6" s="103"/>
      <c r="E6" s="104"/>
      <c r="F6" s="1489">
        <f>ejercicio</f>
        <v>2021</v>
      </c>
      <c r="G6" s="105"/>
      <c r="I6" s="421"/>
      <c r="J6" s="422" t="s">
        <v>628</v>
      </c>
      <c r="K6" s="422"/>
      <c r="L6" s="422"/>
      <c r="M6" s="422"/>
      <c r="N6" s="423"/>
      <c r="O6" s="423"/>
      <c r="P6" s="423"/>
      <c r="Q6" s="423"/>
      <c r="R6" s="423"/>
      <c r="S6" s="423"/>
      <c r="T6" s="423"/>
      <c r="U6" s="423"/>
      <c r="V6" s="424"/>
    </row>
    <row r="7" spans="1:22" ht="30" customHeight="1">
      <c r="B7" s="102"/>
      <c r="C7" s="66" t="s">
        <v>1</v>
      </c>
      <c r="D7" s="103"/>
      <c r="E7" s="104"/>
      <c r="F7" s="1489"/>
      <c r="G7" s="105"/>
      <c r="I7" s="421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4"/>
    </row>
    <row r="8" spans="1:22" ht="30" customHeight="1">
      <c r="B8" s="102"/>
      <c r="C8" s="106"/>
      <c r="D8" s="103"/>
      <c r="E8" s="104"/>
      <c r="F8" s="107"/>
      <c r="G8" s="105"/>
      <c r="I8" s="421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4"/>
    </row>
    <row r="9" spans="1:22" s="188" customFormat="1" ht="30" customHeight="1">
      <c r="B9" s="186"/>
      <c r="C9" s="55" t="s">
        <v>2</v>
      </c>
      <c r="D9" s="1505" t="str">
        <f>Entidad</f>
        <v>Spet, turismo de Tenerife s.a</v>
      </c>
      <c r="E9" s="1505"/>
      <c r="F9" s="1505"/>
      <c r="G9" s="187"/>
      <c r="I9" s="421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4"/>
    </row>
    <row r="10" spans="1:22" ht="6.95" customHeight="1">
      <c r="B10" s="102"/>
      <c r="C10" s="103"/>
      <c r="D10" s="103"/>
      <c r="E10" s="104"/>
      <c r="F10" s="104"/>
      <c r="G10" s="105"/>
      <c r="I10" s="421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4"/>
    </row>
    <row r="11" spans="1:22" s="114" customFormat="1" ht="30" customHeight="1">
      <c r="B11" s="110"/>
      <c r="C11" s="111" t="s">
        <v>540</v>
      </c>
      <c r="D11" s="111"/>
      <c r="E11" s="112"/>
      <c r="F11" s="112"/>
      <c r="G11" s="113"/>
      <c r="I11" s="421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4"/>
    </row>
    <row r="12" spans="1:22" s="114" customFormat="1" ht="30" customHeight="1">
      <c r="B12" s="110"/>
      <c r="C12" s="1576"/>
      <c r="D12" s="1576"/>
      <c r="E12" s="95"/>
      <c r="F12" s="95"/>
      <c r="G12" s="113"/>
      <c r="I12" s="421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4"/>
    </row>
    <row r="13" spans="1:22" ht="9" customHeight="1">
      <c r="B13" s="116"/>
      <c r="C13" s="155"/>
      <c r="D13" s="155"/>
      <c r="E13" s="95"/>
      <c r="F13" s="95"/>
      <c r="G13" s="105"/>
      <c r="I13" s="421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4"/>
    </row>
    <row r="14" spans="1:22" s="251" customFormat="1" ht="48.95" customHeight="1">
      <c r="B14" s="248"/>
      <c r="C14" s="1564" t="s">
        <v>443</v>
      </c>
      <c r="D14" s="1566"/>
      <c r="E14" s="1406" t="s">
        <v>1119</v>
      </c>
      <c r="F14" s="277" t="s">
        <v>541</v>
      </c>
      <c r="G14" s="250"/>
      <c r="I14" s="421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4"/>
    </row>
    <row r="15" spans="1:22" ht="9" customHeight="1">
      <c r="B15" s="116"/>
      <c r="C15" s="65"/>
      <c r="D15" s="155"/>
      <c r="E15" s="95"/>
      <c r="F15" s="253"/>
      <c r="G15" s="105"/>
      <c r="I15" s="421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4"/>
    </row>
    <row r="16" spans="1:22" s="284" customFormat="1" ht="23.1" customHeight="1">
      <c r="B16" s="282"/>
      <c r="C16" s="1657" t="s">
        <v>542</v>
      </c>
      <c r="D16" s="1658"/>
      <c r="E16" s="1256">
        <f>SUM(E17:E19)</f>
        <v>0</v>
      </c>
      <c r="F16" s="288">
        <f>E16/$E$38</f>
        <v>0</v>
      </c>
      <c r="G16" s="283"/>
      <c r="I16" s="421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4"/>
    </row>
    <row r="17" spans="2:22" s="188" customFormat="1" ht="23.1" customHeight="1">
      <c r="B17" s="186"/>
      <c r="C17" s="1411" t="s">
        <v>543</v>
      </c>
      <c r="D17" s="1412" t="s">
        <v>546</v>
      </c>
      <c r="E17" s="589">
        <f>+'FC-3_1_INF_ADIC_CPyG'!K16+'FC-3_1_INF_ADIC_CPyG'!K19</f>
        <v>0</v>
      </c>
      <c r="F17" s="289">
        <f>E17/$E$38</f>
        <v>0</v>
      </c>
      <c r="G17" s="187"/>
      <c r="I17" s="421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4"/>
    </row>
    <row r="18" spans="2:22" s="188" customFormat="1" ht="23.1" customHeight="1">
      <c r="B18" s="186"/>
      <c r="C18" s="1411" t="s">
        <v>544</v>
      </c>
      <c r="D18" s="1412" t="s">
        <v>547</v>
      </c>
      <c r="E18" s="589">
        <f>+'FC-3_1_INF_ADIC_CPyG'!K31</f>
        <v>0</v>
      </c>
      <c r="F18" s="290">
        <f>E18/$E$38</f>
        <v>0</v>
      </c>
      <c r="G18" s="187"/>
      <c r="I18" s="421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4"/>
    </row>
    <row r="19" spans="2:22" s="188" customFormat="1" ht="23.1" customHeight="1">
      <c r="B19" s="186"/>
      <c r="C19" s="1413" t="s">
        <v>545</v>
      </c>
      <c r="D19" s="1414" t="s">
        <v>548</v>
      </c>
      <c r="E19" s="503"/>
      <c r="F19" s="291">
        <f>E19/$E$38</f>
        <v>0</v>
      </c>
      <c r="G19" s="187"/>
      <c r="I19" s="1366" t="s">
        <v>949</v>
      </c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4"/>
    </row>
    <row r="20" spans="2:22" s="188" customFormat="1" ht="9" customHeight="1">
      <c r="B20" s="186"/>
      <c r="C20" s="619"/>
      <c r="D20" s="1402"/>
      <c r="E20" s="151"/>
      <c r="F20" s="292"/>
      <c r="G20" s="187"/>
      <c r="I20" s="421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4"/>
    </row>
    <row r="21" spans="2:22" s="188" customFormat="1" ht="23.1" customHeight="1">
      <c r="B21" s="186"/>
      <c r="C21" s="1657" t="s">
        <v>1116</v>
      </c>
      <c r="D21" s="1658"/>
      <c r="E21" s="1256">
        <f>+'FC-3_1_INF_ADIC_CPyG'!K40</f>
        <v>0</v>
      </c>
      <c r="F21" s="293">
        <f>E21/$E$38</f>
        <v>0</v>
      </c>
      <c r="G21" s="187"/>
      <c r="I21" s="421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4"/>
    </row>
    <row r="22" spans="2:22" s="188" customFormat="1" ht="9" customHeight="1">
      <c r="B22" s="186"/>
      <c r="C22" s="619"/>
      <c r="D22" s="1402"/>
      <c r="E22" s="151"/>
      <c r="F22" s="292"/>
      <c r="G22" s="187"/>
      <c r="I22" s="421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4"/>
    </row>
    <row r="23" spans="2:22" s="284" customFormat="1" ht="23.1" customHeight="1">
      <c r="B23" s="282"/>
      <c r="C23" s="1657" t="s">
        <v>549</v>
      </c>
      <c r="D23" s="1658"/>
      <c r="E23" s="1256">
        <f>E24+E28</f>
        <v>12980782.610000001</v>
      </c>
      <c r="F23" s="293">
        <f t="shared" ref="F23:F31" si="0">E23/$E$38</f>
        <v>1</v>
      </c>
      <c r="G23" s="283"/>
      <c r="I23" s="421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</row>
    <row r="24" spans="2:22" s="284" customFormat="1" ht="23.1" customHeight="1">
      <c r="B24" s="282"/>
      <c r="C24" s="1415" t="s">
        <v>1097</v>
      </c>
      <c r="D24" s="1416"/>
      <c r="E24" s="1364">
        <f>SUM(E25:E27)</f>
        <v>12980782.610000001</v>
      </c>
      <c r="F24" s="293">
        <f t="shared" si="0"/>
        <v>1</v>
      </c>
      <c r="G24" s="283"/>
      <c r="I24" s="421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4"/>
    </row>
    <row r="25" spans="2:22" s="188" customFormat="1" ht="23.1" customHeight="1">
      <c r="B25" s="186"/>
      <c r="C25" s="1417" t="s">
        <v>543</v>
      </c>
      <c r="D25" s="1418" t="s">
        <v>1117</v>
      </c>
      <c r="E25" s="1359">
        <f>'FC-9_TRANS_SUBV'!J94+'FC-9_TRANS_SUBV'!J95</f>
        <v>12381501.780000001</v>
      </c>
      <c r="F25" s="1360">
        <f t="shared" si="0"/>
        <v>0.9538332280876245</v>
      </c>
      <c r="G25" s="187"/>
      <c r="I25" s="421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4"/>
    </row>
    <row r="26" spans="2:22" s="188" customFormat="1" ht="23.1" customHeight="1">
      <c r="B26" s="186"/>
      <c r="C26" s="1417" t="s">
        <v>544</v>
      </c>
      <c r="D26" s="1418" t="s">
        <v>551</v>
      </c>
      <c r="E26" s="1359">
        <f>'FC-9_TRANS_SUBV'!J97</f>
        <v>559607.93999999994</v>
      </c>
      <c r="F26" s="1361">
        <f t="shared" si="0"/>
        <v>4.3110493166174352E-2</v>
      </c>
      <c r="G26" s="187"/>
      <c r="I26" s="421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4"/>
    </row>
    <row r="27" spans="2:22" s="188" customFormat="1" ht="23.1" customHeight="1">
      <c r="B27" s="186"/>
      <c r="C27" s="1419" t="s">
        <v>545</v>
      </c>
      <c r="D27" s="1420" t="s">
        <v>550</v>
      </c>
      <c r="E27" s="1362">
        <f>'FC-9_TRANS_SUBV'!J96</f>
        <v>39672.89</v>
      </c>
      <c r="F27" s="1363">
        <f t="shared" si="0"/>
        <v>3.0562787462011117E-3</v>
      </c>
      <c r="G27" s="187"/>
      <c r="I27" s="421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4"/>
    </row>
    <row r="28" spans="2:22" s="188" customFormat="1" ht="23.1" customHeight="1">
      <c r="B28" s="186"/>
      <c r="C28" s="1415" t="s">
        <v>1098</v>
      </c>
      <c r="D28" s="1416"/>
      <c r="E28" s="1364">
        <f>SUM(E29:E31)</f>
        <v>0</v>
      </c>
      <c r="F28" s="293">
        <f t="shared" si="0"/>
        <v>0</v>
      </c>
      <c r="G28" s="187"/>
      <c r="I28" s="1365" t="str">
        <f>IF(E28='FC-9_TRANS_SUBV'!N44,"","Ojo! El importe total de las subvenciones de capital concedidas no coincide con el indicado en FC-9")</f>
        <v/>
      </c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4"/>
    </row>
    <row r="29" spans="2:22" s="188" customFormat="1" ht="23.1" customHeight="1">
      <c r="B29" s="186"/>
      <c r="C29" s="1417" t="s">
        <v>543</v>
      </c>
      <c r="D29" s="1418" t="s">
        <v>1117</v>
      </c>
      <c r="E29" s="1408">
        <f>'FC-9_TRANS_SUBV'!N48+'FC-9_TRANS_SUBV'!N49</f>
        <v>0</v>
      </c>
      <c r="F29" s="1360">
        <f t="shared" si="0"/>
        <v>0</v>
      </c>
      <c r="G29" s="187"/>
      <c r="I29" s="1366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4"/>
    </row>
    <row r="30" spans="2:22" s="188" customFormat="1" ht="23.1" customHeight="1">
      <c r="B30" s="186"/>
      <c r="C30" s="1417" t="s">
        <v>544</v>
      </c>
      <c r="D30" s="1418" t="s">
        <v>551</v>
      </c>
      <c r="E30" s="1408">
        <f>'FC-9_TRANS_SUBV'!N51</f>
        <v>0</v>
      </c>
      <c r="F30" s="1361">
        <f t="shared" si="0"/>
        <v>0</v>
      </c>
      <c r="G30" s="187"/>
      <c r="I30" s="1366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4"/>
    </row>
    <row r="31" spans="2:22" s="188" customFormat="1" ht="23.1" customHeight="1">
      <c r="B31" s="186"/>
      <c r="C31" s="1419" t="s">
        <v>545</v>
      </c>
      <c r="D31" s="1420" t="s">
        <v>550</v>
      </c>
      <c r="E31" s="1409">
        <f>'FC-9_TRANS_SUBV'!N50</f>
        <v>0</v>
      </c>
      <c r="F31" s="1363">
        <f t="shared" si="0"/>
        <v>0</v>
      </c>
      <c r="G31" s="187"/>
      <c r="I31" s="1366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4"/>
    </row>
    <row r="32" spans="2:22" s="188" customFormat="1" ht="9" customHeight="1">
      <c r="B32" s="186"/>
      <c r="C32" s="619"/>
      <c r="D32" s="1402"/>
      <c r="E32" s="151"/>
      <c r="F32" s="292"/>
      <c r="G32" s="187"/>
      <c r="I32" s="421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4"/>
    </row>
    <row r="33" spans="2:22" s="284" customFormat="1" ht="23.1" customHeight="1">
      <c r="B33" s="282"/>
      <c r="C33" s="1657" t="s">
        <v>552</v>
      </c>
      <c r="D33" s="1658"/>
      <c r="E33" s="1256">
        <f>SUM(E34:E36)</f>
        <v>0</v>
      </c>
      <c r="F33" s="293">
        <f t="shared" ref="F33:F36" si="1">E33/$E$38</f>
        <v>0</v>
      </c>
      <c r="G33" s="283"/>
      <c r="I33" s="421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4"/>
    </row>
    <row r="34" spans="2:22" s="188" customFormat="1" ht="23.1" customHeight="1">
      <c r="B34" s="186"/>
      <c r="C34" s="1411" t="s">
        <v>543</v>
      </c>
      <c r="D34" s="1421" t="s">
        <v>1099</v>
      </c>
      <c r="E34" s="500"/>
      <c r="F34" s="289">
        <f>E34/$E$38</f>
        <v>0</v>
      </c>
      <c r="G34" s="187"/>
      <c r="I34" s="1366" t="s">
        <v>949</v>
      </c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4"/>
    </row>
    <row r="35" spans="2:22" s="188" customFormat="1" ht="23.1" customHeight="1">
      <c r="B35" s="186"/>
      <c r="C35" s="1411" t="s">
        <v>544</v>
      </c>
      <c r="D35" s="1421" t="s">
        <v>1100</v>
      </c>
      <c r="E35" s="500"/>
      <c r="F35" s="290">
        <f t="shared" si="1"/>
        <v>0</v>
      </c>
      <c r="G35" s="187"/>
      <c r="I35" s="1366" t="s">
        <v>949</v>
      </c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4"/>
    </row>
    <row r="36" spans="2:22" s="188" customFormat="1" ht="23.1" customHeight="1">
      <c r="B36" s="186"/>
      <c r="C36" s="278" t="s">
        <v>545</v>
      </c>
      <c r="D36" s="1255"/>
      <c r="E36" s="503"/>
      <c r="F36" s="291">
        <f t="shared" si="1"/>
        <v>0</v>
      </c>
      <c r="G36" s="187"/>
      <c r="I36" s="1366" t="s">
        <v>949</v>
      </c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4"/>
    </row>
    <row r="37" spans="2:22" s="188" customFormat="1" ht="23.1" customHeight="1">
      <c r="B37" s="186"/>
      <c r="C37" s="155"/>
      <c r="D37" s="215"/>
      <c r="E37" s="217"/>
      <c r="F37" s="286"/>
      <c r="G37" s="187"/>
      <c r="I37" s="421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4"/>
    </row>
    <row r="38" spans="2:22" s="188" customFormat="1" ht="23.1" customHeight="1" thickBot="1">
      <c r="B38" s="186"/>
      <c r="C38" s="1659" t="s">
        <v>553</v>
      </c>
      <c r="D38" s="1660"/>
      <c r="E38" s="1410">
        <f>E33+E23+E21+E16</f>
        <v>12980782.610000001</v>
      </c>
      <c r="F38" s="287">
        <f>E38/E38</f>
        <v>1</v>
      </c>
      <c r="G38" s="187"/>
      <c r="I38" s="421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4"/>
    </row>
    <row r="39" spans="2:22" ht="23.1" customHeight="1">
      <c r="B39" s="116"/>
      <c r="C39" s="155"/>
      <c r="D39" s="215"/>
      <c r="E39" s="217"/>
      <c r="F39" s="218"/>
      <c r="G39" s="105"/>
      <c r="I39" s="421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4"/>
    </row>
    <row r="40" spans="2:22" ht="23.1" customHeight="1">
      <c r="B40" s="116"/>
      <c r="C40" s="764" t="s">
        <v>732</v>
      </c>
      <c r="D40" s="215"/>
      <c r="E40" s="217"/>
      <c r="F40" s="218"/>
      <c r="G40" s="105"/>
      <c r="I40" s="421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4"/>
    </row>
    <row r="41" spans="2:22" ht="60.95" customHeight="1">
      <c r="B41" s="116"/>
      <c r="C41" s="1661" t="s">
        <v>1118</v>
      </c>
      <c r="D41" s="1661"/>
      <c r="E41" s="1661"/>
      <c r="F41" s="1661"/>
      <c r="G41" s="105"/>
      <c r="I41" s="421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4"/>
    </row>
    <row r="42" spans="2:22" ht="23.1" customHeight="1" thickBot="1">
      <c r="B42" s="120"/>
      <c r="C42" s="1504"/>
      <c r="D42" s="1504"/>
      <c r="E42" s="56"/>
      <c r="F42" s="121"/>
      <c r="G42" s="122"/>
      <c r="I42" s="415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7"/>
    </row>
    <row r="43" spans="2:22" ht="23.1" customHeight="1">
      <c r="C43" s="103"/>
      <c r="D43" s="103"/>
      <c r="E43" s="104"/>
      <c r="F43" s="104"/>
      <c r="H43" s="96" t="s">
        <v>885</v>
      </c>
    </row>
    <row r="44" spans="2:22" ht="12.75">
      <c r="C44" s="123" t="s">
        <v>70</v>
      </c>
      <c r="D44" s="103"/>
      <c r="E44" s="104"/>
      <c r="F44" s="94" t="s">
        <v>66</v>
      </c>
    </row>
    <row r="45" spans="2:22" ht="12.75">
      <c r="C45" s="124" t="s">
        <v>71</v>
      </c>
      <c r="D45" s="103"/>
      <c r="E45" s="104"/>
      <c r="F45" s="104"/>
    </row>
    <row r="46" spans="2:22" ht="12.75">
      <c r="C46" s="124" t="s">
        <v>72</v>
      </c>
      <c r="D46" s="103"/>
      <c r="E46" s="104"/>
      <c r="F46" s="104"/>
    </row>
    <row r="47" spans="2:22" ht="12.75">
      <c r="C47" s="124" t="s">
        <v>73</v>
      </c>
      <c r="D47" s="103"/>
      <c r="E47" s="104"/>
      <c r="F47" s="104"/>
    </row>
    <row r="48" spans="2:22" ht="12.75">
      <c r="C48" s="124" t="s">
        <v>74</v>
      </c>
      <c r="D48" s="103"/>
      <c r="E48" s="104"/>
      <c r="F48" s="104"/>
    </row>
    <row r="49" spans="3:6" ht="23.1" customHeight="1">
      <c r="C49" s="103"/>
      <c r="D49" s="103"/>
      <c r="E49" s="104"/>
      <c r="F49" s="104"/>
    </row>
    <row r="50" spans="3:6" ht="23.1" customHeight="1">
      <c r="C50" s="103"/>
      <c r="D50" s="103"/>
      <c r="E50" s="104"/>
      <c r="F50" s="104"/>
    </row>
    <row r="51" spans="3:6" ht="23.1" customHeight="1">
      <c r="C51" s="103"/>
      <c r="D51" s="103"/>
      <c r="E51" s="104"/>
      <c r="F51" s="104"/>
    </row>
    <row r="52" spans="3:6" ht="23.1" customHeight="1">
      <c r="C52" s="103"/>
      <c r="D52" s="103"/>
      <c r="E52" s="104"/>
      <c r="F52" s="104"/>
    </row>
    <row r="53" spans="3:6" ht="23.1" customHeight="1">
      <c r="E53" s="104"/>
      <c r="F53" s="104"/>
    </row>
  </sheetData>
  <sheetProtection algorithmName="SHA-512" hashValue="UvIjjaV2HG4GKhL2sB5Ju5nmPdeKe+0A9UNne+jKwZ7UKXfooe3udVYW8e+S9y9icsfrYfhSbJuPHPlvMque1Q==" saltValue="j/lMEQg14jFgTAKLWosL9A==" spinCount="100000" sheet="1" objects="1" scenarios="1"/>
  <mergeCells count="11">
    <mergeCell ref="F6:F7"/>
    <mergeCell ref="D9:F9"/>
    <mergeCell ref="C12:D12"/>
    <mergeCell ref="C14:D14"/>
    <mergeCell ref="C16:D16"/>
    <mergeCell ref="C42:D42"/>
    <mergeCell ref="C23:D23"/>
    <mergeCell ref="C33:D33"/>
    <mergeCell ref="C38:D38"/>
    <mergeCell ref="C21:D21"/>
    <mergeCell ref="C41:F4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32:F33 F18:F23 F25:F27 F35:F38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tabColor rgb="FFFF0000"/>
    <pageSetUpPr fitToPage="1"/>
  </sheetPr>
  <dimension ref="A2:H75"/>
  <sheetViews>
    <sheetView workbookViewId="0">
      <selection activeCell="E73" sqref="E73"/>
    </sheetView>
  </sheetViews>
  <sheetFormatPr baseColWidth="10" defaultColWidth="10.6640625" defaultRowHeight="23.1" customHeight="1"/>
  <cols>
    <col min="1" max="1" width="4.109375" style="96" bestFit="1" customWidth="1"/>
    <col min="2" max="2" width="3.109375" style="96" customWidth="1"/>
    <col min="3" max="3" width="13.109375" style="96" customWidth="1"/>
    <col min="4" max="4" width="68" style="96" customWidth="1"/>
    <col min="5" max="5" width="16.6640625" style="97" customWidth="1"/>
    <col min="6" max="6" width="3.33203125" style="96" customWidth="1"/>
    <col min="7" max="16384" width="10.6640625" style="96"/>
  </cols>
  <sheetData>
    <row r="2" spans="1:6" ht="23.1" customHeight="1">
      <c r="D2" s="298" t="str">
        <f>_GENERAL!D2</f>
        <v>Área de Presidencia, Hacienda y Modernización</v>
      </c>
    </row>
    <row r="3" spans="1:6" ht="23.1" customHeight="1">
      <c r="D3" s="298" t="str">
        <f>_GENERAL!D3</f>
        <v>Dirección Insular de Hacienda</v>
      </c>
    </row>
    <row r="4" spans="1:6" ht="23.1" customHeight="1" thickBot="1">
      <c r="A4" s="96" t="s">
        <v>884</v>
      </c>
    </row>
    <row r="5" spans="1:6" ht="9" customHeight="1">
      <c r="B5" s="98"/>
      <c r="C5" s="99"/>
      <c r="D5" s="99"/>
      <c r="E5" s="100"/>
      <c r="F5" s="101"/>
    </row>
    <row r="6" spans="1:6" ht="30" customHeight="1">
      <c r="B6" s="102"/>
      <c r="C6" s="66" t="s">
        <v>0</v>
      </c>
      <c r="D6" s="103"/>
      <c r="E6" s="1489">
        <f>ejercicio</f>
        <v>2021</v>
      </c>
      <c r="F6" s="105"/>
    </row>
    <row r="7" spans="1:6" ht="30" customHeight="1">
      <c r="B7" s="102"/>
      <c r="C7" s="66" t="s">
        <v>1</v>
      </c>
      <c r="D7" s="103"/>
      <c r="E7" s="1489"/>
      <c r="F7" s="105"/>
    </row>
    <row r="8" spans="1:6" ht="30" customHeight="1">
      <c r="B8" s="102"/>
      <c r="C8" s="106"/>
      <c r="D8" s="103"/>
      <c r="E8" s="107"/>
      <c r="F8" s="105"/>
    </row>
    <row r="9" spans="1:6" s="188" customFormat="1" ht="30" customHeight="1">
      <c r="B9" s="186"/>
      <c r="C9" s="55" t="s">
        <v>2</v>
      </c>
      <c r="D9" s="1505" t="str">
        <f>Entidad</f>
        <v>Spet, turismo de Tenerife s.a</v>
      </c>
      <c r="E9" s="1505"/>
      <c r="F9" s="187"/>
    </row>
    <row r="10" spans="1:6" ht="6.95" customHeight="1">
      <c r="B10" s="102"/>
      <c r="C10" s="103"/>
      <c r="D10" s="103"/>
      <c r="E10" s="104"/>
      <c r="F10" s="105"/>
    </row>
    <row r="11" spans="1:6" s="114" customFormat="1" ht="30" customHeight="1">
      <c r="B11" s="110"/>
      <c r="C11" s="111" t="s">
        <v>554</v>
      </c>
      <c r="D11" s="111"/>
      <c r="E11" s="112"/>
      <c r="F11" s="113"/>
    </row>
    <row r="12" spans="1:6" s="114" customFormat="1" ht="30" customHeight="1">
      <c r="B12" s="110"/>
      <c r="C12" s="1329" t="str">
        <f>IF(_GENERAL!D16&lt;&gt;"Íntegra","No aplica a entidades con participación del Cabildo no íntegra","")</f>
        <v>No aplica a entidades con participación del Cabildo no íntegra</v>
      </c>
      <c r="D12" s="298"/>
      <c r="E12" s="95"/>
      <c r="F12" s="113"/>
    </row>
    <row r="13" spans="1:6" ht="9" customHeight="1">
      <c r="B13" s="116"/>
      <c r="C13" s="155"/>
      <c r="D13" s="155"/>
      <c r="E13" s="95"/>
      <c r="F13" s="105"/>
    </row>
    <row r="14" spans="1:6" s="251" customFormat="1" ht="24" customHeight="1">
      <c r="B14" s="248"/>
      <c r="C14" s="1564" t="s">
        <v>569</v>
      </c>
      <c r="D14" s="1566"/>
      <c r="E14" s="265" t="s">
        <v>466</v>
      </c>
      <c r="F14" s="250"/>
    </row>
    <row r="15" spans="1:6" ht="9" customHeight="1">
      <c r="B15" s="116"/>
      <c r="C15" s="65"/>
      <c r="D15" s="155"/>
      <c r="E15" s="95"/>
      <c r="F15" s="105"/>
    </row>
    <row r="16" spans="1:6" s="188" customFormat="1" ht="23.1" customHeight="1">
      <c r="B16" s="186"/>
      <c r="C16" s="280" t="s">
        <v>182</v>
      </c>
      <c r="D16" s="230" t="s">
        <v>555</v>
      </c>
      <c r="E16" s="172">
        <f>'_FC-90_DETALLE'!H16</f>
        <v>0</v>
      </c>
      <c r="F16" s="187"/>
    </row>
    <row r="17" spans="2:6" s="188" customFormat="1" ht="23.1" customHeight="1">
      <c r="B17" s="186"/>
      <c r="C17" s="192" t="s">
        <v>192</v>
      </c>
      <c r="D17" s="262" t="s">
        <v>556</v>
      </c>
      <c r="E17" s="193">
        <f>'_FC-90_DETALLE'!H17</f>
        <v>0</v>
      </c>
      <c r="F17" s="187"/>
    </row>
    <row r="18" spans="2:6" s="188" customFormat="1" ht="23.1" customHeight="1">
      <c r="B18" s="186"/>
      <c r="C18" s="192" t="s">
        <v>197</v>
      </c>
      <c r="D18" s="262" t="s">
        <v>557</v>
      </c>
      <c r="E18" s="193">
        <f>'_FC-90_DETALLE'!H18</f>
        <v>0</v>
      </c>
      <c r="F18" s="187"/>
    </row>
    <row r="19" spans="2:6" s="188" customFormat="1" ht="23.1" customHeight="1">
      <c r="B19" s="186"/>
      <c r="C19" s="192" t="s">
        <v>201</v>
      </c>
      <c r="D19" s="262" t="s">
        <v>558</v>
      </c>
      <c r="E19" s="193">
        <f>'_FC-90_DETALLE'!H26</f>
        <v>15534518.630000001</v>
      </c>
      <c r="F19" s="187"/>
    </row>
    <row r="20" spans="2:6" s="188" customFormat="1" ht="23.1" customHeight="1">
      <c r="B20" s="186"/>
      <c r="C20" s="278" t="s">
        <v>209</v>
      </c>
      <c r="D20" s="263" t="s">
        <v>559</v>
      </c>
      <c r="E20" s="173">
        <f>'_FC-90_DETALLE'!H31</f>
        <v>3000</v>
      </c>
      <c r="F20" s="187"/>
    </row>
    <row r="21" spans="2:6" s="188" customFormat="1" ht="23.1" customHeight="1">
      <c r="B21" s="186"/>
      <c r="C21" s="1662" t="s">
        <v>560</v>
      </c>
      <c r="D21" s="1663"/>
      <c r="E21" s="285">
        <f>SUM(E16:E20)</f>
        <v>15537518.630000001</v>
      </c>
      <c r="F21" s="187"/>
    </row>
    <row r="22" spans="2:6" s="188" customFormat="1" ht="9" customHeight="1">
      <c r="B22" s="186"/>
      <c r="C22" s="21"/>
      <c r="D22" s="155"/>
      <c r="E22" s="151"/>
      <c r="F22" s="187"/>
    </row>
    <row r="23" spans="2:6" s="188" customFormat="1" ht="23.1" customHeight="1">
      <c r="B23" s="186"/>
      <c r="C23" s="280" t="s">
        <v>212</v>
      </c>
      <c r="D23" s="230" t="s">
        <v>561</v>
      </c>
      <c r="E23" s="172">
        <f>'_FC-90_DETALLE'!H41</f>
        <v>0</v>
      </c>
      <c r="F23" s="187"/>
    </row>
    <row r="24" spans="2:6" s="188" customFormat="1" ht="23.1" customHeight="1">
      <c r="B24" s="186"/>
      <c r="C24" s="192" t="s">
        <v>214</v>
      </c>
      <c r="D24" s="262" t="s">
        <v>562</v>
      </c>
      <c r="E24" s="193">
        <f>'_FC-90_DETALLE'!H45</f>
        <v>0</v>
      </c>
      <c r="F24" s="187"/>
    </row>
    <row r="25" spans="2:6" s="188" customFormat="1" ht="23.1" customHeight="1">
      <c r="B25" s="186"/>
      <c r="C25" s="1662" t="s">
        <v>563</v>
      </c>
      <c r="D25" s="1663"/>
      <c r="E25" s="285">
        <f>SUM(E23:E24)</f>
        <v>0</v>
      </c>
      <c r="F25" s="187"/>
    </row>
    <row r="26" spans="2:6" s="188" customFormat="1" ht="9" customHeight="1">
      <c r="B26" s="186"/>
      <c r="C26" s="21"/>
      <c r="D26" s="155"/>
      <c r="E26" s="151"/>
      <c r="F26" s="187"/>
    </row>
    <row r="27" spans="2:6" s="188" customFormat="1" ht="23.1" customHeight="1">
      <c r="B27" s="186"/>
      <c r="C27" s="280" t="s">
        <v>265</v>
      </c>
      <c r="D27" s="230" t="s">
        <v>564</v>
      </c>
      <c r="E27" s="172">
        <f>'_FC-90_DETALLE'!H52</f>
        <v>0</v>
      </c>
      <c r="F27" s="187"/>
    </row>
    <row r="28" spans="2:6" s="188" customFormat="1" ht="23.1" customHeight="1">
      <c r="B28" s="186"/>
      <c r="C28" s="192" t="s">
        <v>267</v>
      </c>
      <c r="D28" s="262" t="s">
        <v>565</v>
      </c>
      <c r="E28" s="193">
        <f>'_FC-90_DETALLE'!H59</f>
        <v>0</v>
      </c>
      <c r="F28" s="187"/>
    </row>
    <row r="29" spans="2:6" s="188" customFormat="1" ht="23.1" customHeight="1">
      <c r="B29" s="186"/>
      <c r="C29" s="1662" t="s">
        <v>566</v>
      </c>
      <c r="D29" s="1663"/>
      <c r="E29" s="285">
        <f>SUM(E27:E28)</f>
        <v>0</v>
      </c>
      <c r="F29" s="187"/>
    </row>
    <row r="30" spans="2:6" s="188" customFormat="1" ht="23.1" customHeight="1">
      <c r="B30" s="186"/>
      <c r="C30" s="155"/>
      <c r="D30" s="215"/>
      <c r="E30" s="217"/>
      <c r="F30" s="187"/>
    </row>
    <row r="31" spans="2:6" s="295" customFormat="1" ht="23.1" customHeight="1" thickBot="1">
      <c r="B31" s="110"/>
      <c r="C31" s="1664" t="s">
        <v>567</v>
      </c>
      <c r="D31" s="1665"/>
      <c r="E31" s="294">
        <f>E21+E25+E29</f>
        <v>15537518.630000001</v>
      </c>
      <c r="F31" s="113"/>
    </row>
    <row r="32" spans="2:6" s="188" customFormat="1" ht="9" customHeight="1">
      <c r="B32" s="186"/>
      <c r="C32" s="21"/>
      <c r="D32" s="155"/>
      <c r="E32" s="151"/>
      <c r="F32" s="187"/>
    </row>
    <row r="33" spans="2:6" s="188" customFormat="1" ht="23.1" customHeight="1">
      <c r="B33" s="186"/>
      <c r="C33" s="1662" t="s">
        <v>568</v>
      </c>
      <c r="D33" s="1663"/>
      <c r="E33" s="285">
        <f>'_FC-90_DETALLE'!H72</f>
        <v>5824.53</v>
      </c>
      <c r="F33" s="187"/>
    </row>
    <row r="34" spans="2:6" s="188" customFormat="1" ht="9" customHeight="1">
      <c r="B34" s="186"/>
      <c r="C34" s="21"/>
      <c r="D34" s="1206"/>
      <c r="E34" s="151"/>
      <c r="F34" s="187"/>
    </row>
    <row r="35" spans="2:6" s="295" customFormat="1" ht="23.1" customHeight="1" thickBot="1">
      <c r="B35" s="110"/>
      <c r="C35" s="1664" t="s">
        <v>567</v>
      </c>
      <c r="D35" s="1665"/>
      <c r="E35" s="294">
        <f>E31+E33</f>
        <v>15543343.16</v>
      </c>
      <c r="F35" s="113"/>
    </row>
    <row r="36" spans="2:6" s="188" customFormat="1" ht="23.1" customHeight="1">
      <c r="B36" s="186"/>
      <c r="C36" s="296"/>
      <c r="D36" s="296"/>
      <c r="E36" s="297"/>
      <c r="F36" s="187"/>
    </row>
    <row r="37" spans="2:6" s="251" customFormat="1" ht="24" customHeight="1">
      <c r="B37" s="248"/>
      <c r="C37" s="1564" t="s">
        <v>570</v>
      </c>
      <c r="D37" s="1566"/>
      <c r="E37" s="265" t="s">
        <v>466</v>
      </c>
      <c r="F37" s="250"/>
    </row>
    <row r="38" spans="2:6" ht="9" customHeight="1">
      <c r="B38" s="116"/>
      <c r="C38" s="65"/>
      <c r="D38" s="155"/>
      <c r="E38" s="95"/>
      <c r="F38" s="105"/>
    </row>
    <row r="39" spans="2:6" s="188" customFormat="1" ht="23.1" customHeight="1">
      <c r="B39" s="186"/>
      <c r="C39" s="280" t="s">
        <v>182</v>
      </c>
      <c r="D39" s="230" t="s">
        <v>571</v>
      </c>
      <c r="E39" s="172">
        <f>'_FC-90_DETALLE'!H88</f>
        <v>2390470.23</v>
      </c>
      <c r="F39" s="187"/>
    </row>
    <row r="40" spans="2:6" s="188" customFormat="1" ht="23.1" customHeight="1">
      <c r="B40" s="186"/>
      <c r="C40" s="192" t="s">
        <v>192</v>
      </c>
      <c r="D40" s="262" t="s">
        <v>572</v>
      </c>
      <c r="E40" s="193">
        <f>'_FC-90_DETALLE'!H93</f>
        <v>12903982.1</v>
      </c>
      <c r="F40" s="187"/>
    </row>
    <row r="41" spans="2:6" s="188" customFormat="1" ht="23.1" customHeight="1">
      <c r="B41" s="186"/>
      <c r="C41" s="192" t="s">
        <v>197</v>
      </c>
      <c r="D41" s="262" t="s">
        <v>386</v>
      </c>
      <c r="E41" s="193">
        <f>'_FC-90_DETALLE'!H106</f>
        <v>3000</v>
      </c>
      <c r="F41" s="187"/>
    </row>
    <row r="42" spans="2:6" s="188" customFormat="1" ht="23.1" customHeight="1">
      <c r="B42" s="186"/>
      <c r="C42" s="192" t="s">
        <v>201</v>
      </c>
      <c r="D42" s="262" t="s">
        <v>573</v>
      </c>
      <c r="E42" s="193">
        <f>'_FC-90_DETALLE'!H112</f>
        <v>0</v>
      </c>
      <c r="F42" s="187"/>
    </row>
    <row r="43" spans="2:6" s="188" customFormat="1" ht="23.1" customHeight="1">
      <c r="B43" s="186"/>
      <c r="C43" s="1662" t="s">
        <v>574</v>
      </c>
      <c r="D43" s="1663"/>
      <c r="E43" s="285">
        <f>SUM(E39:E42)</f>
        <v>15297452.33</v>
      </c>
      <c r="F43" s="187"/>
    </row>
    <row r="44" spans="2:6" s="188" customFormat="1" ht="9" customHeight="1">
      <c r="B44" s="186"/>
      <c r="C44" s="21"/>
      <c r="D44" s="155"/>
      <c r="E44" s="151"/>
      <c r="F44" s="187"/>
    </row>
    <row r="45" spans="2:6" s="188" customFormat="1" ht="23.1" customHeight="1">
      <c r="B45" s="186"/>
      <c r="C45" s="280" t="s">
        <v>212</v>
      </c>
      <c r="D45" s="230" t="s">
        <v>575</v>
      </c>
      <c r="E45" s="172">
        <f>'_FC-90_DETALLE'!H118</f>
        <v>0</v>
      </c>
      <c r="F45" s="187"/>
    </row>
    <row r="46" spans="2:6" s="188" customFormat="1" ht="23.1" customHeight="1">
      <c r="B46" s="186"/>
      <c r="C46" s="192" t="s">
        <v>214</v>
      </c>
      <c r="D46" s="262" t="s">
        <v>562</v>
      </c>
      <c r="E46" s="193">
        <f>'_FC-90_DETALLE'!H123</f>
        <v>0</v>
      </c>
      <c r="F46" s="187"/>
    </row>
    <row r="47" spans="2:6" s="188" customFormat="1" ht="23.1" customHeight="1">
      <c r="B47" s="186"/>
      <c r="C47" s="1662" t="s">
        <v>576</v>
      </c>
      <c r="D47" s="1663"/>
      <c r="E47" s="285">
        <f>SUM(E45:E46)</f>
        <v>0</v>
      </c>
      <c r="F47" s="187"/>
    </row>
    <row r="48" spans="2:6" s="188" customFormat="1" ht="9" customHeight="1">
      <c r="B48" s="186"/>
      <c r="C48" s="21"/>
      <c r="D48" s="155"/>
      <c r="E48" s="151"/>
      <c r="F48" s="187"/>
    </row>
    <row r="49" spans="2:8" s="188" customFormat="1" ht="23.1" customHeight="1">
      <c r="B49" s="186"/>
      <c r="C49" s="280" t="s">
        <v>265</v>
      </c>
      <c r="D49" s="230" t="s">
        <v>564</v>
      </c>
      <c r="E49" s="172">
        <f>'_FC-90_DETALLE'!H129</f>
        <v>0</v>
      </c>
      <c r="F49" s="187"/>
    </row>
    <row r="50" spans="2:8" s="188" customFormat="1" ht="23.1" customHeight="1">
      <c r="B50" s="186"/>
      <c r="C50" s="192" t="s">
        <v>267</v>
      </c>
      <c r="D50" s="262" t="s">
        <v>565</v>
      </c>
      <c r="E50" s="193">
        <f>'_FC-90_DETALLE'!H136</f>
        <v>0</v>
      </c>
      <c r="F50" s="187"/>
    </row>
    <row r="51" spans="2:8" s="188" customFormat="1" ht="23.1" customHeight="1">
      <c r="B51" s="186"/>
      <c r="C51" s="1662" t="s">
        <v>577</v>
      </c>
      <c r="D51" s="1663"/>
      <c r="E51" s="285">
        <f>SUM(E49:E50)</f>
        <v>0</v>
      </c>
      <c r="F51" s="187"/>
    </row>
    <row r="52" spans="2:8" s="188" customFormat="1" ht="9" customHeight="1">
      <c r="B52" s="186"/>
      <c r="C52" s="155"/>
      <c r="D52" s="215"/>
      <c r="E52" s="217"/>
      <c r="F52" s="187"/>
    </row>
    <row r="53" spans="2:8" s="295" customFormat="1" ht="23.1" customHeight="1" thickBot="1">
      <c r="B53" s="110"/>
      <c r="C53" s="1664" t="s">
        <v>578</v>
      </c>
      <c r="D53" s="1665"/>
      <c r="E53" s="294">
        <f>E43+E47+E51</f>
        <v>15297452.33</v>
      </c>
      <c r="F53" s="113"/>
    </row>
    <row r="54" spans="2:8" s="188" customFormat="1" ht="9" customHeight="1">
      <c r="B54" s="186"/>
      <c r="C54" s="21"/>
      <c r="D54" s="155"/>
      <c r="E54" s="151"/>
      <c r="F54" s="187"/>
    </row>
    <row r="55" spans="2:8" s="188" customFormat="1" ht="24" customHeight="1">
      <c r="B55" s="186"/>
      <c r="C55" s="1662" t="s">
        <v>579</v>
      </c>
      <c r="D55" s="1663"/>
      <c r="E55" s="285">
        <f>'_FC-90_DETALLE'!H151</f>
        <v>53489.33</v>
      </c>
      <c r="F55" s="187"/>
    </row>
    <row r="56" spans="2:8" s="188" customFormat="1" ht="9" customHeight="1">
      <c r="B56" s="186"/>
      <c r="C56" s="21"/>
      <c r="D56" s="1206"/>
      <c r="E56" s="151"/>
      <c r="F56" s="187"/>
    </row>
    <row r="57" spans="2:8" s="188" customFormat="1" ht="24" customHeight="1" thickBot="1">
      <c r="B57" s="186"/>
      <c r="C57" s="1664" t="s">
        <v>578</v>
      </c>
      <c r="D57" s="1665"/>
      <c r="E57" s="294">
        <f>E53+E55</f>
        <v>15350941.66</v>
      </c>
      <c r="F57" s="187"/>
    </row>
    <row r="58" spans="2:8" s="188" customFormat="1" ht="24" customHeight="1">
      <c r="B58" s="186"/>
      <c r="C58" s="21"/>
      <c r="D58" s="1206"/>
      <c r="E58" s="151"/>
      <c r="F58" s="187"/>
    </row>
    <row r="59" spans="2:8" s="188" customFormat="1" ht="24" customHeight="1" thickBot="1">
      <c r="B59" s="186"/>
      <c r="C59" s="1207" t="s">
        <v>946</v>
      </c>
      <c r="D59" s="1208"/>
      <c r="E59" s="1209">
        <f>E35-E57</f>
        <v>192401.5</v>
      </c>
      <c r="F59" s="187"/>
    </row>
    <row r="60" spans="2:8" s="188" customFormat="1" ht="24" customHeight="1" thickTop="1">
      <c r="B60" s="186"/>
      <c r="C60" s="21"/>
      <c r="D60" s="1206"/>
      <c r="E60" s="151"/>
      <c r="F60" s="187"/>
    </row>
    <row r="61" spans="2:8" s="188" customFormat="1" ht="24" customHeight="1" thickBot="1">
      <c r="B61" s="186"/>
      <c r="C61" s="1207" t="s">
        <v>947</v>
      </c>
      <c r="D61" s="1208"/>
      <c r="E61" s="1209">
        <f>'_FC-90_DETALLE'!H169</f>
        <v>-192401.49999999962</v>
      </c>
      <c r="F61" s="187"/>
    </row>
    <row r="62" spans="2:8" s="188" customFormat="1" ht="24" customHeight="1" thickTop="1">
      <c r="B62" s="186"/>
      <c r="C62" s="21"/>
      <c r="D62" s="1206"/>
      <c r="E62" s="151"/>
      <c r="F62" s="187"/>
    </row>
    <row r="63" spans="2:8" s="188" customFormat="1" ht="24" customHeight="1" thickBot="1">
      <c r="B63" s="186"/>
      <c r="C63" s="1207" t="s">
        <v>948</v>
      </c>
      <c r="D63" s="1208"/>
      <c r="E63" s="1209">
        <f>+E59+E61</f>
        <v>3.7834979593753815E-10</v>
      </c>
      <c r="F63" s="187"/>
    </row>
    <row r="64" spans="2:8" ht="23.1" customHeight="1" thickTop="1" thickBot="1">
      <c r="B64" s="120"/>
      <c r="C64" s="1504"/>
      <c r="D64" s="1504"/>
      <c r="E64" s="121"/>
      <c r="F64" s="122"/>
      <c r="H64" s="188"/>
    </row>
    <row r="65" spans="3:7" ht="23.1" customHeight="1">
      <c r="C65" s="103"/>
      <c r="D65" s="103"/>
      <c r="E65" s="104"/>
      <c r="G65" s="96" t="s">
        <v>885</v>
      </c>
    </row>
    <row r="66" spans="3:7" ht="12.75">
      <c r="C66" s="123" t="s">
        <v>70</v>
      </c>
      <c r="D66" s="103"/>
      <c r="E66" s="94" t="s">
        <v>66</v>
      </c>
    </row>
    <row r="67" spans="3:7" ht="12.75">
      <c r="C67" s="124" t="s">
        <v>71</v>
      </c>
      <c r="D67" s="103"/>
      <c r="E67" s="104"/>
    </row>
    <row r="68" spans="3:7" ht="12.75">
      <c r="C68" s="124" t="s">
        <v>72</v>
      </c>
      <c r="D68" s="103"/>
      <c r="E68" s="104"/>
    </row>
    <row r="69" spans="3:7" ht="12.75">
      <c r="C69" s="124" t="s">
        <v>73</v>
      </c>
      <c r="D69" s="103"/>
      <c r="E69" s="104"/>
    </row>
    <row r="70" spans="3:7" ht="12.75">
      <c r="C70" s="124" t="s">
        <v>74</v>
      </c>
      <c r="D70" s="103"/>
      <c r="E70" s="104"/>
    </row>
    <row r="71" spans="3:7" ht="23.1" customHeight="1">
      <c r="C71" s="103"/>
      <c r="D71" s="103"/>
      <c r="E71" s="104"/>
    </row>
    <row r="72" spans="3:7" ht="23.1" customHeight="1">
      <c r="C72" s="103"/>
      <c r="D72" s="103"/>
      <c r="E72" s="104"/>
    </row>
    <row r="73" spans="3:7" ht="23.1" customHeight="1">
      <c r="C73" s="103"/>
      <c r="D73" s="103"/>
      <c r="E73" s="104"/>
    </row>
    <row r="74" spans="3:7" ht="23.1" customHeight="1">
      <c r="C74" s="103"/>
      <c r="D74" s="103"/>
      <c r="E74" s="104"/>
    </row>
    <row r="75" spans="3:7" ht="23.1" customHeight="1">
      <c r="E75" s="104"/>
    </row>
  </sheetData>
  <sheetProtection algorithmName="SHA-512" hashValue="jQlw/p760fLB8N+zL5QRnMoN8xfhUNN2+tBh0eV+4/B5pDSiKkym3mtMWx6Pj6HphKMM9jLC/e+zHHDW9Mg4mA==" saltValue="lV+W8UE/d1fK3cuhGPLUxQ==" spinCount="100000" sheet="1" objects="1" scenarios="1"/>
  <mergeCells count="17">
    <mergeCell ref="C25:D25"/>
    <mergeCell ref="E6:E7"/>
    <mergeCell ref="D9:E9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tabColor rgb="FFFF0000"/>
  </sheetPr>
  <dimension ref="B1:M224"/>
  <sheetViews>
    <sheetView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D123" sqref="D123"/>
    </sheetView>
  </sheetViews>
  <sheetFormatPr baseColWidth="10" defaultColWidth="10.6640625" defaultRowHeight="23.1" customHeight="1"/>
  <cols>
    <col min="1" max="2" width="3.109375" style="599" customWidth="1"/>
    <col min="3" max="3" width="13.109375" style="599" customWidth="1"/>
    <col min="4" max="4" width="88.109375" style="599" customWidth="1"/>
    <col min="5" max="7" width="21.6640625" style="995" customWidth="1"/>
    <col min="8" max="8" width="21.6640625" style="599" customWidth="1"/>
    <col min="9" max="9" width="3.33203125" style="599" customWidth="1"/>
    <col min="10" max="10" width="10" style="599" customWidth="1"/>
    <col min="11" max="11" width="62" style="599" customWidth="1"/>
    <col min="12" max="16384" width="10.6640625" style="599"/>
  </cols>
  <sheetData>
    <row r="1" spans="2:11" ht="33" customHeight="1"/>
    <row r="2" spans="2:11" ht="29.1" customHeight="1">
      <c r="D2" s="298" t="str">
        <f>_GENERAL!D2</f>
        <v>Área de Presidencia, Hacienda y Modernización</v>
      </c>
      <c r="E2" s="997"/>
      <c r="F2" s="997"/>
      <c r="G2" s="997"/>
    </row>
    <row r="3" spans="2:11" ht="29.1" customHeight="1">
      <c r="D3" s="298" t="str">
        <f>_GENERAL!D3</f>
        <v>Dirección Insular de Hacienda</v>
      </c>
      <c r="E3" s="997"/>
      <c r="F3" s="997"/>
      <c r="G3" s="997"/>
    </row>
    <row r="4" spans="2:11" ht="18" customHeight="1" thickBot="1"/>
    <row r="5" spans="2:11" ht="12.75">
      <c r="B5" s="998"/>
      <c r="C5" s="602"/>
      <c r="D5" s="602"/>
      <c r="E5" s="999"/>
      <c r="F5" s="999"/>
      <c r="G5" s="999"/>
      <c r="H5" s="602"/>
      <c r="I5" s="1000"/>
    </row>
    <row r="6" spans="2:11" ht="15.75">
      <c r="B6" s="1001"/>
      <c r="C6" s="1002" t="s">
        <v>0</v>
      </c>
      <c r="D6" s="607"/>
      <c r="E6" s="1003"/>
      <c r="F6" s="1003"/>
      <c r="G6" s="1003"/>
      <c r="H6" s="1688">
        <f>ejercicio</f>
        <v>2021</v>
      </c>
      <c r="I6" s="1004"/>
    </row>
    <row r="7" spans="2:11" ht="15.75">
      <c r="B7" s="1001"/>
      <c r="C7" s="1002" t="s">
        <v>1</v>
      </c>
      <c r="D7" s="607"/>
      <c r="E7" s="1003"/>
      <c r="F7" s="1003"/>
      <c r="G7" s="1003"/>
      <c r="H7" s="1688"/>
      <c r="I7" s="1004"/>
    </row>
    <row r="8" spans="2:11" ht="12.75">
      <c r="B8" s="1001"/>
      <c r="C8" s="1005"/>
      <c r="D8" s="607"/>
      <c r="E8" s="1003"/>
      <c r="F8" s="1003"/>
      <c r="G8" s="1003"/>
      <c r="H8" s="981"/>
      <c r="I8" s="1004"/>
    </row>
    <row r="9" spans="2:11" s="1009" customFormat="1" ht="21.95" customHeight="1">
      <c r="B9" s="1006"/>
      <c r="C9" s="1007" t="s">
        <v>2</v>
      </c>
      <c r="D9" s="1689" t="str">
        <f>Entidad</f>
        <v>Spet, turismo de Tenerife s.a</v>
      </c>
      <c r="E9" s="1689"/>
      <c r="F9" s="1689"/>
      <c r="G9" s="1689"/>
      <c r="H9" s="1689"/>
      <c r="I9" s="1008"/>
    </row>
    <row r="10" spans="2:11" ht="12.75">
      <c r="B10" s="1001"/>
      <c r="C10" s="607"/>
      <c r="D10" s="607"/>
      <c r="E10" s="1003"/>
      <c r="F10" s="1003"/>
      <c r="G10" s="1003"/>
      <c r="H10" s="607"/>
      <c r="I10" s="1004"/>
    </row>
    <row r="11" spans="2:11" s="1013" customFormat="1" ht="27" customHeight="1">
      <c r="B11" s="1010"/>
      <c r="C11" s="616" t="s">
        <v>554</v>
      </c>
      <c r="D11" s="616"/>
      <c r="E11" s="1011"/>
      <c r="F11" s="1011"/>
      <c r="G11" s="1011"/>
      <c r="H11" s="616"/>
      <c r="I11" s="1012"/>
    </row>
    <row r="12" spans="2:11" s="1013" customFormat="1" ht="18">
      <c r="B12" s="1010"/>
      <c r="C12" s="1330" t="str">
        <f>IF(_GENERAL!D16&lt;&gt;"Íntegra","No aplica a entidades con participación del Cabildo no íntegra","")</f>
        <v>No aplica a entidades con participación del Cabildo no íntegra</v>
      </c>
      <c r="D12" s="1069"/>
      <c r="E12" s="997"/>
      <c r="F12" s="997"/>
      <c r="G12" s="997"/>
      <c r="H12" s="618"/>
      <c r="I12" s="1012"/>
    </row>
    <row r="13" spans="2:11" ht="18">
      <c r="B13" s="1014"/>
      <c r="C13" s="1015"/>
      <c r="D13" s="1015"/>
      <c r="E13" s="997"/>
      <c r="F13" s="997"/>
      <c r="G13" s="997"/>
      <c r="H13" s="618"/>
      <c r="I13" s="1004"/>
    </row>
    <row r="14" spans="2:11" s="1019" customFormat="1" ht="23.25">
      <c r="B14" s="1016"/>
      <c r="C14" s="1675" t="s">
        <v>569</v>
      </c>
      <c r="D14" s="1676"/>
      <c r="E14" s="1017" t="s">
        <v>771</v>
      </c>
      <c r="F14" s="1017" t="s">
        <v>772</v>
      </c>
      <c r="G14" s="1017" t="s">
        <v>848</v>
      </c>
      <c r="H14" s="631" t="s">
        <v>846</v>
      </c>
      <c r="I14" s="1018"/>
      <c r="K14" s="631" t="s">
        <v>849</v>
      </c>
    </row>
    <row r="15" spans="2:11" ht="18">
      <c r="B15" s="1014"/>
      <c r="C15" s="1020"/>
      <c r="D15" s="1015"/>
      <c r="E15" s="997"/>
      <c r="F15" s="997"/>
      <c r="G15" s="997"/>
      <c r="H15" s="618"/>
      <c r="I15" s="1004"/>
    </row>
    <row r="16" spans="2:11" s="1027" customFormat="1" ht="18">
      <c r="B16" s="1021"/>
      <c r="C16" s="1022" t="s">
        <v>182</v>
      </c>
      <c r="D16" s="1023" t="s">
        <v>555</v>
      </c>
      <c r="E16" s="1024">
        <v>0</v>
      </c>
      <c r="F16" s="1024">
        <v>0</v>
      </c>
      <c r="G16" s="1024">
        <v>0</v>
      </c>
      <c r="H16" s="1025">
        <f>SUM(E16:G16)</f>
        <v>0</v>
      </c>
      <c r="I16" s="1026"/>
      <c r="K16" s="1149"/>
    </row>
    <row r="17" spans="2:12" s="1027" customFormat="1" ht="18">
      <c r="B17" s="1021"/>
      <c r="C17" s="1022" t="s">
        <v>192</v>
      </c>
      <c r="D17" s="1023" t="s">
        <v>556</v>
      </c>
      <c r="E17" s="1024">
        <v>0</v>
      </c>
      <c r="F17" s="1024">
        <v>0</v>
      </c>
      <c r="G17" s="1024">
        <v>0</v>
      </c>
      <c r="H17" s="1025">
        <f>SUM(E17:G17)</f>
        <v>0</v>
      </c>
      <c r="I17" s="1026"/>
      <c r="K17" s="1149"/>
    </row>
    <row r="18" spans="2:12" s="1027" customFormat="1" ht="18">
      <c r="B18" s="1021"/>
      <c r="C18" s="1022" t="s">
        <v>197</v>
      </c>
      <c r="D18" s="1023" t="s">
        <v>557</v>
      </c>
      <c r="E18" s="1024">
        <f>SUM(E19:E25)</f>
        <v>0</v>
      </c>
      <c r="F18" s="1024">
        <f>SUM(F19:F25)</f>
        <v>0</v>
      </c>
      <c r="G18" s="1024">
        <f>SUM(G19:G25)</f>
        <v>0</v>
      </c>
      <c r="H18" s="1024">
        <f>SUM(H19:H25)</f>
        <v>0</v>
      </c>
      <c r="I18" s="1026"/>
      <c r="K18" s="1149"/>
    </row>
    <row r="19" spans="2:12" s="1034" customFormat="1" ht="18" hidden="1">
      <c r="B19" s="1014"/>
      <c r="C19" s="1028" t="s">
        <v>40</v>
      </c>
      <c r="D19" s="1029" t="s">
        <v>773</v>
      </c>
      <c r="E19" s="1030">
        <f>'FC-3_CPyG'!G16</f>
        <v>0</v>
      </c>
      <c r="F19" s="1031"/>
      <c r="G19" s="1135"/>
      <c r="H19" s="1032">
        <f t="shared" ref="H19:H25" si="0">SUM(E19:G19)</f>
        <v>0</v>
      </c>
      <c r="I19" s="1033"/>
      <c r="K19" s="1149"/>
    </row>
    <row r="20" spans="2:12" s="1034" customFormat="1" ht="18" hidden="1">
      <c r="B20" s="1014"/>
      <c r="C20" s="1028" t="s">
        <v>46</v>
      </c>
      <c r="D20" s="1029" t="s">
        <v>774</v>
      </c>
      <c r="E20" s="1030">
        <f>'FC-3_1_INF_ADIC_CPyG'!G74</f>
        <v>0</v>
      </c>
      <c r="F20" s="1031"/>
      <c r="G20" s="1135"/>
      <c r="H20" s="1032">
        <f t="shared" si="0"/>
        <v>0</v>
      </c>
      <c r="I20" s="1033"/>
      <c r="K20" s="1149"/>
    </row>
    <row r="21" spans="2:12" s="1034" customFormat="1" ht="18" hidden="1">
      <c r="B21" s="1014"/>
      <c r="C21" s="1028" t="s">
        <v>46</v>
      </c>
      <c r="D21" s="1029" t="s">
        <v>775</v>
      </c>
      <c r="E21" s="1030">
        <f>'FC-3_1_INF_ADIC_CPyG'!G76</f>
        <v>0</v>
      </c>
      <c r="F21" s="1031"/>
      <c r="G21" s="1135"/>
      <c r="H21" s="1032">
        <f t="shared" si="0"/>
        <v>0</v>
      </c>
      <c r="I21" s="1033"/>
      <c r="K21" s="1149"/>
    </row>
    <row r="22" spans="2:12" s="1034" customFormat="1" ht="18" hidden="1">
      <c r="B22" s="1014"/>
      <c r="C22" s="1028" t="s">
        <v>46</v>
      </c>
      <c r="D22" s="1029" t="s">
        <v>962</v>
      </c>
      <c r="E22" s="1030">
        <f>'FC-3_1_INF_ADIC_CPyG'!G48</f>
        <v>0</v>
      </c>
      <c r="F22" s="1031"/>
      <c r="G22" s="1135"/>
      <c r="H22" s="1032">
        <f t="shared" si="0"/>
        <v>0</v>
      </c>
      <c r="I22" s="1033"/>
      <c r="K22" s="1149"/>
      <c r="L22" s="1035"/>
    </row>
    <row r="23" spans="2:12" s="1034" customFormat="1" ht="18" hidden="1">
      <c r="B23" s="1014"/>
      <c r="C23" s="1028"/>
      <c r="D23" s="1029" t="s">
        <v>776</v>
      </c>
      <c r="E23" s="1031"/>
      <c r="F23" s="1031"/>
      <c r="G23" s="1135"/>
      <c r="H23" s="1032">
        <f t="shared" si="0"/>
        <v>0</v>
      </c>
      <c r="I23" s="1033"/>
      <c r="K23" s="1149"/>
      <c r="L23" s="1035" t="s">
        <v>902</v>
      </c>
    </row>
    <row r="24" spans="2:12" s="1034" customFormat="1" ht="18" hidden="1">
      <c r="B24" s="1014"/>
      <c r="C24" s="1144"/>
      <c r="D24" s="1153"/>
      <c r="E24" s="1031"/>
      <c r="F24" s="1031"/>
      <c r="G24" s="1135"/>
      <c r="H24" s="1032">
        <f t="shared" si="0"/>
        <v>0</v>
      </c>
      <c r="I24" s="1033"/>
      <c r="K24" s="1149"/>
      <c r="L24" s="1035"/>
    </row>
    <row r="25" spans="2:12" s="1034" customFormat="1" ht="18" hidden="1">
      <c r="B25" s="1014"/>
      <c r="C25" s="1144"/>
      <c r="D25" s="1153"/>
      <c r="E25" s="1031"/>
      <c r="F25" s="1031"/>
      <c r="G25" s="1135"/>
      <c r="H25" s="1032">
        <f t="shared" si="0"/>
        <v>0</v>
      </c>
      <c r="I25" s="1033"/>
      <c r="K25" s="1149"/>
      <c r="L25" s="1035"/>
    </row>
    <row r="26" spans="2:12" s="1027" customFormat="1" ht="18">
      <c r="B26" s="1021"/>
      <c r="C26" s="1022" t="s">
        <v>201</v>
      </c>
      <c r="D26" s="1023" t="s">
        <v>558</v>
      </c>
      <c r="E26" s="1024">
        <f>SUM(E27:E30)</f>
        <v>13323007.110000001</v>
      </c>
      <c r="F26" s="1024">
        <f>SUM(F27:F30)</f>
        <v>2211511.52</v>
      </c>
      <c r="G26" s="1024">
        <f>SUM(G27:G30)</f>
        <v>0</v>
      </c>
      <c r="H26" s="1024">
        <f>SUM(H27:H30)</f>
        <v>15534518.630000001</v>
      </c>
      <c r="I26" s="1026"/>
      <c r="K26" s="1149"/>
    </row>
    <row r="27" spans="2:12" s="1034" customFormat="1" ht="18" hidden="1">
      <c r="B27" s="1014"/>
      <c r="C27" s="1028" t="s">
        <v>40</v>
      </c>
      <c r="D27" s="1029" t="s">
        <v>777</v>
      </c>
      <c r="E27" s="1030">
        <f>'FC-3_CPyG'!G29</f>
        <v>13323007.110000001</v>
      </c>
      <c r="F27" s="1031"/>
      <c r="G27" s="1135"/>
      <c r="H27" s="1032">
        <f>SUM(E27:G27)</f>
        <v>13323007.110000001</v>
      </c>
      <c r="I27" s="1033"/>
      <c r="K27" s="1149"/>
    </row>
    <row r="28" spans="2:12" s="1034" customFormat="1" ht="18" hidden="1">
      <c r="B28" s="1014"/>
      <c r="C28" s="1028" t="s">
        <v>53</v>
      </c>
      <c r="D28" s="1047" t="s">
        <v>778</v>
      </c>
      <c r="E28" s="1031"/>
      <c r="F28" s="1048">
        <f>'FC-9_TRANS_SUBV'!J114</f>
        <v>2211511.52</v>
      </c>
      <c r="G28" s="1135"/>
      <c r="H28" s="1032">
        <f>SUM(E28:G28)</f>
        <v>2211511.52</v>
      </c>
      <c r="I28" s="1033"/>
      <c r="K28" s="1149"/>
      <c r="L28" s="1035"/>
    </row>
    <row r="29" spans="2:12" s="1034" customFormat="1" ht="18" hidden="1">
      <c r="B29" s="1014"/>
      <c r="C29" s="1144"/>
      <c r="D29" s="1153"/>
      <c r="E29" s="1031"/>
      <c r="F29" s="1031"/>
      <c r="G29" s="1135"/>
      <c r="H29" s="1032">
        <f>SUM(E29:G29)</f>
        <v>0</v>
      </c>
      <c r="I29" s="1033"/>
      <c r="K29" s="1149"/>
      <c r="L29" s="1035"/>
    </row>
    <row r="30" spans="2:12" s="1034" customFormat="1" ht="18" hidden="1">
      <c r="B30" s="1014"/>
      <c r="C30" s="1146"/>
      <c r="D30" s="1154"/>
      <c r="E30" s="1031"/>
      <c r="F30" s="1031"/>
      <c r="G30" s="1136"/>
      <c r="H30" s="1032">
        <f>SUM(E30:G30)</f>
        <v>0</v>
      </c>
      <c r="I30" s="1033"/>
      <c r="K30" s="1149"/>
    </row>
    <row r="31" spans="2:12" s="1027" customFormat="1" ht="18">
      <c r="B31" s="1021"/>
      <c r="C31" s="1022" t="s">
        <v>209</v>
      </c>
      <c r="D31" s="1023" t="s">
        <v>559</v>
      </c>
      <c r="E31" s="1024">
        <f>SUM(E32:E38)</f>
        <v>3000</v>
      </c>
      <c r="F31" s="1024">
        <f>SUM(F32:F38)</f>
        <v>0</v>
      </c>
      <c r="G31" s="1024">
        <f>SUM(G32:G38)</f>
        <v>0</v>
      </c>
      <c r="H31" s="1024">
        <f>SUM(H32:H38)</f>
        <v>3000</v>
      </c>
      <c r="I31" s="1026"/>
      <c r="K31" s="1149"/>
    </row>
    <row r="32" spans="2:12" s="1034" customFormat="1" ht="18" hidden="1">
      <c r="B32" s="1014"/>
      <c r="C32" s="1036" t="s">
        <v>46</v>
      </c>
      <c r="D32" s="1037" t="s">
        <v>779</v>
      </c>
      <c r="E32" s="1038">
        <f>'FC-3_1_INF_ADIC_CPyG'!G75</f>
        <v>0</v>
      </c>
      <c r="F32" s="1031"/>
      <c r="G32" s="1137"/>
      <c r="H32" s="1032">
        <f>SUM(E32:G32)</f>
        <v>0</v>
      </c>
      <c r="I32" s="1033"/>
      <c r="K32" s="1149"/>
    </row>
    <row r="33" spans="2:12" s="1041" customFormat="1" ht="18" hidden="1">
      <c r="B33" s="1039"/>
      <c r="C33" s="1028" t="s">
        <v>40</v>
      </c>
      <c r="D33" s="1029" t="s">
        <v>780</v>
      </c>
      <c r="E33" s="1030">
        <f>'FC-3_CPyG'!G63</f>
        <v>0</v>
      </c>
      <c r="F33" s="1031"/>
      <c r="G33" s="1135"/>
      <c r="H33" s="1032">
        <f t="shared" ref="H33:H38" si="1">SUM(E33:G33)</f>
        <v>0</v>
      </c>
      <c r="I33" s="1040"/>
      <c r="K33" s="1149"/>
    </row>
    <row r="34" spans="2:12" s="1041" customFormat="1" ht="18" hidden="1">
      <c r="B34" s="1039"/>
      <c r="C34" s="1028" t="s">
        <v>40</v>
      </c>
      <c r="D34" s="1029" t="s">
        <v>781</v>
      </c>
      <c r="E34" s="1030">
        <f>'FC-3_CPyG'!G66</f>
        <v>3000</v>
      </c>
      <c r="F34" s="1031"/>
      <c r="G34" s="1135"/>
      <c r="H34" s="1032">
        <f t="shared" si="1"/>
        <v>3000</v>
      </c>
      <c r="I34" s="1040"/>
      <c r="K34" s="1149"/>
    </row>
    <row r="35" spans="2:12" s="1041" customFormat="1" ht="18" hidden="1">
      <c r="B35" s="1039"/>
      <c r="C35" s="1028" t="s">
        <v>40</v>
      </c>
      <c r="D35" s="1029" t="s">
        <v>782</v>
      </c>
      <c r="E35" s="1030">
        <f>'FC-3_CPyG'!G83</f>
        <v>0</v>
      </c>
      <c r="F35" s="1031"/>
      <c r="G35" s="1135"/>
      <c r="H35" s="1032">
        <f t="shared" si="1"/>
        <v>0</v>
      </c>
      <c r="I35" s="1040"/>
      <c r="K35" s="1149"/>
    </row>
    <row r="36" spans="2:12" s="1041" customFormat="1" ht="18" hidden="1">
      <c r="B36" s="1039"/>
      <c r="C36" s="1028" t="s">
        <v>40</v>
      </c>
      <c r="D36" s="1029" t="s">
        <v>783</v>
      </c>
      <c r="E36" s="1030">
        <f>+'FC-3_CPyG'!G84</f>
        <v>0</v>
      </c>
      <c r="F36" s="1031"/>
      <c r="G36" s="1135"/>
      <c r="H36" s="1032">
        <f t="shared" si="1"/>
        <v>0</v>
      </c>
      <c r="I36" s="1040"/>
      <c r="K36" s="1149"/>
    </row>
    <row r="37" spans="2:12" s="1041" customFormat="1" ht="18" hidden="1">
      <c r="B37" s="1039"/>
      <c r="C37" s="1144"/>
      <c r="D37" s="1153"/>
      <c r="E37" s="1031"/>
      <c r="F37" s="1031"/>
      <c r="G37" s="1135"/>
      <c r="H37" s="1032">
        <f t="shared" si="1"/>
        <v>0</v>
      </c>
      <c r="I37" s="1040"/>
      <c r="K37" s="1149"/>
    </row>
    <row r="38" spans="2:12" s="1041" customFormat="1" ht="18">
      <c r="B38" s="1039"/>
      <c r="C38" s="1146"/>
      <c r="D38" s="1155"/>
      <c r="E38" s="1031"/>
      <c r="F38" s="1031"/>
      <c r="G38" s="1136"/>
      <c r="H38" s="1032">
        <f t="shared" si="1"/>
        <v>0</v>
      </c>
      <c r="I38" s="1040"/>
      <c r="K38" s="1149"/>
    </row>
    <row r="39" spans="2:12" s="1045" customFormat="1" ht="18">
      <c r="B39" s="1042"/>
      <c r="C39" s="1677" t="s">
        <v>560</v>
      </c>
      <c r="D39" s="1678"/>
      <c r="E39" s="1043">
        <f>E16+E17+E18+E26+E31</f>
        <v>13326007.110000001</v>
      </c>
      <c r="F39" s="1043">
        <f>F16+F17+F18+F26+F31</f>
        <v>2211511.52</v>
      </c>
      <c r="G39" s="1043">
        <f>G16+G17+G18+G26+G31</f>
        <v>0</v>
      </c>
      <c r="H39" s="1043">
        <f>H16+H17+H18+H26+H31</f>
        <v>15537518.630000001</v>
      </c>
      <c r="I39" s="1044"/>
      <c r="K39" s="1149"/>
    </row>
    <row r="40" spans="2:12" s="1009" customFormat="1" ht="15.75">
      <c r="B40" s="1006"/>
      <c r="C40" s="948"/>
      <c r="D40" s="1015"/>
      <c r="E40" s="997"/>
      <c r="F40" s="997"/>
      <c r="G40" s="997"/>
      <c r="H40" s="1046"/>
      <c r="I40" s="1008"/>
      <c r="K40" s="1150"/>
    </row>
    <row r="41" spans="2:12" s="1041" customFormat="1" ht="18">
      <c r="B41" s="1039"/>
      <c r="C41" s="1022" t="s">
        <v>212</v>
      </c>
      <c r="D41" s="1023" t="s">
        <v>561</v>
      </c>
      <c r="E41" s="1024">
        <f>SUM(E42:E44)</f>
        <v>0</v>
      </c>
      <c r="F41" s="1024">
        <f>SUM(F42:F44)</f>
        <v>0</v>
      </c>
      <c r="G41" s="1024">
        <f>SUM(G42:G44)</f>
        <v>0</v>
      </c>
      <c r="H41" s="1024">
        <f>SUM(H42:H44)</f>
        <v>0</v>
      </c>
      <c r="I41" s="1040"/>
      <c r="K41" s="1149"/>
    </row>
    <row r="42" spans="2:12" s="1034" customFormat="1" ht="18" hidden="1">
      <c r="B42" s="1014"/>
      <c r="C42" s="1028" t="s">
        <v>49</v>
      </c>
      <c r="D42" s="1047" t="s">
        <v>784</v>
      </c>
      <c r="E42" s="1031"/>
      <c r="F42" s="1048">
        <f>'FC-7_INF'!K31</f>
        <v>0</v>
      </c>
      <c r="G42" s="1137"/>
      <c r="H42" s="1032">
        <f>SUM(E42:G42)</f>
        <v>0</v>
      </c>
      <c r="I42" s="1033"/>
      <c r="K42" s="1149"/>
      <c r="L42" s="1049" t="s">
        <v>785</v>
      </c>
    </row>
    <row r="43" spans="2:12" s="1034" customFormat="1" ht="18" hidden="1">
      <c r="B43" s="1014"/>
      <c r="C43" s="1144"/>
      <c r="D43" s="1145"/>
      <c r="E43" s="1031"/>
      <c r="F43" s="1031"/>
      <c r="G43" s="1135"/>
      <c r="H43" s="1032">
        <f>SUM(E43:G43)</f>
        <v>0</v>
      </c>
      <c r="I43" s="1033"/>
      <c r="K43" s="1149"/>
      <c r="L43" s="1041"/>
    </row>
    <row r="44" spans="2:12" s="1034" customFormat="1" ht="18" hidden="1">
      <c r="B44" s="1014"/>
      <c r="C44" s="1146"/>
      <c r="D44" s="1145"/>
      <c r="E44" s="1031"/>
      <c r="F44" s="1031"/>
      <c r="G44" s="1136"/>
      <c r="H44" s="1032">
        <f>SUM(E44:G44)</f>
        <v>0</v>
      </c>
      <c r="I44" s="1033"/>
      <c r="K44" s="1149"/>
      <c r="L44" s="1041"/>
    </row>
    <row r="45" spans="2:12" s="1041" customFormat="1" ht="18">
      <c r="B45" s="1039"/>
      <c r="C45" s="1022" t="s">
        <v>214</v>
      </c>
      <c r="D45" s="1023" t="s">
        <v>562</v>
      </c>
      <c r="E45" s="1024">
        <f>SUM(E46:E49)</f>
        <v>0</v>
      </c>
      <c r="F45" s="1024">
        <f>SUM(F46:F49)</f>
        <v>0</v>
      </c>
      <c r="G45" s="1024">
        <f>SUM(G46:G49)</f>
        <v>0</v>
      </c>
      <c r="H45" s="1024">
        <f>SUM(H46:H49)</f>
        <v>0</v>
      </c>
      <c r="I45" s="1040"/>
      <c r="K45" s="1149"/>
    </row>
    <row r="46" spans="2:12" s="1053" customFormat="1" ht="18" hidden="1">
      <c r="B46" s="1050"/>
      <c r="C46" s="1028" t="s">
        <v>53</v>
      </c>
      <c r="D46" s="1047" t="s">
        <v>850</v>
      </c>
      <c r="E46" s="1051"/>
      <c r="F46" s="1048">
        <f>'FC-9_TRANS_SUBV'!J44</f>
        <v>0</v>
      </c>
      <c r="G46" s="916"/>
      <c r="H46" s="1032">
        <f>SUM(E46:G46)</f>
        <v>0</v>
      </c>
      <c r="I46" s="1052"/>
      <c r="K46" s="1149"/>
    </row>
    <row r="47" spans="2:12" s="1041" customFormat="1" ht="18" hidden="1">
      <c r="B47" s="1039"/>
      <c r="C47" s="1028" t="s">
        <v>929</v>
      </c>
      <c r="D47" s="1047" t="s">
        <v>930</v>
      </c>
      <c r="E47" s="1051"/>
      <c r="F47" s="1048">
        <f>'FC-4_1_MOV_FP'!F38</f>
        <v>0</v>
      </c>
      <c r="G47" s="916"/>
      <c r="H47" s="1032">
        <f>SUM(E47:G47)</f>
        <v>0</v>
      </c>
      <c r="I47" s="1040"/>
      <c r="K47" s="1149"/>
    </row>
    <row r="48" spans="2:12" s="1041" customFormat="1" ht="18" hidden="1">
      <c r="B48" s="1039"/>
      <c r="C48" s="1144" t="s">
        <v>55</v>
      </c>
      <c r="D48" s="1047" t="s">
        <v>1019</v>
      </c>
      <c r="E48" s="1031"/>
      <c r="F48" s="1048">
        <f>-'FC-10_DEUDAS'!O75</f>
        <v>0</v>
      </c>
      <c r="G48" s="1135"/>
      <c r="H48" s="1032">
        <f>SUM(E48:G48)</f>
        <v>0</v>
      </c>
      <c r="I48" s="1040"/>
      <c r="K48" s="1149"/>
      <c r="L48" s="1035"/>
    </row>
    <row r="49" spans="2:13" s="1041" customFormat="1" ht="18">
      <c r="B49" s="1039"/>
      <c r="C49" s="1146"/>
      <c r="D49" s="1155"/>
      <c r="E49" s="1031"/>
      <c r="F49" s="1031"/>
      <c r="G49" s="1136"/>
      <c r="H49" s="1032">
        <f>SUM(E49:G49)</f>
        <v>0</v>
      </c>
      <c r="I49" s="1040"/>
      <c r="K49" s="1149"/>
      <c r="L49" s="1035"/>
    </row>
    <row r="50" spans="2:13" s="1056" customFormat="1" ht="18">
      <c r="B50" s="1054"/>
      <c r="C50" s="1669" t="s">
        <v>563</v>
      </c>
      <c r="D50" s="1670"/>
      <c r="E50" s="1017">
        <f>E41+E45</f>
        <v>0</v>
      </c>
      <c r="F50" s="1017">
        <f>F41+F45</f>
        <v>0</v>
      </c>
      <c r="G50" s="1017">
        <f t="shared" ref="G50:H50" si="2">G41+G45</f>
        <v>0</v>
      </c>
      <c r="H50" s="1017">
        <f t="shared" si="2"/>
        <v>0</v>
      </c>
      <c r="I50" s="1055"/>
      <c r="K50" s="1149"/>
    </row>
    <row r="51" spans="2:13" s="1009" customFormat="1" ht="15.75">
      <c r="B51" s="1006"/>
      <c r="C51" s="948"/>
      <c r="D51" s="1015"/>
      <c r="E51" s="997"/>
      <c r="F51" s="997"/>
      <c r="G51" s="997"/>
      <c r="H51" s="1046"/>
      <c r="I51" s="1008"/>
      <c r="K51" s="1150"/>
    </row>
    <row r="52" spans="2:13" s="1041" customFormat="1" ht="18">
      <c r="B52" s="1039"/>
      <c r="C52" s="1057" t="s">
        <v>265</v>
      </c>
      <c r="D52" s="668" t="s">
        <v>564</v>
      </c>
      <c r="E52" s="1058">
        <f>SUM(E53:E58)</f>
        <v>0</v>
      </c>
      <c r="F52" s="1058">
        <f>SUM(F53:F58)</f>
        <v>0</v>
      </c>
      <c r="G52" s="1058">
        <f>SUM(G53:G58)</f>
        <v>0</v>
      </c>
      <c r="H52" s="1058">
        <f>SUM(H53:H58)</f>
        <v>0</v>
      </c>
      <c r="I52" s="1040"/>
      <c r="K52" s="1149"/>
    </row>
    <row r="53" spans="2:13" s="1034" customFormat="1" ht="18" hidden="1">
      <c r="B53" s="1014"/>
      <c r="C53" s="1028" t="s">
        <v>51</v>
      </c>
      <c r="D53" s="1047" t="s">
        <v>786</v>
      </c>
      <c r="E53" s="1059"/>
      <c r="F53" s="1048">
        <f>-'FC-8_INV_FINANCIERAS'!H25</f>
        <v>0</v>
      </c>
      <c r="G53" s="916"/>
      <c r="H53" s="1032">
        <f>SUM(E53:G53)</f>
        <v>0</v>
      </c>
      <c r="I53" s="1033"/>
      <c r="K53" s="1149"/>
      <c r="L53" s="1049" t="s">
        <v>785</v>
      </c>
      <c r="M53" s="1053"/>
    </row>
    <row r="54" spans="2:13" s="1053" customFormat="1" ht="18" hidden="1">
      <c r="B54" s="1050"/>
      <c r="C54" s="1028" t="s">
        <v>51</v>
      </c>
      <c r="D54" s="1047" t="s">
        <v>787</v>
      </c>
      <c r="E54" s="1051"/>
      <c r="F54" s="1048">
        <f>-'FC-8_INV_FINANCIERAS'!H34</f>
        <v>0</v>
      </c>
      <c r="G54" s="1138"/>
      <c r="H54" s="1032">
        <f t="shared" ref="H54:H65" si="3">SUM(E54:G54)</f>
        <v>0</v>
      </c>
      <c r="I54" s="1052"/>
      <c r="K54" s="1149"/>
      <c r="L54" s="1049" t="s">
        <v>785</v>
      </c>
    </row>
    <row r="55" spans="2:13" s="1053" customFormat="1" ht="18" hidden="1">
      <c r="B55" s="1050"/>
      <c r="C55" s="1028" t="s">
        <v>51</v>
      </c>
      <c r="D55" s="1047" t="s">
        <v>788</v>
      </c>
      <c r="E55" s="1051"/>
      <c r="F55" s="1048">
        <f>-'FC-8_INV_FINANCIERAS'!H49</f>
        <v>0</v>
      </c>
      <c r="G55" s="917"/>
      <c r="H55" s="1032">
        <f t="shared" si="3"/>
        <v>0</v>
      </c>
      <c r="I55" s="1052"/>
      <c r="K55" s="1149"/>
      <c r="L55" s="1049" t="s">
        <v>785</v>
      </c>
    </row>
    <row r="56" spans="2:13" s="1053" customFormat="1" ht="18" hidden="1">
      <c r="B56" s="1050"/>
      <c r="C56" s="1028" t="s">
        <v>51</v>
      </c>
      <c r="D56" s="1047" t="s">
        <v>789</v>
      </c>
      <c r="E56" s="1051"/>
      <c r="F56" s="1048">
        <f>-'FC-8_INV_FINANCIERAS'!H58</f>
        <v>0</v>
      </c>
      <c r="G56" s="917"/>
      <c r="H56" s="1032">
        <f t="shared" si="3"/>
        <v>0</v>
      </c>
      <c r="I56" s="1052"/>
      <c r="K56" s="1149"/>
      <c r="L56" s="1049" t="s">
        <v>785</v>
      </c>
    </row>
    <row r="57" spans="2:13" s="1053" customFormat="1" ht="18" hidden="1">
      <c r="B57" s="1050"/>
      <c r="C57" s="1144"/>
      <c r="D57" s="1153"/>
      <c r="E57" s="1031"/>
      <c r="F57" s="1031"/>
      <c r="G57" s="1135"/>
      <c r="H57" s="1032">
        <f t="shared" si="3"/>
        <v>0</v>
      </c>
      <c r="I57" s="1052"/>
      <c r="K57" s="1149"/>
      <c r="L57" s="1061"/>
    </row>
    <row r="58" spans="2:13" s="1053" customFormat="1" ht="18" hidden="1">
      <c r="B58" s="1050"/>
      <c r="C58" s="1146"/>
      <c r="D58" s="1155"/>
      <c r="E58" s="1031"/>
      <c r="F58" s="1031"/>
      <c r="G58" s="1136"/>
      <c r="H58" s="1032">
        <f>SUM(E58:G58)</f>
        <v>0</v>
      </c>
      <c r="I58" s="1052"/>
      <c r="K58" s="1149"/>
      <c r="L58" s="1061"/>
    </row>
    <row r="59" spans="2:13" s="1041" customFormat="1" ht="18">
      <c r="B59" s="1039"/>
      <c r="C59" s="1062" t="s">
        <v>267</v>
      </c>
      <c r="D59" s="1063" t="s">
        <v>565</v>
      </c>
      <c r="E59" s="1064">
        <f>SUM(E60:E67)</f>
        <v>0</v>
      </c>
      <c r="F59" s="1064">
        <f>SUM(F60:F67)</f>
        <v>0</v>
      </c>
      <c r="G59" s="1064">
        <f>SUM(G60:G67)</f>
        <v>0</v>
      </c>
      <c r="H59" s="1064">
        <f>SUM(H60:H67)</f>
        <v>0</v>
      </c>
      <c r="I59" s="1040"/>
      <c r="K59" s="1149"/>
    </row>
    <row r="60" spans="2:13" s="1053" customFormat="1" ht="18" hidden="1">
      <c r="B60" s="1050"/>
      <c r="C60" s="1028" t="s">
        <v>55</v>
      </c>
      <c r="D60" s="1047" t="s">
        <v>851</v>
      </c>
      <c r="E60" s="1051"/>
      <c r="F60" s="1048">
        <f>'FC-10_DEUDAS'!M43</f>
        <v>0</v>
      </c>
      <c r="G60" s="1139"/>
      <c r="H60" s="1032">
        <f t="shared" si="3"/>
        <v>0</v>
      </c>
      <c r="I60" s="1052"/>
      <c r="K60" s="1149"/>
    </row>
    <row r="61" spans="2:13" s="1053" customFormat="1" ht="18" hidden="1">
      <c r="B61" s="1050"/>
      <c r="C61" s="1028"/>
      <c r="D61" s="1047" t="s">
        <v>857</v>
      </c>
      <c r="E61" s="1051"/>
      <c r="F61" s="1066"/>
      <c r="G61" s="1139"/>
      <c r="H61" s="1032">
        <f t="shared" si="3"/>
        <v>0</v>
      </c>
      <c r="I61" s="1052"/>
      <c r="K61" s="1149"/>
      <c r="L61" s="1035" t="s">
        <v>901</v>
      </c>
    </row>
    <row r="62" spans="2:13" s="1053" customFormat="1" ht="18" hidden="1">
      <c r="B62" s="1050"/>
      <c r="C62" s="1028"/>
      <c r="D62" s="1047" t="s">
        <v>790</v>
      </c>
      <c r="E62" s="1051"/>
      <c r="F62" s="1067"/>
      <c r="G62" s="917"/>
      <c r="H62" s="1032">
        <f t="shared" si="3"/>
        <v>0</v>
      </c>
      <c r="I62" s="1052"/>
      <c r="K62" s="1149"/>
      <c r="L62" s="1035" t="s">
        <v>901</v>
      </c>
    </row>
    <row r="63" spans="2:13" s="1053" customFormat="1" ht="18" hidden="1">
      <c r="B63" s="1050"/>
      <c r="C63" s="1028" t="s">
        <v>55</v>
      </c>
      <c r="D63" s="1047" t="s">
        <v>791</v>
      </c>
      <c r="E63" s="1051"/>
      <c r="F63" s="1048">
        <f>'FC-10_DEUDAS'!M106</f>
        <v>0</v>
      </c>
      <c r="G63" s="1139"/>
      <c r="H63" s="1032">
        <f t="shared" si="3"/>
        <v>0</v>
      </c>
      <c r="I63" s="1052"/>
      <c r="K63" s="1149"/>
    </row>
    <row r="64" spans="2:13" s="1053" customFormat="1" ht="18" hidden="1">
      <c r="B64" s="1050"/>
      <c r="C64" s="1028" t="s">
        <v>55</v>
      </c>
      <c r="D64" s="1047" t="s">
        <v>792</v>
      </c>
      <c r="E64" s="1051"/>
      <c r="F64" s="1048">
        <f>'FC-10_DEUDAS'!M138</f>
        <v>0</v>
      </c>
      <c r="G64" s="917"/>
      <c r="H64" s="1032">
        <f t="shared" si="3"/>
        <v>0</v>
      </c>
      <c r="I64" s="1052"/>
      <c r="K64" s="1149"/>
    </row>
    <row r="65" spans="2:12" s="1053" customFormat="1" ht="18" hidden="1">
      <c r="B65" s="1050"/>
      <c r="C65" s="1028"/>
      <c r="D65" s="1047" t="s">
        <v>793</v>
      </c>
      <c r="E65" s="1051"/>
      <c r="F65" s="1067"/>
      <c r="G65" s="917"/>
      <c r="H65" s="1032">
        <f t="shared" si="3"/>
        <v>0</v>
      </c>
      <c r="I65" s="1052"/>
      <c r="K65" s="1149"/>
      <c r="L65" s="1035" t="s">
        <v>901</v>
      </c>
    </row>
    <row r="66" spans="2:12" s="1053" customFormat="1" ht="18" hidden="1">
      <c r="B66" s="1050"/>
      <c r="C66" s="1144"/>
      <c r="D66" s="1153"/>
      <c r="E66" s="1031"/>
      <c r="F66" s="1031"/>
      <c r="G66" s="1135"/>
      <c r="H66" s="1032">
        <f>SUM(E66:G66)</f>
        <v>0</v>
      </c>
      <c r="I66" s="1052"/>
      <c r="K66" s="1149"/>
      <c r="L66" s="1035"/>
    </row>
    <row r="67" spans="2:12" s="1053" customFormat="1" ht="18">
      <c r="B67" s="1050"/>
      <c r="C67" s="1146"/>
      <c r="D67" s="1155"/>
      <c r="E67" s="1031"/>
      <c r="F67" s="1031"/>
      <c r="G67" s="1136"/>
      <c r="H67" s="1032">
        <f>SUM(E67:G67)</f>
        <v>0</v>
      </c>
      <c r="I67" s="1052"/>
      <c r="K67" s="1149"/>
      <c r="L67" s="1035"/>
    </row>
    <row r="68" spans="2:12" s="1068" customFormat="1" ht="18">
      <c r="B68" s="1010"/>
      <c r="C68" s="1669" t="s">
        <v>566</v>
      </c>
      <c r="D68" s="1670"/>
      <c r="E68" s="1017">
        <f>E52+E59</f>
        <v>0</v>
      </c>
      <c r="F68" s="1017">
        <f>F52+F59</f>
        <v>0</v>
      </c>
      <c r="G68" s="1017">
        <f>G52+G59</f>
        <v>0</v>
      </c>
      <c r="H68" s="1017">
        <f>H52+H59</f>
        <v>0</v>
      </c>
      <c r="I68" s="1012"/>
      <c r="K68" s="1149"/>
    </row>
    <row r="69" spans="2:12" s="1009" customFormat="1" ht="15">
      <c r="B69" s="1006"/>
      <c r="C69" s="1015"/>
      <c r="D69" s="996"/>
      <c r="E69" s="997"/>
      <c r="F69" s="997"/>
      <c r="G69" s="997"/>
      <c r="H69" s="1069"/>
      <c r="I69" s="1008"/>
      <c r="K69" s="1150"/>
    </row>
    <row r="70" spans="2:12" s="1073" customFormat="1" ht="21" thickBot="1">
      <c r="B70" s="1070"/>
      <c r="C70" s="1671" t="s">
        <v>794</v>
      </c>
      <c r="D70" s="1672"/>
      <c r="E70" s="1071">
        <f>E68+E50+E39</f>
        <v>13326007.110000001</v>
      </c>
      <c r="F70" s="1071">
        <f>F68+F50+F39</f>
        <v>2211511.52</v>
      </c>
      <c r="G70" s="1071">
        <f>G68+G50+G39</f>
        <v>0</v>
      </c>
      <c r="H70" s="1071">
        <f>H68+H50+H39</f>
        <v>15537518.630000001</v>
      </c>
      <c r="I70" s="1072"/>
      <c r="K70" s="1149"/>
    </row>
    <row r="71" spans="2:12" s="1009" customFormat="1" ht="15.75">
      <c r="B71" s="1006"/>
      <c r="C71" s="948"/>
      <c r="D71" s="1015"/>
      <c r="E71" s="997"/>
      <c r="F71" s="997"/>
      <c r="G71" s="997"/>
      <c r="H71" s="1046"/>
      <c r="I71" s="1008"/>
      <c r="K71" s="1150"/>
    </row>
    <row r="72" spans="2:12" s="1009" customFormat="1" ht="18">
      <c r="B72" s="1006"/>
      <c r="C72" s="1673" t="s">
        <v>568</v>
      </c>
      <c r="D72" s="1674"/>
      <c r="E72" s="1074">
        <f>SUM(E73:E81)</f>
        <v>5824.53</v>
      </c>
      <c r="F72" s="1074">
        <f>SUM(F73:F81)</f>
        <v>0</v>
      </c>
      <c r="G72" s="1074">
        <f>SUM(G73:G81)</f>
        <v>0</v>
      </c>
      <c r="H72" s="1074">
        <f>SUM(H73:H81)</f>
        <v>5824.53</v>
      </c>
      <c r="I72" s="1008"/>
      <c r="K72" s="1149"/>
    </row>
    <row r="73" spans="2:12" s="1041" customFormat="1" ht="18" hidden="1">
      <c r="B73" s="1039"/>
      <c r="C73" s="1028" t="s">
        <v>40</v>
      </c>
      <c r="D73" s="1029" t="s">
        <v>795</v>
      </c>
      <c r="E73" s="1030">
        <f>IF('FC-3_CPyG'!G20&gt;0,'FC-3_CPyG'!G20,0)</f>
        <v>0</v>
      </c>
      <c r="F73" s="1031"/>
      <c r="G73" s="1031"/>
      <c r="H73" s="1032">
        <f t="shared" ref="H73:H81" si="4">F73+E73</f>
        <v>0</v>
      </c>
      <c r="I73" s="1040"/>
      <c r="K73" s="1149"/>
      <c r="L73" s="1035" t="s">
        <v>796</v>
      </c>
    </row>
    <row r="74" spans="2:12" s="1041" customFormat="1" ht="18" hidden="1">
      <c r="B74" s="1039"/>
      <c r="C74" s="1028" t="s">
        <v>40</v>
      </c>
      <c r="D74" s="1029" t="s">
        <v>797</v>
      </c>
      <c r="E74" s="1030">
        <f>'FC-3_CPyG'!G21</f>
        <v>0</v>
      </c>
      <c r="F74" s="1031"/>
      <c r="G74" s="1031"/>
      <c r="H74" s="1032">
        <f t="shared" si="4"/>
        <v>0</v>
      </c>
      <c r="I74" s="1040"/>
      <c r="K74" s="1149"/>
      <c r="L74" s="1035" t="s">
        <v>798</v>
      </c>
    </row>
    <row r="75" spans="2:12" s="1041" customFormat="1" ht="18" hidden="1">
      <c r="B75" s="1039"/>
      <c r="C75" s="1028" t="s">
        <v>40</v>
      </c>
      <c r="D75" s="1029" t="s">
        <v>799</v>
      </c>
      <c r="E75" s="1030">
        <f>'FC-3_CPyG'!G44</f>
        <v>5824.53</v>
      </c>
      <c r="F75" s="1031"/>
      <c r="G75" s="1031"/>
      <c r="H75" s="1032">
        <f t="shared" si="4"/>
        <v>5824.53</v>
      </c>
      <c r="I75" s="1040"/>
      <c r="K75" s="1149"/>
    </row>
    <row r="76" spans="2:12" s="1041" customFormat="1" ht="18" hidden="1">
      <c r="B76" s="1039"/>
      <c r="C76" s="1028" t="s">
        <v>40</v>
      </c>
      <c r="D76" s="1029" t="s">
        <v>800</v>
      </c>
      <c r="E76" s="1030">
        <f>'FC-3_CPyG'!G45</f>
        <v>0</v>
      </c>
      <c r="F76" s="1031"/>
      <c r="G76" s="1031"/>
      <c r="H76" s="1032">
        <f t="shared" si="4"/>
        <v>0</v>
      </c>
      <c r="I76" s="1040"/>
      <c r="K76" s="1149"/>
    </row>
    <row r="77" spans="2:12" s="1041" customFormat="1" ht="18" hidden="1">
      <c r="B77" s="1039"/>
      <c r="C77" s="1028" t="s">
        <v>40</v>
      </c>
      <c r="D77" s="1029" t="s">
        <v>801</v>
      </c>
      <c r="E77" s="1030">
        <f>IF('FC-3_CPyG'!G51&gt;0,'FC-3_CPyG'!G51,0)</f>
        <v>0</v>
      </c>
      <c r="F77" s="1031"/>
      <c r="G77" s="1031"/>
      <c r="H77" s="1032">
        <f t="shared" si="4"/>
        <v>0</v>
      </c>
      <c r="I77" s="1040"/>
      <c r="K77" s="1149"/>
    </row>
    <row r="78" spans="2:12" s="1041" customFormat="1" ht="18" hidden="1">
      <c r="B78" s="1039"/>
      <c r="C78" s="1028" t="s">
        <v>40</v>
      </c>
      <c r="D78" s="1029" t="s">
        <v>802</v>
      </c>
      <c r="E78" s="1030">
        <f>IF('FC-3_CPyG'!G55&gt;0,'FC-3_CPyG'!G55,0)</f>
        <v>0</v>
      </c>
      <c r="F78" s="1031"/>
      <c r="G78" s="1031"/>
      <c r="H78" s="1032">
        <f t="shared" si="4"/>
        <v>0</v>
      </c>
      <c r="I78" s="1040"/>
      <c r="K78" s="1149"/>
    </row>
    <row r="79" spans="2:12" s="1041" customFormat="1" ht="18" hidden="1">
      <c r="B79" s="1039"/>
      <c r="C79" s="1028" t="s">
        <v>46</v>
      </c>
      <c r="D79" s="1029" t="s">
        <v>964</v>
      </c>
      <c r="E79" s="1030">
        <f>'FC-3_1_INF_ADIC_CPyG'!G52</f>
        <v>0</v>
      </c>
      <c r="F79" s="1031"/>
      <c r="G79" s="1031"/>
      <c r="H79" s="1032">
        <f t="shared" si="4"/>
        <v>0</v>
      </c>
      <c r="I79" s="1040"/>
      <c r="K79" s="1149"/>
    </row>
    <row r="80" spans="2:12" s="1041" customFormat="1" ht="18" hidden="1">
      <c r="B80" s="1039"/>
      <c r="C80" s="1028" t="s">
        <v>40</v>
      </c>
      <c r="D80" s="1029" t="s">
        <v>803</v>
      </c>
      <c r="E80" s="1030">
        <f>'FC-3_CPyG'!G69</f>
        <v>0</v>
      </c>
      <c r="F80" s="1031"/>
      <c r="G80" s="1031"/>
      <c r="H80" s="1032">
        <f t="shared" si="4"/>
        <v>0</v>
      </c>
      <c r="I80" s="1040"/>
      <c r="K80" s="1149"/>
    </row>
    <row r="81" spans="2:12" s="1041" customFormat="1" ht="18" hidden="1">
      <c r="B81" s="1039"/>
      <c r="C81" s="1028" t="s">
        <v>40</v>
      </c>
      <c r="D81" s="1029" t="s">
        <v>804</v>
      </c>
      <c r="E81" s="1030">
        <f>'FC-3_CPyG'!G74</f>
        <v>0</v>
      </c>
      <c r="F81" s="1031"/>
      <c r="G81" s="1031"/>
      <c r="H81" s="1032">
        <f t="shared" si="4"/>
        <v>0</v>
      </c>
      <c r="I81" s="1040"/>
      <c r="K81" s="1149"/>
    </row>
    <row r="82" spans="2:12" s="1041" customFormat="1" ht="15.75">
      <c r="B82" s="1039"/>
      <c r="C82" s="1075"/>
      <c r="D82" s="1075"/>
      <c r="E82" s="1075"/>
      <c r="F82" s="1075"/>
      <c r="G82" s="1075"/>
      <c r="H82" s="1075"/>
      <c r="I82" s="1040"/>
      <c r="K82" s="1151"/>
    </row>
    <row r="83" spans="2:12" s="1080" customFormat="1" ht="18.75" thickBot="1">
      <c r="B83" s="1076"/>
      <c r="C83" s="1667" t="s">
        <v>805</v>
      </c>
      <c r="D83" s="1668"/>
      <c r="E83" s="1077">
        <f>E70+E72</f>
        <v>13331831.640000001</v>
      </c>
      <c r="F83" s="1077">
        <f t="shared" ref="F83:H83" si="5">F70+F72</f>
        <v>2211511.52</v>
      </c>
      <c r="G83" s="1077">
        <f t="shared" si="5"/>
        <v>0</v>
      </c>
      <c r="H83" s="1077">
        <f t="shared" si="5"/>
        <v>15543343.16</v>
      </c>
      <c r="I83" s="1078"/>
      <c r="J83" s="1079"/>
      <c r="K83" s="1149"/>
    </row>
    <row r="84" spans="2:12" s="1009" customFormat="1" ht="18">
      <c r="B84" s="1006"/>
      <c r="C84" s="1081"/>
      <c r="D84" s="1081"/>
      <c r="E84" s="1082"/>
      <c r="F84" s="1082"/>
      <c r="G84" s="1082"/>
      <c r="H84" s="1083"/>
      <c r="I84" s="1008"/>
      <c r="K84" s="1150"/>
    </row>
    <row r="85" spans="2:12" s="1009" customFormat="1" ht="18">
      <c r="B85" s="1006"/>
      <c r="C85" s="1081"/>
      <c r="D85" s="1081"/>
      <c r="E85" s="1082"/>
      <c r="F85" s="1082"/>
      <c r="G85" s="1082"/>
      <c r="H85" s="1083"/>
      <c r="I85" s="1008"/>
      <c r="K85" s="1150"/>
    </row>
    <row r="86" spans="2:12" s="1019" customFormat="1" ht="23.25">
      <c r="B86" s="1016"/>
      <c r="C86" s="1675" t="s">
        <v>570</v>
      </c>
      <c r="D86" s="1676"/>
      <c r="E86" s="1084"/>
      <c r="F86" s="1084"/>
      <c r="G86" s="1084"/>
      <c r="H86" s="1085" t="s">
        <v>466</v>
      </c>
      <c r="I86" s="1018"/>
      <c r="K86" s="1149"/>
    </row>
    <row r="87" spans="2:12" ht="18">
      <c r="B87" s="1014"/>
      <c r="C87" s="1020"/>
      <c r="D87" s="1015"/>
      <c r="E87" s="997"/>
      <c r="F87" s="997"/>
      <c r="G87" s="997"/>
      <c r="H87" s="618"/>
      <c r="I87" s="1004"/>
      <c r="K87" s="1152"/>
    </row>
    <row r="88" spans="2:12" s="1027" customFormat="1" ht="39" customHeight="1">
      <c r="B88" s="1021"/>
      <c r="C88" s="1022" t="s">
        <v>182</v>
      </c>
      <c r="D88" s="1023" t="s">
        <v>571</v>
      </c>
      <c r="E88" s="1024">
        <f>SUM(E89:E92)</f>
        <v>2390470.23</v>
      </c>
      <c r="F88" s="1024">
        <f>SUM(F89:F92)</f>
        <v>0</v>
      </c>
      <c r="G88" s="1024">
        <f>SUM(G89:G92)</f>
        <v>0</v>
      </c>
      <c r="H88" s="1024">
        <f>SUM(H89:H92)</f>
        <v>2390470.23</v>
      </c>
      <c r="I88" s="1026"/>
      <c r="K88" s="1149"/>
    </row>
    <row r="89" spans="2:12" s="1009" customFormat="1" ht="39" hidden="1" customHeight="1">
      <c r="B89" s="1006"/>
      <c r="C89" s="1028" t="s">
        <v>40</v>
      </c>
      <c r="D89" s="1029" t="s">
        <v>806</v>
      </c>
      <c r="E89" s="1030">
        <f>-'FC-3_CPyG'!G30</f>
        <v>2390470.23</v>
      </c>
      <c r="F89" s="1031"/>
      <c r="G89" s="1031"/>
      <c r="H89" s="1032">
        <f>F89+E89</f>
        <v>2390470.23</v>
      </c>
      <c r="I89" s="1008"/>
      <c r="K89" s="1149"/>
    </row>
    <row r="90" spans="2:12" s="1009" customFormat="1" ht="39" hidden="1" customHeight="1">
      <c r="B90" s="1006"/>
      <c r="C90" s="1028" t="s">
        <v>40</v>
      </c>
      <c r="D90" s="1029" t="s">
        <v>807</v>
      </c>
      <c r="E90" s="1030">
        <f>'FC-3_CPyG'!G33</f>
        <v>0</v>
      </c>
      <c r="F90" s="1031"/>
      <c r="G90" s="1031"/>
      <c r="H90" s="1032">
        <f>F90+E90</f>
        <v>0</v>
      </c>
      <c r="I90" s="1008"/>
      <c r="K90" s="1149"/>
    </row>
    <row r="91" spans="2:12" s="1009" customFormat="1" ht="39" hidden="1" customHeight="1">
      <c r="B91" s="1006"/>
      <c r="C91" s="1144"/>
      <c r="D91" s="1153"/>
      <c r="E91" s="1031"/>
      <c r="F91" s="1031"/>
      <c r="G91" s="1135"/>
      <c r="H91" s="1032">
        <f>SUM(E91:G91)</f>
        <v>0</v>
      </c>
      <c r="I91" s="1008"/>
      <c r="K91" s="1149"/>
    </row>
    <row r="92" spans="2:12" s="1009" customFormat="1" ht="39" hidden="1" customHeight="1">
      <c r="B92" s="1006"/>
      <c r="C92" s="1146"/>
      <c r="D92" s="1154"/>
      <c r="E92" s="1031"/>
      <c r="F92" s="1031"/>
      <c r="G92" s="1136"/>
      <c r="H92" s="1032">
        <f>SUM(E92:G92)</f>
        <v>0</v>
      </c>
      <c r="I92" s="1008"/>
      <c r="K92" s="1149"/>
    </row>
    <row r="93" spans="2:12" s="1027" customFormat="1" ht="39" customHeight="1">
      <c r="B93" s="1021"/>
      <c r="C93" s="1086" t="s">
        <v>192</v>
      </c>
      <c r="D93" s="1087" t="s">
        <v>572</v>
      </c>
      <c r="E93" s="1088">
        <f>SUM(E94:E105)</f>
        <v>12903982.1</v>
      </c>
      <c r="F93" s="1088">
        <f t="shared" ref="F93" si="6">SUM(F94:F105)</f>
        <v>0</v>
      </c>
      <c r="G93" s="1088">
        <f>SUM(G94:G105)</f>
        <v>0</v>
      </c>
      <c r="H93" s="1088">
        <f>SUM(H94:H105)</f>
        <v>12903982.1</v>
      </c>
      <c r="I93" s="1026"/>
      <c r="K93" s="1149"/>
    </row>
    <row r="94" spans="2:12" s="1009" customFormat="1" ht="18" hidden="1">
      <c r="B94" s="1006"/>
      <c r="C94" s="1028" t="s">
        <v>808</v>
      </c>
      <c r="D94" s="1029" t="s">
        <v>809</v>
      </c>
      <c r="E94" s="1030">
        <f>-'FC-3_CPyG'!G22</f>
        <v>0</v>
      </c>
      <c r="F94" s="1031"/>
      <c r="G94" s="1031"/>
      <c r="H94" s="1032">
        <f>SUM(E94:G94)</f>
        <v>0</v>
      </c>
      <c r="I94" s="1008"/>
      <c r="K94" s="1149"/>
      <c r="L94" s="1035" t="s">
        <v>903</v>
      </c>
    </row>
    <row r="95" spans="2:12" s="1009" customFormat="1" ht="18" hidden="1">
      <c r="B95" s="1006"/>
      <c r="C95" s="1028" t="s">
        <v>40</v>
      </c>
      <c r="D95" s="1029" t="s">
        <v>810</v>
      </c>
      <c r="E95" s="1030">
        <f>-'FC-3_CPyG'!G26</f>
        <v>0</v>
      </c>
      <c r="F95" s="1031"/>
      <c r="G95" s="1031"/>
      <c r="H95" s="1032">
        <f t="shared" ref="H95:H110" si="7">SUM(E95:G95)</f>
        <v>0</v>
      </c>
      <c r="I95" s="1008"/>
      <c r="K95" s="1149"/>
    </row>
    <row r="96" spans="2:12" s="1009" customFormat="1" ht="18" hidden="1">
      <c r="B96" s="1006"/>
      <c r="C96" s="1028" t="s">
        <v>40</v>
      </c>
      <c r="D96" s="1029" t="s">
        <v>811</v>
      </c>
      <c r="E96" s="1030">
        <f>-'FC-3_CPyG'!G35</f>
        <v>12900982.1</v>
      </c>
      <c r="F96" s="1031"/>
      <c r="G96" s="1031"/>
      <c r="H96" s="1032">
        <f t="shared" si="7"/>
        <v>12900982.1</v>
      </c>
      <c r="I96" s="1008"/>
      <c r="K96" s="1149"/>
    </row>
    <row r="97" spans="2:12" s="1009" customFormat="1" ht="18" hidden="1">
      <c r="B97" s="1006"/>
      <c r="C97" s="1028" t="s">
        <v>40</v>
      </c>
      <c r="D97" s="1029" t="s">
        <v>812</v>
      </c>
      <c r="E97" s="1030">
        <f>-'FC-3_CPyG'!G36</f>
        <v>3000</v>
      </c>
      <c r="F97" s="1031"/>
      <c r="G97" s="1031"/>
      <c r="H97" s="1032">
        <f t="shared" si="7"/>
        <v>3000</v>
      </c>
      <c r="I97" s="1008"/>
      <c r="K97" s="1149"/>
    </row>
    <row r="98" spans="2:12" s="1009" customFormat="1" ht="18" hidden="1">
      <c r="B98" s="1006"/>
      <c r="C98" s="1028" t="s">
        <v>40</v>
      </c>
      <c r="D98" s="1029" t="s">
        <v>813</v>
      </c>
      <c r="E98" s="1030">
        <f>-'FC-3_CPyG'!G38</f>
        <v>0</v>
      </c>
      <c r="F98" s="1031"/>
      <c r="G98" s="1031"/>
      <c r="H98" s="1032">
        <f t="shared" si="7"/>
        <v>0</v>
      </c>
      <c r="I98" s="1008"/>
      <c r="K98" s="1149"/>
    </row>
    <row r="99" spans="2:12" s="1009" customFormat="1" ht="18" hidden="1">
      <c r="B99" s="1006"/>
      <c r="C99" s="1028" t="s">
        <v>40</v>
      </c>
      <c r="D99" s="1029" t="s">
        <v>814</v>
      </c>
      <c r="E99" s="1030">
        <f>-'FC-3_CPyG'!G39</f>
        <v>0</v>
      </c>
      <c r="F99" s="1031"/>
      <c r="G99" s="1031"/>
      <c r="H99" s="1032">
        <f t="shared" si="7"/>
        <v>0</v>
      </c>
      <c r="I99" s="1008"/>
      <c r="K99" s="1149"/>
      <c r="L99" s="1089"/>
    </row>
    <row r="100" spans="2:12" s="1009" customFormat="1" ht="18" hidden="1">
      <c r="B100" s="1006"/>
      <c r="C100" s="1028" t="s">
        <v>40</v>
      </c>
      <c r="D100" s="1029" t="s">
        <v>815</v>
      </c>
      <c r="E100" s="1030">
        <f>-'FC-3_CPyG'!G88</f>
        <v>0</v>
      </c>
      <c r="F100" s="1031"/>
      <c r="G100" s="1031"/>
      <c r="H100" s="1032">
        <f t="shared" si="7"/>
        <v>0</v>
      </c>
      <c r="I100" s="1008"/>
      <c r="K100" s="1149"/>
    </row>
    <row r="101" spans="2:12" s="1009" customFormat="1" ht="18" hidden="1">
      <c r="B101" s="1006"/>
      <c r="C101" s="1028" t="s">
        <v>46</v>
      </c>
      <c r="D101" s="1029" t="s">
        <v>966</v>
      </c>
      <c r="E101" s="1030">
        <f>-'FC-3_1_INF_ADIC_CPyG'!G57</f>
        <v>0</v>
      </c>
      <c r="F101" s="1031"/>
      <c r="G101" s="1031"/>
      <c r="H101" s="1032">
        <f t="shared" si="7"/>
        <v>0</v>
      </c>
      <c r="I101" s="1008"/>
      <c r="K101" s="1149"/>
    </row>
    <row r="102" spans="2:12" s="1009" customFormat="1" ht="18" hidden="1">
      <c r="B102" s="1006"/>
      <c r="C102" s="1028" t="s">
        <v>46</v>
      </c>
      <c r="D102" s="1029" t="s">
        <v>816</v>
      </c>
      <c r="E102" s="1030">
        <f>-'FC-3_1_INF_ADIC_CPyG'!G87</f>
        <v>0</v>
      </c>
      <c r="F102" s="1031"/>
      <c r="G102" s="1031"/>
      <c r="H102" s="1032">
        <f t="shared" si="7"/>
        <v>0</v>
      </c>
      <c r="I102" s="1008"/>
      <c r="K102" s="1149"/>
    </row>
    <row r="103" spans="2:12" s="1095" customFormat="1" ht="18" hidden="1">
      <c r="B103" s="1090"/>
      <c r="C103" s="1091"/>
      <c r="D103" s="1092" t="s">
        <v>817</v>
      </c>
      <c r="E103" s="1093"/>
      <c r="F103" s="1138"/>
      <c r="G103" s="1138"/>
      <c r="H103" s="1032">
        <f t="shared" si="7"/>
        <v>0</v>
      </c>
      <c r="I103" s="1094"/>
      <c r="K103" s="1149"/>
      <c r="L103" s="1035" t="s">
        <v>901</v>
      </c>
    </row>
    <row r="104" spans="2:12" s="1009" customFormat="1" ht="18" hidden="1">
      <c r="B104" s="1006"/>
      <c r="C104" s="1144"/>
      <c r="D104" s="1153"/>
      <c r="E104" s="1031"/>
      <c r="F104" s="1031"/>
      <c r="G104" s="1135"/>
      <c r="H104" s="1032">
        <f t="shared" si="7"/>
        <v>0</v>
      </c>
      <c r="I104" s="1008"/>
      <c r="K104" s="1149"/>
    </row>
    <row r="105" spans="2:12" s="1009" customFormat="1" ht="18" hidden="1">
      <c r="B105" s="1006"/>
      <c r="C105" s="1146"/>
      <c r="D105" s="1154"/>
      <c r="E105" s="1031"/>
      <c r="F105" s="1031"/>
      <c r="G105" s="1136"/>
      <c r="H105" s="1032">
        <f t="shared" si="7"/>
        <v>0</v>
      </c>
      <c r="I105" s="1008"/>
      <c r="K105" s="1149"/>
    </row>
    <row r="106" spans="2:12" s="1027" customFormat="1" ht="18">
      <c r="B106" s="1021"/>
      <c r="C106" s="1086" t="s">
        <v>197</v>
      </c>
      <c r="D106" s="1087" t="s">
        <v>386</v>
      </c>
      <c r="E106" s="1088">
        <f>SUM(E107:E111)</f>
        <v>3000</v>
      </c>
      <c r="F106" s="1088">
        <f t="shared" ref="F106:H106" si="8">SUM(F107:F111)</f>
        <v>0</v>
      </c>
      <c r="G106" s="1088">
        <f t="shared" si="8"/>
        <v>0</v>
      </c>
      <c r="H106" s="1088">
        <f t="shared" si="8"/>
        <v>3000</v>
      </c>
      <c r="I106" s="1026"/>
      <c r="K106" s="1149"/>
    </row>
    <row r="107" spans="2:12" s="1009" customFormat="1" ht="18" hidden="1">
      <c r="B107" s="1006"/>
      <c r="C107" s="1028" t="s">
        <v>40</v>
      </c>
      <c r="D107" s="1029" t="s">
        <v>818</v>
      </c>
      <c r="E107" s="1030">
        <f>-'FC-3_CPyG'!G71</f>
        <v>0</v>
      </c>
      <c r="F107" s="1031"/>
      <c r="G107" s="1031"/>
      <c r="H107" s="1032">
        <f>SUM(E107:G107)</f>
        <v>0</v>
      </c>
      <c r="I107" s="1008"/>
      <c r="K107" s="1149"/>
    </row>
    <row r="108" spans="2:12" s="1009" customFormat="1" ht="18" hidden="1">
      <c r="B108" s="1006"/>
      <c r="C108" s="1028" t="s">
        <v>40</v>
      </c>
      <c r="D108" s="1029" t="s">
        <v>819</v>
      </c>
      <c r="E108" s="1030">
        <f>-'FC-3_CPyG'!G72</f>
        <v>3000</v>
      </c>
      <c r="F108" s="1031"/>
      <c r="G108" s="1031"/>
      <c r="H108" s="1032">
        <f t="shared" si="7"/>
        <v>3000</v>
      </c>
      <c r="I108" s="1008"/>
      <c r="K108" s="1149"/>
    </row>
    <row r="109" spans="2:12" s="1009" customFormat="1" ht="18" hidden="1">
      <c r="B109" s="1006"/>
      <c r="C109" s="1028" t="s">
        <v>40</v>
      </c>
      <c r="D109" s="1029" t="s">
        <v>820</v>
      </c>
      <c r="E109" s="1030">
        <f>-'FC-3_CPyG'!G82</f>
        <v>0</v>
      </c>
      <c r="F109" s="1031"/>
      <c r="G109" s="1031"/>
      <c r="H109" s="1032">
        <f>SUM(E109:G109)</f>
        <v>0</v>
      </c>
      <c r="I109" s="1008"/>
      <c r="K109" s="1149"/>
    </row>
    <row r="110" spans="2:12" s="1009" customFormat="1" ht="18" hidden="1">
      <c r="B110" s="1006"/>
      <c r="C110" s="1144"/>
      <c r="D110" s="1153"/>
      <c r="E110" s="1031"/>
      <c r="F110" s="1031"/>
      <c r="G110" s="1135"/>
      <c r="H110" s="1032">
        <f t="shared" si="7"/>
        <v>0</v>
      </c>
      <c r="I110" s="1008"/>
      <c r="K110" s="1149"/>
    </row>
    <row r="111" spans="2:12" s="1009" customFormat="1" ht="18" hidden="1">
      <c r="B111" s="1006"/>
      <c r="C111" s="1146"/>
      <c r="D111" s="1155"/>
      <c r="E111" s="1031"/>
      <c r="F111" s="1031"/>
      <c r="G111" s="1136"/>
      <c r="H111" s="1032">
        <f>SUM(E111:G111)</f>
        <v>0</v>
      </c>
      <c r="I111" s="1008"/>
      <c r="K111" s="1149"/>
    </row>
    <row r="112" spans="2:12" s="1027" customFormat="1" ht="18">
      <c r="B112" s="1021"/>
      <c r="C112" s="1086" t="s">
        <v>201</v>
      </c>
      <c r="D112" s="1087" t="s">
        <v>573</v>
      </c>
      <c r="E112" s="1088">
        <f>SUM(E113:E115)</f>
        <v>0</v>
      </c>
      <c r="F112" s="1088">
        <f>SUM(F113:F115)</f>
        <v>0</v>
      </c>
      <c r="G112" s="1088">
        <f>SUM(G113:G115)</f>
        <v>0</v>
      </c>
      <c r="H112" s="1088">
        <f>SUM(H113:H115)</f>
        <v>0</v>
      </c>
      <c r="I112" s="1026"/>
      <c r="K112" s="1149"/>
    </row>
    <row r="113" spans="2:12" s="1009" customFormat="1" ht="18" hidden="1">
      <c r="B113" s="1006"/>
      <c r="C113" s="1028" t="s">
        <v>46</v>
      </c>
      <c r="D113" s="1029" t="s">
        <v>821</v>
      </c>
      <c r="E113" s="1030">
        <f>+'FC-3_1_INF_ADIC_CPyG'!G87</f>
        <v>0</v>
      </c>
      <c r="F113" s="1031"/>
      <c r="G113" s="1031"/>
      <c r="H113" s="1032">
        <f>SUM(E113:G113)</f>
        <v>0</v>
      </c>
      <c r="I113" s="1008"/>
      <c r="K113" s="1149"/>
    </row>
    <row r="114" spans="2:12" s="1009" customFormat="1" ht="18" hidden="1">
      <c r="B114" s="1006"/>
      <c r="C114" s="1144"/>
      <c r="D114" s="1153"/>
      <c r="E114" s="1031"/>
      <c r="F114" s="1031"/>
      <c r="G114" s="1135"/>
      <c r="H114" s="1032">
        <f>SUM(E114:G114)</f>
        <v>0</v>
      </c>
      <c r="I114" s="1008"/>
      <c r="K114" s="1149"/>
    </row>
    <row r="115" spans="2:12" s="1009" customFormat="1" ht="18">
      <c r="B115" s="1006"/>
      <c r="C115" s="1146"/>
      <c r="D115" s="1155"/>
      <c r="E115" s="1031"/>
      <c r="F115" s="1031"/>
      <c r="G115" s="1136"/>
      <c r="H115" s="1032">
        <f>SUM(E115:G115)</f>
        <v>0</v>
      </c>
      <c r="I115" s="1008"/>
      <c r="K115" s="1149"/>
    </row>
    <row r="116" spans="2:12" s="1056" customFormat="1" ht="18">
      <c r="B116" s="1054"/>
      <c r="C116" s="1669" t="s">
        <v>574</v>
      </c>
      <c r="D116" s="1670"/>
      <c r="E116" s="1017">
        <f>E88+E93+E106+E112</f>
        <v>15297452.33</v>
      </c>
      <c r="F116" s="1017">
        <f t="shared" ref="F116:H116" si="9">F88+F93+F106+F112</f>
        <v>0</v>
      </c>
      <c r="G116" s="1017">
        <f t="shared" si="9"/>
        <v>0</v>
      </c>
      <c r="H116" s="1017">
        <f t="shared" si="9"/>
        <v>15297452.33</v>
      </c>
      <c r="I116" s="1055"/>
      <c r="K116" s="1149"/>
    </row>
    <row r="117" spans="2:12" s="1009" customFormat="1" ht="15.75">
      <c r="B117" s="1006"/>
      <c r="C117" s="948"/>
      <c r="D117" s="1015"/>
      <c r="E117" s="997"/>
      <c r="F117" s="997"/>
      <c r="G117" s="997"/>
      <c r="H117" s="1046"/>
      <c r="I117" s="1008"/>
      <c r="K117" s="1150"/>
    </row>
    <row r="118" spans="2:12" s="1027" customFormat="1" ht="18">
      <c r="B118" s="1021"/>
      <c r="C118" s="1022" t="s">
        <v>212</v>
      </c>
      <c r="D118" s="1023" t="s">
        <v>575</v>
      </c>
      <c r="E118" s="1024">
        <f>SUM(E119:E122)</f>
        <v>0</v>
      </c>
      <c r="F118" s="1024">
        <f t="shared" ref="F118:G118" si="10">SUM(F119:F122)</f>
        <v>0</v>
      </c>
      <c r="G118" s="1024">
        <f t="shared" si="10"/>
        <v>0</v>
      </c>
      <c r="H118" s="1024">
        <f>SUM(H119:H122)</f>
        <v>0</v>
      </c>
      <c r="I118" s="1026"/>
      <c r="K118" s="1149"/>
    </row>
    <row r="119" spans="2:12" s="1009" customFormat="1" ht="18" hidden="1">
      <c r="B119" s="1006"/>
      <c r="C119" s="1028" t="s">
        <v>49</v>
      </c>
      <c r="D119" s="1047" t="s">
        <v>822</v>
      </c>
      <c r="E119" s="1031"/>
      <c r="F119" s="1060">
        <f>+'FC-7_INF'!F31</f>
        <v>0</v>
      </c>
      <c r="G119" s="1138"/>
      <c r="H119" s="1032">
        <f>SUM(E119:G119)</f>
        <v>0</v>
      </c>
      <c r="I119" s="1008"/>
      <c r="K119" s="1149"/>
    </row>
    <row r="120" spans="2:12" s="1041" customFormat="1" ht="18" hidden="1">
      <c r="B120" s="1039"/>
      <c r="C120" s="1028" t="s">
        <v>49</v>
      </c>
      <c r="D120" s="1047" t="s">
        <v>823</v>
      </c>
      <c r="E120" s="1031"/>
      <c r="F120" s="1060">
        <f>+'FC-7_INF'!H31</f>
        <v>0</v>
      </c>
      <c r="G120" s="1138"/>
      <c r="H120" s="1032">
        <f>SUM(E120:G120)</f>
        <v>0</v>
      </c>
      <c r="I120" s="1040"/>
      <c r="K120" s="1149"/>
    </row>
    <row r="121" spans="2:12" s="1041" customFormat="1" ht="18" hidden="1">
      <c r="B121" s="1039"/>
      <c r="C121" s="1144"/>
      <c r="D121" s="1145"/>
      <c r="E121" s="1031"/>
      <c r="F121" s="1031"/>
      <c r="G121" s="917"/>
      <c r="H121" s="1032">
        <f>SUM(E121:G121)</f>
        <v>0</v>
      </c>
      <c r="I121" s="1040"/>
      <c r="K121" s="1149"/>
    </row>
    <row r="122" spans="2:12" s="1041" customFormat="1" ht="18" hidden="1">
      <c r="B122" s="1039"/>
      <c r="C122" s="1146"/>
      <c r="D122" s="1154"/>
      <c r="E122" s="1096"/>
      <c r="F122" s="1096"/>
      <c r="G122" s="1140"/>
      <c r="H122" s="1032">
        <f>SUM(E122:G122)</f>
        <v>0</v>
      </c>
      <c r="I122" s="1040"/>
      <c r="K122" s="1149"/>
    </row>
    <row r="123" spans="2:12" s="1027" customFormat="1" ht="18">
      <c r="B123" s="1021"/>
      <c r="C123" s="1022" t="s">
        <v>214</v>
      </c>
      <c r="D123" s="1023" t="s">
        <v>562</v>
      </c>
      <c r="E123" s="1024">
        <f>SUM(E124:E126)</f>
        <v>0</v>
      </c>
      <c r="F123" s="1024">
        <f>SUM(F124:F126)</f>
        <v>0</v>
      </c>
      <c r="G123" s="1024">
        <f>SUM(G124:G126)</f>
        <v>0</v>
      </c>
      <c r="H123" s="1024">
        <f>SUM(H124:H126)</f>
        <v>0</v>
      </c>
      <c r="I123" s="1026"/>
      <c r="K123" s="1149"/>
    </row>
    <row r="124" spans="2:12" s="1041" customFormat="1" ht="18" hidden="1">
      <c r="B124" s="1039"/>
      <c r="C124" s="1028" t="s">
        <v>929</v>
      </c>
      <c r="D124" s="1047" t="s">
        <v>824</v>
      </c>
      <c r="E124" s="1031"/>
      <c r="F124" s="1065">
        <f>'FC-4_1_MOV_FP'!G38</f>
        <v>0</v>
      </c>
      <c r="G124" s="1139"/>
      <c r="H124" s="1032">
        <f>SUM(E124:G124)</f>
        <v>0</v>
      </c>
      <c r="I124" s="1040"/>
      <c r="K124" s="1149"/>
      <c r="L124" s="1035"/>
    </row>
    <row r="125" spans="2:12" s="1041" customFormat="1" ht="18" hidden="1">
      <c r="B125" s="1039"/>
      <c r="C125" s="1144"/>
      <c r="D125" s="1145"/>
      <c r="E125" s="1031"/>
      <c r="F125" s="1031"/>
      <c r="G125" s="918"/>
      <c r="H125" s="1032">
        <f>SUM(E125:G125)</f>
        <v>0</v>
      </c>
      <c r="I125" s="1040"/>
      <c r="K125" s="1149"/>
    </row>
    <row r="126" spans="2:12" s="1041" customFormat="1" ht="18">
      <c r="B126" s="1039"/>
      <c r="C126" s="1146"/>
      <c r="D126" s="1154"/>
      <c r="E126" s="1096"/>
      <c r="F126" s="1096"/>
      <c r="G126" s="1141"/>
      <c r="H126" s="1032">
        <f>SUM(E126:G126)</f>
        <v>0</v>
      </c>
      <c r="I126" s="1040"/>
      <c r="K126" s="1149"/>
    </row>
    <row r="127" spans="2:12" s="1056" customFormat="1" ht="18">
      <c r="B127" s="1054"/>
      <c r="C127" s="1669" t="s">
        <v>576</v>
      </c>
      <c r="D127" s="1670"/>
      <c r="E127" s="1017">
        <f>+E118+E123</f>
        <v>0</v>
      </c>
      <c r="F127" s="1017">
        <f t="shared" ref="F127:H127" si="11">+F118+F123</f>
        <v>0</v>
      </c>
      <c r="G127" s="1017">
        <f t="shared" si="11"/>
        <v>0</v>
      </c>
      <c r="H127" s="1017">
        <f t="shared" si="11"/>
        <v>0</v>
      </c>
      <c r="I127" s="1055"/>
      <c r="K127" s="1149"/>
    </row>
    <row r="128" spans="2:12" s="1009" customFormat="1" ht="15.75">
      <c r="B128" s="1006"/>
      <c r="C128" s="948"/>
      <c r="D128" s="1015"/>
      <c r="E128" s="997"/>
      <c r="F128" s="997"/>
      <c r="G128" s="997"/>
      <c r="H128" s="1046"/>
      <c r="I128" s="1008"/>
      <c r="K128" s="1150"/>
    </row>
    <row r="129" spans="2:12" s="1027" customFormat="1" ht="18">
      <c r="B129" s="1021"/>
      <c r="C129" s="1022" t="s">
        <v>265</v>
      </c>
      <c r="D129" s="1023" t="s">
        <v>564</v>
      </c>
      <c r="E129" s="1024">
        <f>SUM(E130:E135)</f>
        <v>0</v>
      </c>
      <c r="F129" s="1024">
        <f>SUM(F130:F135)</f>
        <v>0</v>
      </c>
      <c r="G129" s="1024">
        <f>SUM(G130:G135)</f>
        <v>0</v>
      </c>
      <c r="H129" s="1024">
        <f>SUM(H130:H135)</f>
        <v>0</v>
      </c>
      <c r="I129" s="1026"/>
      <c r="K129" s="1149"/>
    </row>
    <row r="130" spans="2:12" s="1041" customFormat="1" ht="18" hidden="1">
      <c r="B130" s="1039"/>
      <c r="C130" s="1028" t="s">
        <v>51</v>
      </c>
      <c r="D130" s="1047" t="s">
        <v>853</v>
      </c>
      <c r="E130" s="1031"/>
      <c r="F130" s="1060">
        <f>'FC-8_INV_FINANCIERAS'!G25</f>
        <v>0</v>
      </c>
      <c r="G130" s="918"/>
      <c r="H130" s="1032">
        <f>SUM(E130:G130)</f>
        <v>0</v>
      </c>
      <c r="I130" s="1040"/>
      <c r="K130" s="1149"/>
    </row>
    <row r="131" spans="2:12" s="1041" customFormat="1" ht="18" hidden="1">
      <c r="B131" s="1039"/>
      <c r="C131" s="1028" t="s">
        <v>51</v>
      </c>
      <c r="D131" s="1047" t="s">
        <v>854</v>
      </c>
      <c r="E131" s="1031"/>
      <c r="F131" s="1060">
        <f>'FC-8_INV_FINANCIERAS'!G34</f>
        <v>0</v>
      </c>
      <c r="G131" s="1139"/>
      <c r="H131" s="1032">
        <f t="shared" ref="H131:H135" si="12">SUM(E131:G131)</f>
        <v>0</v>
      </c>
      <c r="I131" s="1040"/>
      <c r="K131" s="1149"/>
    </row>
    <row r="132" spans="2:12" s="1041" customFormat="1" ht="18" hidden="1">
      <c r="B132" s="1039"/>
      <c r="C132" s="1028" t="s">
        <v>51</v>
      </c>
      <c r="D132" s="1047" t="s">
        <v>855</v>
      </c>
      <c r="E132" s="1031"/>
      <c r="F132" s="1060">
        <f>'FC-8_INV_FINANCIERAS'!G49</f>
        <v>0</v>
      </c>
      <c r="G132" s="918"/>
      <c r="H132" s="1032">
        <f t="shared" si="12"/>
        <v>0</v>
      </c>
      <c r="I132" s="1040"/>
      <c r="K132" s="1149"/>
    </row>
    <row r="133" spans="2:12" s="1041" customFormat="1" ht="18" hidden="1">
      <c r="B133" s="1039"/>
      <c r="C133" s="1028" t="s">
        <v>51</v>
      </c>
      <c r="D133" s="1047" t="s">
        <v>825</v>
      </c>
      <c r="E133" s="1031"/>
      <c r="F133" s="1060">
        <f>'FC-8_INV_FINANCIERAS'!G58</f>
        <v>0</v>
      </c>
      <c r="G133" s="918"/>
      <c r="H133" s="1032">
        <f t="shared" si="12"/>
        <v>0</v>
      </c>
      <c r="I133" s="1040"/>
      <c r="K133" s="1149"/>
    </row>
    <row r="134" spans="2:12" s="1041" customFormat="1" ht="18" hidden="1">
      <c r="B134" s="1039"/>
      <c r="C134" s="1144"/>
      <c r="D134" s="1145"/>
      <c r="E134" s="1031"/>
      <c r="F134" s="1031"/>
      <c r="G134" s="918"/>
      <c r="H134" s="1032">
        <f t="shared" si="12"/>
        <v>0</v>
      </c>
      <c r="I134" s="1040"/>
      <c r="K134" s="1149"/>
    </row>
    <row r="135" spans="2:12" s="1041" customFormat="1" ht="18" hidden="1">
      <c r="B135" s="1039"/>
      <c r="C135" s="1146"/>
      <c r="D135" s="1154"/>
      <c r="E135" s="1096"/>
      <c r="F135" s="1096"/>
      <c r="G135" s="1141"/>
      <c r="H135" s="1032">
        <f t="shared" si="12"/>
        <v>0</v>
      </c>
      <c r="I135" s="1040"/>
      <c r="K135" s="1149"/>
    </row>
    <row r="136" spans="2:12" s="1041" customFormat="1" ht="18">
      <c r="B136" s="1039"/>
      <c r="C136" s="1057" t="s">
        <v>267</v>
      </c>
      <c r="D136" s="668" t="s">
        <v>565</v>
      </c>
      <c r="E136" s="1058">
        <f>SUM(E137:E143)</f>
        <v>0</v>
      </c>
      <c r="F136" s="1058">
        <f>SUM(F137:F143)</f>
        <v>3515000</v>
      </c>
      <c r="G136" s="1058">
        <f>SUM(G137:G143)</f>
        <v>-3515000</v>
      </c>
      <c r="H136" s="1058">
        <f>SUM(H137:H143)</f>
        <v>0</v>
      </c>
      <c r="I136" s="1040"/>
      <c r="K136" s="1149"/>
    </row>
    <row r="137" spans="2:12" s="1041" customFormat="1" ht="18" hidden="1">
      <c r="B137" s="1039"/>
      <c r="C137" s="1028" t="s">
        <v>55</v>
      </c>
      <c r="D137" s="1047" t="s">
        <v>856</v>
      </c>
      <c r="E137" s="1031"/>
      <c r="F137" s="1065">
        <f>'FC-10_DEUDAS'!N43</f>
        <v>0</v>
      </c>
      <c r="G137" s="1139"/>
      <c r="H137" s="1032">
        <f t="shared" ref="H137:H143" si="13">SUM(E137:G137)</f>
        <v>0</v>
      </c>
      <c r="I137" s="1040"/>
      <c r="K137" s="1149"/>
    </row>
    <row r="138" spans="2:12" s="1041" customFormat="1" ht="18" hidden="1">
      <c r="B138" s="1039"/>
      <c r="C138" s="1028"/>
      <c r="D138" s="1047" t="s">
        <v>826</v>
      </c>
      <c r="E138" s="1031"/>
      <c r="F138" s="1142"/>
      <c r="G138" s="1139"/>
      <c r="H138" s="1032">
        <f t="shared" si="13"/>
        <v>0</v>
      </c>
      <c r="I138" s="1040"/>
      <c r="K138" s="1149"/>
      <c r="L138" s="1035" t="s">
        <v>901</v>
      </c>
    </row>
    <row r="139" spans="2:12" s="1053" customFormat="1" ht="18" hidden="1">
      <c r="B139" s="1050"/>
      <c r="C139" s="1028"/>
      <c r="D139" s="1047" t="s">
        <v>827</v>
      </c>
      <c r="E139" s="1051"/>
      <c r="F139" s="920"/>
      <c r="G139" s="917"/>
      <c r="H139" s="1032">
        <f t="shared" si="13"/>
        <v>0</v>
      </c>
      <c r="I139" s="1052"/>
      <c r="K139" s="1149"/>
      <c r="L139" s="1035" t="s">
        <v>901</v>
      </c>
    </row>
    <row r="140" spans="2:12" s="1053" customFormat="1" ht="18" hidden="1">
      <c r="B140" s="1050"/>
      <c r="C140" s="1028" t="s">
        <v>55</v>
      </c>
      <c r="D140" s="1047" t="s">
        <v>828</v>
      </c>
      <c r="E140" s="1051"/>
      <c r="F140" s="1065">
        <f>'FC-10_DEUDAS'!N106</f>
        <v>3515000</v>
      </c>
      <c r="G140" s="1139">
        <v>-3515000</v>
      </c>
      <c r="H140" s="1032">
        <f t="shared" si="13"/>
        <v>0</v>
      </c>
      <c r="I140" s="1052"/>
      <c r="K140" s="1149"/>
      <c r="L140" s="1035"/>
    </row>
    <row r="141" spans="2:12" s="1041" customFormat="1" ht="18" hidden="1">
      <c r="B141" s="1039"/>
      <c r="C141" s="1028" t="s">
        <v>55</v>
      </c>
      <c r="D141" s="1047" t="s">
        <v>829</v>
      </c>
      <c r="E141" s="1031"/>
      <c r="F141" s="1065">
        <f>'FC-10_DEUDAS'!N138</f>
        <v>0</v>
      </c>
      <c r="G141" s="918"/>
      <c r="H141" s="1032">
        <f t="shared" si="13"/>
        <v>0</v>
      </c>
      <c r="I141" s="1040"/>
      <c r="K141" s="1149"/>
    </row>
    <row r="142" spans="2:12" s="1041" customFormat="1" ht="18" hidden="1">
      <c r="B142" s="1039"/>
      <c r="C142" s="1028"/>
      <c r="D142" s="1047" t="s">
        <v>830</v>
      </c>
      <c r="E142" s="1031"/>
      <c r="F142" s="920"/>
      <c r="G142" s="918"/>
      <c r="H142" s="1032">
        <f t="shared" si="13"/>
        <v>0</v>
      </c>
      <c r="I142" s="1040"/>
      <c r="K142" s="1149"/>
      <c r="L142" s="1097" t="s">
        <v>901</v>
      </c>
    </row>
    <row r="143" spans="2:12" s="1041" customFormat="1" ht="18">
      <c r="B143" s="1039"/>
      <c r="C143" s="1146"/>
      <c r="D143" s="1154"/>
      <c r="E143" s="1096"/>
      <c r="F143" s="1096"/>
      <c r="G143" s="1141"/>
      <c r="H143" s="1032">
        <f t="shared" si="13"/>
        <v>0</v>
      </c>
      <c r="I143" s="1040"/>
      <c r="K143" s="1149"/>
    </row>
    <row r="144" spans="2:12" s="1045" customFormat="1" ht="18">
      <c r="B144" s="1042"/>
      <c r="C144" s="1677" t="s">
        <v>577</v>
      </c>
      <c r="D144" s="1678"/>
      <c r="E144" s="1043">
        <f>+E129+E136</f>
        <v>0</v>
      </c>
      <c r="F144" s="1043">
        <f>+F129+F136</f>
        <v>3515000</v>
      </c>
      <c r="G144" s="1043">
        <f>+G129+G136</f>
        <v>-3515000</v>
      </c>
      <c r="H144" s="1043">
        <f>+H129+H136</f>
        <v>0</v>
      </c>
      <c r="I144" s="1044"/>
      <c r="K144" s="1149"/>
    </row>
    <row r="145" spans="2:12" s="1009" customFormat="1" ht="15">
      <c r="B145" s="1006"/>
      <c r="C145" s="1015"/>
      <c r="D145" s="996"/>
      <c r="E145" s="997"/>
      <c r="F145" s="997"/>
      <c r="G145" s="997"/>
      <c r="H145" s="1069"/>
      <c r="I145" s="1008"/>
      <c r="K145" s="1150"/>
    </row>
    <row r="146" spans="2:12" s="1056" customFormat="1" ht="18.75" thickBot="1">
      <c r="B146" s="1054"/>
      <c r="C146" s="1679" t="s">
        <v>831</v>
      </c>
      <c r="D146" s="1680"/>
      <c r="E146" s="1098">
        <f>+E116+E127+E144</f>
        <v>15297452.33</v>
      </c>
      <c r="F146" s="1098">
        <f>+F116+F127+F144</f>
        <v>3515000</v>
      </c>
      <c r="G146" s="1098">
        <f>+G116+G127+G144</f>
        <v>-3515000</v>
      </c>
      <c r="H146" s="1098">
        <f>+H116+H127+H144</f>
        <v>15297452.33</v>
      </c>
      <c r="I146" s="1055"/>
      <c r="K146" s="1149"/>
    </row>
    <row r="147" spans="2:12" s="1009" customFormat="1" ht="15.75">
      <c r="B147" s="1006"/>
      <c r="C147" s="948"/>
      <c r="D147" s="1015"/>
      <c r="E147" s="997"/>
      <c r="F147" s="997"/>
      <c r="G147" s="997"/>
      <c r="H147" s="1046"/>
      <c r="I147" s="1008"/>
      <c r="K147" s="1150"/>
    </row>
    <row r="148" spans="2:12" s="1009" customFormat="1" ht="18.75" thickBot="1">
      <c r="B148" s="1006"/>
      <c r="C148" s="1099" t="s">
        <v>832</v>
      </c>
      <c r="D148" s="1100"/>
      <c r="E148" s="1101">
        <f>E70-E146</f>
        <v>-1971445.2199999988</v>
      </c>
      <c r="F148" s="1101">
        <f>F70-F146</f>
        <v>-1303488.48</v>
      </c>
      <c r="G148" s="1101">
        <f>G70-G146</f>
        <v>3515000</v>
      </c>
      <c r="H148" s="1101">
        <f>H70-H146</f>
        <v>240066.30000000075</v>
      </c>
      <c r="I148" s="1008"/>
      <c r="K148" s="1149"/>
    </row>
    <row r="149" spans="2:12" s="1009" customFormat="1" ht="16.5" thickTop="1">
      <c r="B149" s="1006"/>
      <c r="C149" s="948"/>
      <c r="D149" s="1015"/>
      <c r="E149" s="997"/>
      <c r="F149" s="997"/>
      <c r="G149" s="997"/>
      <c r="H149" s="1046"/>
      <c r="I149" s="1008"/>
      <c r="K149" s="1150"/>
    </row>
    <row r="150" spans="2:12" s="1009" customFormat="1" ht="15.75">
      <c r="B150" s="1006"/>
      <c r="C150" s="948"/>
      <c r="D150" s="1015"/>
      <c r="E150" s="997"/>
      <c r="F150" s="997"/>
      <c r="G150" s="997"/>
      <c r="H150" s="1046"/>
      <c r="I150" s="1008"/>
      <c r="K150" s="1150"/>
    </row>
    <row r="151" spans="2:12" s="1106" customFormat="1" ht="18">
      <c r="B151" s="1102"/>
      <c r="C151" s="1681" t="s">
        <v>579</v>
      </c>
      <c r="D151" s="1682"/>
      <c r="E151" s="1103">
        <f>SUM(E152:E163)</f>
        <v>53489.33</v>
      </c>
      <c r="F151" s="1104">
        <f>SUM(F152:F163)</f>
        <v>0</v>
      </c>
      <c r="G151" s="1104">
        <f>SUM(G152:G163)</f>
        <v>0</v>
      </c>
      <c r="H151" s="1104">
        <f>SUM(H152:H163)</f>
        <v>53489.33</v>
      </c>
      <c r="I151" s="1105"/>
      <c r="K151" s="1149"/>
    </row>
    <row r="152" spans="2:12" s="1041" customFormat="1" ht="18" hidden="1">
      <c r="B152" s="1039"/>
      <c r="C152" s="1028" t="s">
        <v>40</v>
      </c>
      <c r="D152" s="1029" t="s">
        <v>795</v>
      </c>
      <c r="E152" s="1030">
        <f>IF('FC-3_CPyG'!G20&lt;0,-'FC-3_CPyG'!G20,0)</f>
        <v>0</v>
      </c>
      <c r="F152" s="1031"/>
      <c r="G152" s="1031"/>
      <c r="H152" s="1032">
        <f>SUM(E152:G152)</f>
        <v>0</v>
      </c>
      <c r="I152" s="1040"/>
      <c r="K152" s="1149"/>
      <c r="L152" s="1041" t="s">
        <v>833</v>
      </c>
    </row>
    <row r="153" spans="2:12" s="1009" customFormat="1" ht="18" hidden="1">
      <c r="B153" s="1006"/>
      <c r="C153" s="1028" t="s">
        <v>40</v>
      </c>
      <c r="D153" s="1029" t="s">
        <v>834</v>
      </c>
      <c r="E153" s="1030">
        <f>-'FC-3_CPyG'!G26</f>
        <v>0</v>
      </c>
      <c r="F153" s="1031"/>
      <c r="G153" s="1031"/>
      <c r="H153" s="1032">
        <f t="shared" ref="H153:H163" si="14">SUM(E153:G153)</f>
        <v>0</v>
      </c>
      <c r="I153" s="1008"/>
      <c r="K153" s="1149"/>
    </row>
    <row r="154" spans="2:12" s="1009" customFormat="1" ht="18" hidden="1">
      <c r="B154" s="1006"/>
      <c r="C154" s="1028" t="s">
        <v>40</v>
      </c>
      <c r="D154" s="1029" t="s">
        <v>835</v>
      </c>
      <c r="E154" s="1030">
        <f>-'FC-3_CPyG'!G33</f>
        <v>0</v>
      </c>
      <c r="F154" s="1031"/>
      <c r="G154" s="1031"/>
      <c r="H154" s="1032">
        <f t="shared" si="14"/>
        <v>0</v>
      </c>
      <c r="I154" s="1008"/>
      <c r="K154" s="1149"/>
    </row>
    <row r="155" spans="2:12" s="1009" customFormat="1" ht="18" hidden="1">
      <c r="B155" s="1006"/>
      <c r="C155" s="1028" t="s">
        <v>40</v>
      </c>
      <c r="D155" s="1029" t="s">
        <v>836</v>
      </c>
      <c r="E155" s="1030">
        <f>-'FC-3_CPyG'!G37</f>
        <v>0</v>
      </c>
      <c r="F155" s="1031"/>
      <c r="G155" s="1031"/>
      <c r="H155" s="1032">
        <f t="shared" si="14"/>
        <v>0</v>
      </c>
      <c r="I155" s="1008"/>
      <c r="K155" s="1149"/>
    </row>
    <row r="156" spans="2:12" s="1009" customFormat="1" ht="18" hidden="1">
      <c r="B156" s="1006"/>
      <c r="C156" s="1028" t="s">
        <v>40</v>
      </c>
      <c r="D156" s="1029" t="s">
        <v>837</v>
      </c>
      <c r="E156" s="1030">
        <f>-'FC-3_CPyG'!G40</f>
        <v>53489.33</v>
      </c>
      <c r="F156" s="1031"/>
      <c r="G156" s="1031"/>
      <c r="H156" s="1032">
        <f t="shared" si="14"/>
        <v>53489.33</v>
      </c>
      <c r="I156" s="1008"/>
      <c r="K156" s="1149"/>
    </row>
    <row r="157" spans="2:12" s="1009" customFormat="1" ht="18" hidden="1">
      <c r="B157" s="1006"/>
      <c r="C157" s="1028" t="s">
        <v>40</v>
      </c>
      <c r="D157" s="1029" t="s">
        <v>838</v>
      </c>
      <c r="E157" s="1030">
        <f>-'FC-3_CPyG'!G47</f>
        <v>0</v>
      </c>
      <c r="F157" s="1031"/>
      <c r="G157" s="1031"/>
      <c r="H157" s="1032">
        <f t="shared" si="14"/>
        <v>0</v>
      </c>
      <c r="I157" s="1008"/>
      <c r="K157" s="1149"/>
    </row>
    <row r="158" spans="2:12" s="1009" customFormat="1" ht="18" hidden="1">
      <c r="B158" s="1006"/>
      <c r="C158" s="1199" t="s">
        <v>40</v>
      </c>
      <c r="D158" s="1200" t="s">
        <v>801</v>
      </c>
      <c r="E158" s="1201">
        <f>IF('FC-3_CPyG'!G51&lt;0,-'FC-3_CPyG'!G51,0)</f>
        <v>0</v>
      </c>
      <c r="F158" s="1031"/>
      <c r="G158" s="1031"/>
      <c r="H158" s="1032">
        <f t="shared" si="14"/>
        <v>0</v>
      </c>
      <c r="I158" s="1008"/>
      <c r="K158" s="1202" t="s">
        <v>932</v>
      </c>
    </row>
    <row r="159" spans="2:12" s="1009" customFormat="1" ht="18" hidden="1">
      <c r="B159" s="1006"/>
      <c r="C159" s="1028" t="s">
        <v>40</v>
      </c>
      <c r="D159" s="1029" t="s">
        <v>839</v>
      </c>
      <c r="E159" s="1030">
        <f>-'FC-3_CPyG'!G55</f>
        <v>0</v>
      </c>
      <c r="F159" s="1031"/>
      <c r="G159" s="1031"/>
      <c r="H159" s="1032">
        <f t="shared" si="14"/>
        <v>0</v>
      </c>
      <c r="I159" s="1008"/>
      <c r="K159" s="1149"/>
      <c r="L159" s="1089"/>
    </row>
    <row r="160" spans="2:12" s="1009" customFormat="1" ht="18" hidden="1">
      <c r="B160" s="1006"/>
      <c r="C160" s="1028" t="s">
        <v>963</v>
      </c>
      <c r="D160" s="1029" t="s">
        <v>965</v>
      </c>
      <c r="E160" s="1030">
        <f>-'FC-3_1_INF_ADIC_CPyG'!G61</f>
        <v>0</v>
      </c>
      <c r="F160" s="1031"/>
      <c r="G160" s="1031"/>
      <c r="H160" s="1032">
        <f t="shared" si="14"/>
        <v>0</v>
      </c>
      <c r="I160" s="1008"/>
      <c r="K160" s="1149"/>
      <c r="L160" s="1089"/>
    </row>
    <row r="161" spans="2:11" s="1009" customFormat="1" ht="18" hidden="1">
      <c r="B161" s="1006"/>
      <c r="C161" s="1028" t="s">
        <v>40</v>
      </c>
      <c r="D161" s="1029" t="s">
        <v>840</v>
      </c>
      <c r="E161" s="1030">
        <f>-'FC-3_CPyG'!G73</f>
        <v>0</v>
      </c>
      <c r="F161" s="1031"/>
      <c r="G161" s="1031"/>
      <c r="H161" s="1032">
        <f t="shared" si="14"/>
        <v>0</v>
      </c>
      <c r="I161" s="1008"/>
      <c r="K161" s="1149"/>
    </row>
    <row r="162" spans="2:11" s="1009" customFormat="1" ht="18" hidden="1">
      <c r="B162" s="1006"/>
      <c r="C162" s="1028" t="s">
        <v>40</v>
      </c>
      <c r="D162" s="1029" t="s">
        <v>841</v>
      </c>
      <c r="E162" s="1030">
        <f>-'FC-3_CPyG'!G77</f>
        <v>0</v>
      </c>
      <c r="F162" s="1031"/>
      <c r="G162" s="1031"/>
      <c r="H162" s="1032">
        <f t="shared" si="14"/>
        <v>0</v>
      </c>
      <c r="I162" s="1008"/>
      <c r="K162" s="1149"/>
    </row>
    <row r="163" spans="2:11" s="1009" customFormat="1" ht="18" hidden="1">
      <c r="B163" s="1006"/>
      <c r="C163" s="1107" t="s">
        <v>40</v>
      </c>
      <c r="D163" s="1108" t="s">
        <v>842</v>
      </c>
      <c r="E163" s="1109">
        <f>-'FC-3_CPyG'!G78</f>
        <v>0</v>
      </c>
      <c r="F163" s="1110"/>
      <c r="G163" s="1110"/>
      <c r="H163" s="1111">
        <f t="shared" si="14"/>
        <v>0</v>
      </c>
      <c r="I163" s="1008"/>
      <c r="K163" s="1149"/>
    </row>
    <row r="164" spans="2:11" s="1009" customFormat="1" ht="15">
      <c r="B164" s="1006"/>
      <c r="C164" s="1075"/>
      <c r="D164" s="1112"/>
      <c r="E164" s="1112"/>
      <c r="F164" s="1112"/>
      <c r="G164" s="1112"/>
      <c r="H164" s="1112"/>
      <c r="I164" s="1008"/>
      <c r="K164" s="1150"/>
    </row>
    <row r="165" spans="2:11" s="1009" customFormat="1" ht="18.75" thickBot="1">
      <c r="B165" s="1006"/>
      <c r="C165" s="1667" t="s">
        <v>847</v>
      </c>
      <c r="D165" s="1668"/>
      <c r="E165" s="1077">
        <f>+E146+E151</f>
        <v>15350941.66</v>
      </c>
      <c r="F165" s="1077">
        <f t="shared" ref="F165:H165" si="15">+F146+F151</f>
        <v>3515000</v>
      </c>
      <c r="G165" s="1077">
        <f t="shared" si="15"/>
        <v>-3515000</v>
      </c>
      <c r="H165" s="1077">
        <f t="shared" si="15"/>
        <v>15350941.66</v>
      </c>
      <c r="I165" s="1008"/>
      <c r="K165" s="1149"/>
    </row>
    <row r="166" spans="2:11" s="1009" customFormat="1" ht="18">
      <c r="B166" s="1006"/>
      <c r="C166" s="1113"/>
      <c r="D166" s="1113"/>
      <c r="E166" s="1114"/>
      <c r="F166" s="1114"/>
      <c r="G166" s="1114"/>
      <c r="H166" s="1114"/>
      <c r="I166" s="1008"/>
      <c r="K166" s="1150"/>
    </row>
    <row r="167" spans="2:11" s="1009" customFormat="1" ht="18.75" thickBot="1">
      <c r="B167" s="1006"/>
      <c r="C167" s="1099" t="s">
        <v>845</v>
      </c>
      <c r="D167" s="1100"/>
      <c r="E167" s="1101">
        <f>+E83-E165</f>
        <v>-2019110.0199999996</v>
      </c>
      <c r="F167" s="1101">
        <f>+F83-F165</f>
        <v>-1303488.48</v>
      </c>
      <c r="G167" s="1101">
        <f>+G83-G165</f>
        <v>3515000</v>
      </c>
      <c r="H167" s="1101">
        <f>+H83-H165</f>
        <v>192401.5</v>
      </c>
      <c r="I167" s="1008"/>
      <c r="K167" s="1149"/>
    </row>
    <row r="168" spans="2:11" s="1009" customFormat="1" ht="15.75" thickTop="1">
      <c r="B168" s="1006"/>
      <c r="C168" s="1075"/>
      <c r="D168" s="1075"/>
      <c r="E168" s="1115"/>
      <c r="F168" s="1115"/>
      <c r="G168" s="1115"/>
      <c r="H168" s="1116"/>
      <c r="I168" s="1008"/>
      <c r="K168" s="1150"/>
    </row>
    <row r="169" spans="2:11" s="1009" customFormat="1" ht="18">
      <c r="B169" s="1006"/>
      <c r="C169" s="1683" t="s">
        <v>843</v>
      </c>
      <c r="D169" s="1684"/>
      <c r="E169" s="1117">
        <f>E170+E177+E179+E185+E186+E195</f>
        <v>0</v>
      </c>
      <c r="F169" s="1117">
        <f>F170+F177+F179+F185+F186+F195+F197</f>
        <v>3515000.0000000005</v>
      </c>
      <c r="G169" s="1117">
        <f>G170+G177+G179+G185+G186+G195+G197</f>
        <v>-3707401.5</v>
      </c>
      <c r="H169" s="1117">
        <f>H170+H177+H179+H185+H186+H195+H197</f>
        <v>-192401.49999999962</v>
      </c>
      <c r="I169" s="1008"/>
      <c r="K169" s="1149"/>
    </row>
    <row r="170" spans="2:11" s="1009" customFormat="1" ht="18" hidden="1">
      <c r="B170" s="1006"/>
      <c r="C170" s="1118" t="s">
        <v>183</v>
      </c>
      <c r="D170" s="1047"/>
      <c r="E170" s="1119"/>
      <c r="F170" s="1685">
        <f>SUM(F173:F176)</f>
        <v>53489.33</v>
      </c>
      <c r="G170" s="1685">
        <f>SUM(G173:G176)</f>
        <v>0</v>
      </c>
      <c r="H170" s="1685">
        <f>F170+G170</f>
        <v>53489.33</v>
      </c>
      <c r="I170" s="1008"/>
      <c r="K170" s="1149"/>
    </row>
    <row r="171" spans="2:11" s="1009" customFormat="1" ht="18" hidden="1">
      <c r="B171" s="1006"/>
      <c r="C171" s="1120" t="s">
        <v>193</v>
      </c>
      <c r="D171" s="1047"/>
      <c r="E171" s="1119"/>
      <c r="F171" s="1686"/>
      <c r="G171" s="1686"/>
      <c r="H171" s="1686"/>
      <c r="I171" s="1008"/>
      <c r="K171" s="1149"/>
    </row>
    <row r="172" spans="2:11" s="1009" customFormat="1" ht="18" hidden="1">
      <c r="B172" s="1006"/>
      <c r="C172" s="1120" t="s">
        <v>198</v>
      </c>
      <c r="D172" s="1047"/>
      <c r="E172" s="1119"/>
      <c r="F172" s="1687"/>
      <c r="G172" s="1687"/>
      <c r="H172" s="1687"/>
      <c r="I172" s="1008"/>
      <c r="K172" s="1149"/>
    </row>
    <row r="173" spans="2:11" s="1009" customFormat="1" ht="18" hidden="1">
      <c r="B173" s="1006"/>
      <c r="C173" s="1028" t="s">
        <v>49</v>
      </c>
      <c r="D173" s="1047" t="s">
        <v>858</v>
      </c>
      <c r="E173" s="1031"/>
      <c r="F173" s="1060">
        <f>-'FC-7_INF'!G31</f>
        <v>0</v>
      </c>
      <c r="G173" s="1138"/>
      <c r="H173" s="1032"/>
      <c r="I173" s="1008"/>
      <c r="K173" s="1149"/>
    </row>
    <row r="174" spans="2:11" s="1009" customFormat="1" ht="18" hidden="1">
      <c r="B174" s="1006"/>
      <c r="C174" s="1028" t="s">
        <v>49</v>
      </c>
      <c r="D174" s="1047" t="s">
        <v>859</v>
      </c>
      <c r="E174" s="1031"/>
      <c r="F174" s="1060">
        <f>-'FC-7_INF'!I31</f>
        <v>53489.33</v>
      </c>
      <c r="G174" s="1138"/>
      <c r="H174" s="1032"/>
      <c r="I174" s="1008"/>
      <c r="K174" s="1149"/>
    </row>
    <row r="175" spans="2:11" s="1009" customFormat="1" ht="18" hidden="1">
      <c r="B175" s="1006"/>
      <c r="C175" s="1028" t="s">
        <v>49</v>
      </c>
      <c r="D175" s="1047" t="s">
        <v>860</v>
      </c>
      <c r="E175" s="1031"/>
      <c r="F175" s="1060">
        <f>-'FC-7_INF'!J31</f>
        <v>0</v>
      </c>
      <c r="G175" s="1138"/>
      <c r="H175" s="1032"/>
      <c r="I175" s="1008"/>
      <c r="K175" s="1149"/>
    </row>
    <row r="176" spans="2:11" s="1009" customFormat="1" ht="18" hidden="1">
      <c r="B176" s="1006"/>
      <c r="C176" s="1028" t="s">
        <v>49</v>
      </c>
      <c r="D176" s="1047" t="s">
        <v>861</v>
      </c>
      <c r="E176" s="1031"/>
      <c r="F176" s="1060">
        <f>-'FC-7_INF'!L31</f>
        <v>0</v>
      </c>
      <c r="G176" s="1138"/>
      <c r="H176" s="1032"/>
      <c r="I176" s="1008"/>
      <c r="K176" s="1149"/>
    </row>
    <row r="177" spans="2:11" s="1009" customFormat="1" ht="18" hidden="1">
      <c r="B177" s="1006"/>
      <c r="C177" s="1120" t="s">
        <v>52</v>
      </c>
      <c r="D177" s="1047"/>
      <c r="E177" s="1031"/>
      <c r="F177" s="1121">
        <f>F178</f>
        <v>0</v>
      </c>
      <c r="G177" s="1121">
        <f>G178</f>
        <v>0</v>
      </c>
      <c r="H177" s="1122">
        <f>F177+G177</f>
        <v>0</v>
      </c>
      <c r="I177" s="1008"/>
      <c r="K177" s="1149"/>
    </row>
    <row r="178" spans="2:11" s="1009" customFormat="1" ht="18" hidden="1">
      <c r="B178" s="1006"/>
      <c r="C178" s="1028" t="s">
        <v>51</v>
      </c>
      <c r="D178" s="1047" t="s">
        <v>415</v>
      </c>
      <c r="E178" s="1031"/>
      <c r="F178" s="1060">
        <f>-'FC-8_INV_FINANCIERAS'!I25-'FC-8_INV_FINANCIERAS'!I34-'FC-8_INV_FINANCIERAS'!I49-'FC-8_INV_FINANCIERAS'!I58</f>
        <v>0</v>
      </c>
      <c r="G178" s="1138"/>
      <c r="H178" s="1032"/>
      <c r="I178" s="1008"/>
      <c r="K178" s="1149"/>
    </row>
    <row r="179" spans="2:11" s="1009" customFormat="1" ht="18" hidden="1">
      <c r="B179" s="1006"/>
      <c r="C179" s="1120" t="s">
        <v>862</v>
      </c>
      <c r="D179" s="1047"/>
      <c r="E179" s="1031"/>
      <c r="F179" s="1121">
        <f>SUM(F180:F184)</f>
        <v>1542107.3600000003</v>
      </c>
      <c r="G179" s="1121">
        <f>SUM(G180:G184)</f>
        <v>-3515000</v>
      </c>
      <c r="H179" s="1122">
        <f>F179+G179</f>
        <v>-1972892.6399999997</v>
      </c>
      <c r="I179" s="1008"/>
      <c r="K179" s="1149"/>
    </row>
    <row r="180" spans="2:11" s="1009" customFormat="1" ht="18" hidden="1">
      <c r="B180" s="1006"/>
      <c r="C180" s="1028" t="s">
        <v>872</v>
      </c>
      <c r="D180" s="1047" t="s">
        <v>866</v>
      </c>
      <c r="E180" s="1031"/>
      <c r="F180" s="1060">
        <f>'FC-4_ACTIVO'!F51-'FC-4_ACTIVO'!G51</f>
        <v>0</v>
      </c>
      <c r="G180" s="1138"/>
      <c r="H180" s="1032"/>
      <c r="I180" s="1008"/>
      <c r="K180" s="1149"/>
    </row>
    <row r="181" spans="2:11" s="1009" customFormat="1" ht="18" hidden="1">
      <c r="B181" s="1006"/>
      <c r="C181" s="1028" t="s">
        <v>872</v>
      </c>
      <c r="D181" s="1047" t="s">
        <v>867</v>
      </c>
      <c r="E181" s="1031"/>
      <c r="F181" s="1060">
        <f>'FC-4_ACTIVO'!F52-'FC-4_ACTIVO'!G52</f>
        <v>0</v>
      </c>
      <c r="G181" s="1138"/>
      <c r="H181" s="1032"/>
      <c r="I181" s="1008"/>
      <c r="K181" s="1149"/>
    </row>
    <row r="182" spans="2:11" s="1009" customFormat="1" ht="18" hidden="1">
      <c r="B182" s="1006"/>
      <c r="C182" s="1028" t="s">
        <v>872</v>
      </c>
      <c r="D182" s="1047" t="s">
        <v>868</v>
      </c>
      <c r="E182" s="1031"/>
      <c r="F182" s="1060">
        <f>'FC-4_ACTIVO'!F65-'FC-4_ACTIVO'!G65</f>
        <v>3513102.81</v>
      </c>
      <c r="G182" s="1138">
        <v>-3515000</v>
      </c>
      <c r="H182" s="1032"/>
      <c r="I182" s="1008"/>
      <c r="K182" s="1149"/>
    </row>
    <row r="183" spans="2:11" s="1009" customFormat="1" ht="18" hidden="1">
      <c r="B183" s="1006"/>
      <c r="C183" s="1028" t="s">
        <v>872</v>
      </c>
      <c r="D183" s="1047" t="s">
        <v>869</v>
      </c>
      <c r="E183" s="1031"/>
      <c r="F183" s="1060">
        <f>'FC-4_ACTIVO'!F89-'FC-4_ACTIVO'!G89</f>
        <v>0</v>
      </c>
      <c r="G183" s="1138"/>
      <c r="H183" s="1032"/>
      <c r="I183" s="1008"/>
      <c r="K183" s="1149"/>
    </row>
    <row r="184" spans="2:11" s="1009" customFormat="1" ht="18" hidden="1">
      <c r="B184" s="1006"/>
      <c r="C184" s="1028" t="s">
        <v>872</v>
      </c>
      <c r="D184" s="1047" t="s">
        <v>870</v>
      </c>
      <c r="E184" s="1031"/>
      <c r="F184" s="1060">
        <f>'FC-4_ACTIVO'!F90-'FC-4_ACTIVO'!G90</f>
        <v>-1970995.4499999997</v>
      </c>
      <c r="G184" s="1138"/>
      <c r="H184" s="1032"/>
      <c r="I184" s="1008"/>
      <c r="K184" s="1149"/>
    </row>
    <row r="185" spans="2:11" s="1009" customFormat="1" ht="18" hidden="1">
      <c r="B185" s="1006"/>
      <c r="C185" s="1123" t="s">
        <v>863</v>
      </c>
      <c r="D185" s="1047"/>
      <c r="E185" s="1031"/>
      <c r="F185" s="1121">
        <f>'FC-4_ACTIVO'!F48-'FC-4_ACTIVO'!G48</f>
        <v>0</v>
      </c>
      <c r="G185" s="1138"/>
      <c r="H185" s="1122">
        <f>F185+G185</f>
        <v>0</v>
      </c>
      <c r="I185" s="1008"/>
      <c r="K185" s="1149"/>
    </row>
    <row r="186" spans="2:11" s="1009" customFormat="1" ht="18" hidden="1">
      <c r="B186" s="1006"/>
      <c r="C186" s="1120" t="s">
        <v>864</v>
      </c>
      <c r="D186" s="1047"/>
      <c r="E186" s="1031"/>
      <c r="F186" s="1121">
        <f>SUM(F187:F194)</f>
        <v>1923771.71</v>
      </c>
      <c r="G186" s="1121">
        <f>SUM(G187:G194)</f>
        <v>0</v>
      </c>
      <c r="H186" s="1122">
        <f>F186+G186</f>
        <v>1923771.71</v>
      </c>
      <c r="I186" s="1008"/>
      <c r="K186" s="1149"/>
    </row>
    <row r="187" spans="2:11" s="1009" customFormat="1" ht="18" hidden="1">
      <c r="B187" s="1006"/>
      <c r="C187" s="1028" t="s">
        <v>873</v>
      </c>
      <c r="D187" s="1047" t="s">
        <v>927</v>
      </c>
      <c r="E187" s="1031"/>
      <c r="F187" s="1060">
        <f>'FC-4_PASIVO'!G44-'FC-4_PASIVO'!F44</f>
        <v>0</v>
      </c>
      <c r="G187" s="1121"/>
      <c r="H187" s="1122"/>
      <c r="I187" s="1008"/>
      <c r="K187" s="1149"/>
    </row>
    <row r="188" spans="2:11" s="1009" customFormat="1" ht="18" hidden="1">
      <c r="B188" s="1006"/>
      <c r="C188" s="1028" t="s">
        <v>873</v>
      </c>
      <c r="D188" s="1047" t="s">
        <v>871</v>
      </c>
      <c r="E188" s="1031"/>
      <c r="F188" s="1060">
        <f>'FC-9_TRANS_SUBV'!L46</f>
        <v>-1456.13</v>
      </c>
      <c r="G188" s="1138"/>
      <c r="H188" s="1032"/>
      <c r="I188" s="1008"/>
      <c r="K188" s="1149"/>
    </row>
    <row r="189" spans="2:11" s="1009" customFormat="1" ht="18" hidden="1">
      <c r="B189" s="1006"/>
      <c r="C189" s="1028" t="s">
        <v>873</v>
      </c>
      <c r="D189" s="1047" t="s">
        <v>874</v>
      </c>
      <c r="E189" s="1031"/>
      <c r="F189" s="1060">
        <f>'FC-4_PASIVO'!G57-'FC-4_PASIVO'!F57</f>
        <v>0</v>
      </c>
      <c r="G189" s="1138"/>
      <c r="H189" s="1032"/>
      <c r="I189" s="1008"/>
      <c r="K189" s="1149"/>
    </row>
    <row r="190" spans="2:11" s="1009" customFormat="1" ht="18" hidden="1">
      <c r="B190" s="1006"/>
      <c r="C190" s="1028" t="s">
        <v>873</v>
      </c>
      <c r="D190" s="1047" t="s">
        <v>875</v>
      </c>
      <c r="E190" s="1031"/>
      <c r="F190" s="1060">
        <f>'FC-4_PASIVO'!G73-'FC-4_PASIVO'!F73</f>
        <v>1925227.8399999999</v>
      </c>
      <c r="G190" s="1138"/>
      <c r="H190" s="1032"/>
      <c r="I190" s="1008"/>
      <c r="K190" s="1149"/>
    </row>
    <row r="191" spans="2:11" s="1009" customFormat="1" ht="18" hidden="1">
      <c r="B191" s="1006"/>
      <c r="C191" s="1028" t="s">
        <v>873</v>
      </c>
      <c r="D191" s="1047" t="s">
        <v>928</v>
      </c>
      <c r="E191" s="1031"/>
      <c r="F191" s="1060">
        <f>'FC-4_PASIVO'!G63-'FC-4_PASIVO'!F63</f>
        <v>0</v>
      </c>
      <c r="G191" s="1138"/>
      <c r="H191" s="1032"/>
      <c r="I191" s="1008"/>
      <c r="K191" s="1149"/>
    </row>
    <row r="192" spans="2:11" s="1009" customFormat="1" ht="18" hidden="1">
      <c r="B192" s="1006"/>
      <c r="C192" s="1028" t="s">
        <v>873</v>
      </c>
      <c r="D192" s="1047" t="s">
        <v>931</v>
      </c>
      <c r="E192" s="1031"/>
      <c r="F192" s="1060">
        <f>'FC-4_PASIVO'!G83-'FC-4_PASIVO'!F83</f>
        <v>0</v>
      </c>
      <c r="G192" s="1138"/>
      <c r="H192" s="1032"/>
      <c r="I192" s="1008"/>
      <c r="K192" s="1149"/>
    </row>
    <row r="193" spans="2:11" s="1009" customFormat="1" ht="18" hidden="1">
      <c r="B193" s="1006"/>
      <c r="C193" s="1315" t="s">
        <v>873</v>
      </c>
      <c r="D193" s="1316" t="s">
        <v>1021</v>
      </c>
      <c r="E193" s="1317"/>
      <c r="F193" s="1318">
        <f>'FC-4_PASIVO'!G58-'FC-4_PASIVO'!F58</f>
        <v>0</v>
      </c>
      <c r="G193" s="1138"/>
      <c r="H193" s="1032"/>
      <c r="I193" s="1008"/>
      <c r="K193" s="1149"/>
    </row>
    <row r="194" spans="2:11" s="1009" customFormat="1" ht="18" hidden="1">
      <c r="B194" s="1006"/>
      <c r="C194" s="1315" t="s">
        <v>873</v>
      </c>
      <c r="D194" s="1316" t="s">
        <v>1022</v>
      </c>
      <c r="E194" s="1317"/>
      <c r="F194" s="1318"/>
      <c r="G194" s="1138">
        <v>0</v>
      </c>
      <c r="H194" s="1032"/>
      <c r="I194" s="1008"/>
      <c r="K194" s="1149"/>
    </row>
    <row r="195" spans="2:11" s="1009" customFormat="1" ht="18" hidden="1">
      <c r="B195" s="1006"/>
      <c r="C195" s="1120" t="s">
        <v>865</v>
      </c>
      <c r="D195" s="1047"/>
      <c r="E195" s="1031"/>
      <c r="F195" s="1121">
        <f>F196</f>
        <v>-4368.3999999999996</v>
      </c>
      <c r="G195" s="1121">
        <f>G196</f>
        <v>0</v>
      </c>
      <c r="H195" s="1122">
        <f>F195+G195</f>
        <v>-4368.3999999999996</v>
      </c>
      <c r="I195" s="1008"/>
      <c r="K195" s="1149"/>
    </row>
    <row r="196" spans="2:11" s="1009" customFormat="1" ht="18" hidden="1">
      <c r="B196" s="1006"/>
      <c r="C196" s="1028" t="s">
        <v>873</v>
      </c>
      <c r="D196" s="1047" t="s">
        <v>844</v>
      </c>
      <c r="E196" s="1031"/>
      <c r="F196" s="1060">
        <f>'FC-9_TRANS_SUBV'!K46</f>
        <v>-4368.3999999999996</v>
      </c>
      <c r="G196" s="1060">
        <v>0</v>
      </c>
      <c r="H196" s="1032"/>
      <c r="I196" s="1008"/>
      <c r="K196" s="1149"/>
    </row>
    <row r="197" spans="2:11" s="1009" customFormat="1" ht="18" hidden="1">
      <c r="B197" s="1006"/>
      <c r="C197" s="1120" t="s">
        <v>905</v>
      </c>
      <c r="D197" s="1047"/>
      <c r="E197" s="1031"/>
      <c r="F197" s="1121">
        <f>SUM(F198:F202)</f>
        <v>0</v>
      </c>
      <c r="G197" s="1121">
        <f>SUM(G198:G202)</f>
        <v>-192401.5</v>
      </c>
      <c r="H197" s="1121">
        <f>SUM(F197:G197)</f>
        <v>-192401.5</v>
      </c>
      <c r="I197" s="1008"/>
      <c r="K197" s="1149"/>
    </row>
    <row r="198" spans="2:11" s="1009" customFormat="1" ht="18" hidden="1">
      <c r="B198" s="1006"/>
      <c r="C198" s="1144"/>
      <c r="D198" s="1145" t="s">
        <v>274</v>
      </c>
      <c r="E198" s="1031"/>
      <c r="F198" s="1138"/>
      <c r="G198" s="1138">
        <v>-192401.5</v>
      </c>
      <c r="H198" s="1032"/>
      <c r="I198" s="1008"/>
      <c r="K198" s="1149"/>
    </row>
    <row r="199" spans="2:11" s="1009" customFormat="1" ht="18" hidden="1">
      <c r="B199" s="1006"/>
      <c r="C199" s="1144"/>
      <c r="D199" s="1145"/>
      <c r="E199" s="1031"/>
      <c r="F199" s="1138"/>
      <c r="G199" s="1138"/>
      <c r="H199" s="1032"/>
      <c r="I199" s="1008"/>
      <c r="K199" s="1149"/>
    </row>
    <row r="200" spans="2:11" s="1009" customFormat="1" ht="18" hidden="1">
      <c r="B200" s="1006"/>
      <c r="C200" s="1144"/>
      <c r="D200" s="1145"/>
      <c r="E200" s="1031"/>
      <c r="F200" s="1138"/>
      <c r="G200" s="1138"/>
      <c r="H200" s="1032"/>
      <c r="I200" s="1008"/>
      <c r="K200" s="1149"/>
    </row>
    <row r="201" spans="2:11" s="1009" customFormat="1" ht="18" hidden="1">
      <c r="B201" s="1006"/>
      <c r="C201" s="1146"/>
      <c r="D201" s="1145"/>
      <c r="E201" s="1096"/>
      <c r="F201" s="1140"/>
      <c r="G201" s="1140"/>
      <c r="H201" s="1032"/>
      <c r="I201" s="1008"/>
      <c r="K201" s="1149"/>
    </row>
    <row r="202" spans="2:11" s="1009" customFormat="1" ht="18.75" hidden="1" thickBot="1">
      <c r="B202" s="1006"/>
      <c r="C202" s="1147"/>
      <c r="D202" s="1148"/>
      <c r="E202" s="1124"/>
      <c r="F202" s="1143"/>
      <c r="G202" s="1143"/>
      <c r="H202" s="1125"/>
      <c r="I202" s="1008"/>
      <c r="K202" s="1149"/>
    </row>
    <row r="203" spans="2:11" s="1009" customFormat="1" ht="15">
      <c r="B203" s="1006"/>
      <c r="C203" s="1075"/>
      <c r="D203" s="1112"/>
      <c r="E203" s="1112"/>
      <c r="F203" s="1112"/>
      <c r="G203" s="1112"/>
      <c r="H203" s="1116"/>
      <c r="I203" s="1008"/>
    </row>
    <row r="204" spans="2:11" ht="15.75" thickBot="1">
      <c r="B204" s="1126"/>
      <c r="C204" s="1666"/>
      <c r="D204" s="1666"/>
      <c r="E204" s="1127"/>
      <c r="F204" s="1127"/>
      <c r="G204" s="1127"/>
      <c r="H204" s="1128"/>
      <c r="I204" s="1129"/>
      <c r="K204" s="1009"/>
    </row>
    <row r="205" spans="2:11" ht="12.75">
      <c r="C205" s="607"/>
      <c r="D205" s="607"/>
      <c r="E205" s="1003"/>
      <c r="F205" s="1003"/>
      <c r="G205" s="1003"/>
      <c r="H205" s="607"/>
    </row>
    <row r="206" spans="2:11" ht="12.75">
      <c r="C206" s="1130" t="s">
        <v>70</v>
      </c>
      <c r="D206" s="607"/>
      <c r="E206" s="1003"/>
      <c r="F206" s="1003"/>
      <c r="G206" s="1003"/>
      <c r="H206" s="993" t="s">
        <v>904</v>
      </c>
    </row>
    <row r="207" spans="2:11" ht="12.75">
      <c r="C207" s="1131" t="s">
        <v>71</v>
      </c>
      <c r="D207" s="607"/>
      <c r="E207" s="1003"/>
      <c r="F207" s="1003"/>
      <c r="G207" s="1003"/>
      <c r="H207" s="607"/>
    </row>
    <row r="208" spans="2:11" ht="12.75">
      <c r="C208" s="1131" t="s">
        <v>72</v>
      </c>
      <c r="D208" s="607"/>
      <c r="E208" s="1003"/>
      <c r="F208" s="1003"/>
      <c r="G208" s="1003"/>
      <c r="H208" s="607"/>
    </row>
    <row r="209" spans="3:8" ht="12.75">
      <c r="C209" s="1131" t="s">
        <v>73</v>
      </c>
      <c r="D209" s="607"/>
      <c r="E209" s="1003"/>
      <c r="F209" s="1003"/>
      <c r="G209" s="1003"/>
      <c r="H209" s="607"/>
    </row>
    <row r="210" spans="3:8" ht="12.75">
      <c r="C210" s="1131" t="s">
        <v>74</v>
      </c>
      <c r="D210" s="607"/>
      <c r="E210" s="1003"/>
      <c r="F210" s="1003"/>
      <c r="G210" s="1003"/>
      <c r="H210" s="607"/>
    </row>
    <row r="211" spans="3:8" ht="12.75">
      <c r="C211" s="607"/>
      <c r="D211" s="607"/>
      <c r="E211" s="1003"/>
      <c r="F211" s="1003"/>
      <c r="G211" s="1003"/>
      <c r="H211" s="607"/>
    </row>
    <row r="212" spans="3:8" ht="12.75">
      <c r="C212" s="607"/>
      <c r="D212" s="607"/>
      <c r="E212" s="1003"/>
      <c r="F212" s="1003"/>
      <c r="G212" s="1003"/>
      <c r="H212" s="607"/>
    </row>
    <row r="213" spans="3:8" ht="12.75">
      <c r="C213" s="607"/>
      <c r="D213" s="607"/>
      <c r="E213" s="1003"/>
      <c r="F213" s="1003"/>
      <c r="G213" s="1003"/>
      <c r="H213" s="607"/>
    </row>
    <row r="214" spans="3:8" s="1041" customFormat="1" ht="20.25">
      <c r="C214" s="1132" t="s">
        <v>878</v>
      </c>
      <c r="D214" s="607"/>
      <c r="E214" s="1003"/>
      <c r="F214" s="1133"/>
      <c r="G214" s="1133"/>
      <c r="H214" s="1002"/>
    </row>
    <row r="215" spans="3:8" ht="12.75">
      <c r="C215" s="607"/>
      <c r="D215" s="607"/>
      <c r="E215" s="1003"/>
      <c r="H215" s="607"/>
    </row>
    <row r="216" spans="3:8" ht="12.75">
      <c r="C216" s="607"/>
      <c r="D216" s="607"/>
      <c r="E216" s="1003"/>
    </row>
    <row r="217" spans="3:8" ht="18.75" thickBot="1">
      <c r="C217" s="1099" t="s">
        <v>845</v>
      </c>
      <c r="D217" s="1100"/>
      <c r="E217" s="1101"/>
    </row>
    <row r="218" spans="3:8" ht="23.1" customHeight="1" thickTop="1">
      <c r="C218" s="607"/>
      <c r="D218" s="607" t="s">
        <v>879</v>
      </c>
      <c r="E218" s="1003">
        <f>+E167</f>
        <v>-2019110.0199999996</v>
      </c>
    </row>
    <row r="219" spans="3:8" ht="23.1" customHeight="1">
      <c r="D219" s="599" t="s">
        <v>880</v>
      </c>
      <c r="E219" s="995">
        <f>+'FC-3_CPyG'!G95</f>
        <v>-2019110.0199999989</v>
      </c>
    </row>
    <row r="220" spans="3:8" ht="23.1" customHeight="1">
      <c r="E220" s="1134" t="str">
        <f>IF(ROUND(E218-E219,2)=0,"OK","Mal, revísalo")</f>
        <v>OK</v>
      </c>
    </row>
    <row r="222" spans="3:8" ht="23.1" customHeight="1">
      <c r="D222" s="599" t="s">
        <v>881</v>
      </c>
      <c r="E222" s="995">
        <f>+H167</f>
        <v>192401.5</v>
      </c>
    </row>
    <row r="223" spans="3:8" ht="23.1" customHeight="1">
      <c r="D223" s="599" t="s">
        <v>882</v>
      </c>
      <c r="E223" s="995">
        <f>+H169</f>
        <v>-192401.49999999962</v>
      </c>
    </row>
    <row r="224" spans="3:8" ht="23.1" customHeight="1">
      <c r="E224" s="1134" t="str">
        <f>IF(ROUND(E222+E223,2)=0,"OK","Revísalo")</f>
        <v>OK</v>
      </c>
    </row>
  </sheetData>
  <sheetProtection algorithmName="SHA-512" hashValue="CCCyuTHl8qxNesAYPOLzVNfOeEiY5SN1Shs77nqusox6zrYyrdrWumVg+QpX+FG1nMVbsd4vA+2yVXqS4opqOA==" saltValue="jLx8b38T02V8uh5aM2FcjA==" spinCount="100000" sheet="1" scenarios="1" selectLockedCells="1" selectUnlockedCells="1"/>
  <mergeCells count="21">
    <mergeCell ref="F170:F172"/>
    <mergeCell ref="H170:H172"/>
    <mergeCell ref="G170:G172"/>
    <mergeCell ref="C50:D50"/>
    <mergeCell ref="H6:H7"/>
    <mergeCell ref="D9:H9"/>
    <mergeCell ref="C14:D14"/>
    <mergeCell ref="C39:D39"/>
    <mergeCell ref="C204:D204"/>
    <mergeCell ref="C165:D165"/>
    <mergeCell ref="C68:D68"/>
    <mergeCell ref="C70:D70"/>
    <mergeCell ref="C72:D72"/>
    <mergeCell ref="C83:D83"/>
    <mergeCell ref="C86:D86"/>
    <mergeCell ref="C116:D116"/>
    <mergeCell ref="C127:D127"/>
    <mergeCell ref="C144:D144"/>
    <mergeCell ref="C146:D146"/>
    <mergeCell ref="C151:D151"/>
    <mergeCell ref="C169:D16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55"/>
  <sheetViews>
    <sheetView topLeftCell="A9" zoomScale="130" zoomScaleNormal="130" workbookViewId="0">
      <selection activeCell="D41" sqref="D41"/>
    </sheetView>
  </sheetViews>
  <sheetFormatPr baseColWidth="10" defaultColWidth="10.6640625" defaultRowHeight="23.1" customHeight="1"/>
  <cols>
    <col min="1" max="1" width="4.6640625" style="2" bestFit="1" customWidth="1"/>
    <col min="2" max="2" width="3.109375" style="2" customWidth="1"/>
    <col min="3" max="3" width="12.109375" style="2" customWidth="1"/>
    <col min="4" max="4" width="7.5546875" style="2" customWidth="1"/>
    <col min="5" max="5" width="15.33203125" style="2" customWidth="1"/>
    <col min="6" max="7" width="18.33203125" style="2" customWidth="1"/>
    <col min="8" max="8" width="13" style="2" customWidth="1"/>
    <col min="9" max="9" width="3.5546875" style="2" customWidth="1"/>
    <col min="10" max="16384" width="10.6640625" style="2"/>
  </cols>
  <sheetData>
    <row r="1" spans="1:24" ht="23.1" customHeight="1">
      <c r="E1" s="3"/>
    </row>
    <row r="2" spans="1:24" ht="23.1" customHeight="1">
      <c r="D2" s="298" t="str">
        <f>_GENERAL!D2</f>
        <v>Área de Presidencia, Hacienda y Modernización</v>
      </c>
    </row>
    <row r="3" spans="1:24" ht="23.1" customHeight="1">
      <c r="D3" s="298" t="str">
        <f>_GENERAL!D3</f>
        <v>Dirección Insular de Hacienda</v>
      </c>
    </row>
    <row r="4" spans="1:24" ht="23.1" customHeight="1" thickBot="1">
      <c r="A4" s="926" t="s">
        <v>884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393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5"/>
    </row>
    <row r="6" spans="1:24" ht="30" customHeight="1">
      <c r="B6" s="8"/>
      <c r="C6" s="1" t="s">
        <v>0</v>
      </c>
      <c r="D6" s="22"/>
      <c r="E6" s="22"/>
      <c r="F6" s="22"/>
      <c r="G6" s="3"/>
      <c r="H6" s="1489">
        <f>ejercicio</f>
        <v>2021</v>
      </c>
      <c r="I6" s="9"/>
      <c r="K6" s="396"/>
      <c r="L6" s="397" t="s">
        <v>628</v>
      </c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</row>
    <row r="7" spans="1:24" ht="30" customHeight="1">
      <c r="B7" s="8"/>
      <c r="C7" s="1" t="s">
        <v>1</v>
      </c>
      <c r="D7" s="3"/>
      <c r="E7" s="3"/>
      <c r="F7" s="3"/>
      <c r="G7" s="3"/>
      <c r="H7" s="1489">
        <v>2018</v>
      </c>
      <c r="I7" s="9"/>
      <c r="K7" s="396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396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</row>
    <row r="9" spans="1:24" ht="30" customHeight="1">
      <c r="B9" s="8"/>
      <c r="C9" s="38" t="s">
        <v>2</v>
      </c>
      <c r="D9" s="1494" t="str">
        <f>Entidad</f>
        <v>Spet, turismo de Tenerife s.a</v>
      </c>
      <c r="E9" s="1494"/>
      <c r="F9" s="1494"/>
      <c r="G9" s="1494"/>
      <c r="H9" s="1494"/>
      <c r="I9" s="9"/>
      <c r="K9" s="400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2"/>
    </row>
    <row r="10" spans="1:24" ht="6.95" customHeight="1">
      <c r="B10" s="8"/>
      <c r="C10" s="3"/>
      <c r="D10" s="3"/>
      <c r="E10" s="3"/>
      <c r="F10" s="3"/>
      <c r="G10" s="3"/>
      <c r="H10" s="10"/>
      <c r="I10" s="9"/>
      <c r="K10" s="396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</row>
    <row r="11" spans="1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03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5"/>
    </row>
    <row r="12" spans="1:24" ht="23.1" customHeight="1">
      <c r="B12" s="8"/>
      <c r="C12" s="3"/>
      <c r="D12" s="3"/>
      <c r="E12" s="3"/>
      <c r="F12" s="3"/>
      <c r="G12" s="3"/>
      <c r="H12" s="3"/>
      <c r="I12" s="9"/>
      <c r="K12" s="403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</row>
    <row r="13" spans="1:24" ht="23.1" customHeight="1">
      <c r="B13" s="8"/>
      <c r="C13" s="13" t="s">
        <v>608</v>
      </c>
      <c r="D13" s="13"/>
      <c r="E13" s="13"/>
      <c r="F13" s="13"/>
      <c r="G13" s="13"/>
      <c r="H13" s="526">
        <f>+H15+H19</f>
        <v>12</v>
      </c>
      <c r="I13" s="9"/>
      <c r="K13" s="396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</row>
    <row r="14" spans="1:24" ht="23.1" customHeight="1">
      <c r="B14" s="8"/>
      <c r="C14" s="3"/>
      <c r="D14" s="3"/>
      <c r="E14" s="3"/>
      <c r="F14" s="3"/>
      <c r="G14" s="3"/>
      <c r="H14" s="3"/>
      <c r="I14" s="9"/>
      <c r="K14" s="396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</row>
    <row r="15" spans="1:24" ht="23.1" customHeight="1">
      <c r="B15" s="8"/>
      <c r="C15" s="3"/>
      <c r="D15" s="527" t="s">
        <v>609</v>
      </c>
      <c r="E15" s="527"/>
      <c r="F15" s="527"/>
      <c r="G15" s="527"/>
      <c r="H15" s="528">
        <f>H16+H17</f>
        <v>9</v>
      </c>
      <c r="I15" s="9"/>
      <c r="K15" s="396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9"/>
    </row>
    <row r="16" spans="1:24" ht="23.1" customHeight="1">
      <c r="B16" s="8"/>
      <c r="C16" s="3"/>
      <c r="D16" s="3"/>
      <c r="E16" s="25" t="s">
        <v>3</v>
      </c>
      <c r="F16" s="25"/>
      <c r="G16" s="25"/>
      <c r="H16" s="425">
        <v>5</v>
      </c>
      <c r="I16" s="9"/>
      <c r="K16" s="396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9"/>
    </row>
    <row r="17" spans="2:24" ht="23.1" customHeight="1">
      <c r="B17" s="8"/>
      <c r="C17" s="3"/>
      <c r="D17" s="3"/>
      <c r="E17" s="25" t="s">
        <v>4</v>
      </c>
      <c r="F17" s="25"/>
      <c r="G17" s="25"/>
      <c r="H17" s="425">
        <v>4</v>
      </c>
      <c r="I17" s="9"/>
      <c r="K17" s="396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396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9"/>
    </row>
    <row r="19" spans="2:24" ht="23.1" customHeight="1">
      <c r="B19" s="8"/>
      <c r="C19" s="3"/>
      <c r="D19" s="527" t="s">
        <v>610</v>
      </c>
      <c r="E19" s="527"/>
      <c r="F19" s="527"/>
      <c r="G19" s="527"/>
      <c r="H19" s="529">
        <v>3</v>
      </c>
      <c r="I19" s="9"/>
      <c r="K19" s="396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9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396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9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396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2:24" ht="30.9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396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9"/>
    </row>
    <row r="23" spans="2:24" ht="23.1" customHeight="1">
      <c r="B23" s="8"/>
      <c r="C23" s="28" t="s">
        <v>611</v>
      </c>
      <c r="D23" s="530" t="s">
        <v>1171</v>
      </c>
      <c r="E23" s="530"/>
      <c r="F23" s="530"/>
      <c r="G23" s="530"/>
      <c r="H23" s="426">
        <v>43738</v>
      </c>
      <c r="I23" s="9"/>
      <c r="K23" s="1471" t="s">
        <v>1192</v>
      </c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9"/>
    </row>
    <row r="24" spans="2:24" ht="23.1" customHeight="1">
      <c r="B24" s="8"/>
      <c r="C24" s="29" t="s">
        <v>612</v>
      </c>
      <c r="D24" s="531" t="s">
        <v>1172</v>
      </c>
      <c r="E24" s="531"/>
      <c r="F24" s="531"/>
      <c r="G24" s="531"/>
      <c r="H24" s="427">
        <v>43738</v>
      </c>
      <c r="I24" s="9"/>
      <c r="K24" s="1471" t="s">
        <v>1192</v>
      </c>
      <c r="L24" s="1472" t="s">
        <v>1193</v>
      </c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9"/>
    </row>
    <row r="25" spans="2:24" ht="23.1" customHeight="1">
      <c r="B25" s="8"/>
      <c r="C25" s="29" t="s">
        <v>613</v>
      </c>
      <c r="D25" s="531" t="s">
        <v>1174</v>
      </c>
      <c r="E25" s="531"/>
      <c r="F25" s="531"/>
      <c r="G25" s="531"/>
      <c r="H25" s="427">
        <v>42936</v>
      </c>
      <c r="I25" s="9"/>
      <c r="K25" s="396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2:24" ht="23.1" customHeight="1">
      <c r="B26" s="8"/>
      <c r="C26" s="29" t="s">
        <v>614</v>
      </c>
      <c r="D26" s="531"/>
      <c r="E26" s="531"/>
      <c r="F26" s="531"/>
      <c r="G26" s="531"/>
      <c r="H26" s="427"/>
      <c r="I26" s="9"/>
      <c r="K26" s="396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9"/>
    </row>
    <row r="27" spans="2:24" ht="23.1" customHeight="1">
      <c r="B27" s="8"/>
      <c r="C27" s="29" t="s">
        <v>8</v>
      </c>
      <c r="D27" s="531" t="s">
        <v>1175</v>
      </c>
      <c r="E27" s="531"/>
      <c r="F27" s="531"/>
      <c r="G27" s="531"/>
      <c r="H27" s="427">
        <v>43738</v>
      </c>
      <c r="I27" s="9"/>
      <c r="K27" s="1471" t="s">
        <v>1184</v>
      </c>
      <c r="L27" s="1472" t="s">
        <v>1185</v>
      </c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9"/>
    </row>
    <row r="28" spans="2:24" ht="23.1" customHeight="1">
      <c r="B28" s="8"/>
      <c r="C28" s="29" t="s">
        <v>9</v>
      </c>
      <c r="D28" s="531" t="s">
        <v>1179</v>
      </c>
      <c r="E28" s="531"/>
      <c r="F28" s="531"/>
      <c r="G28" s="531"/>
      <c r="H28" s="427">
        <v>43738</v>
      </c>
      <c r="I28" s="9"/>
      <c r="K28" s="1471" t="s">
        <v>1188</v>
      </c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9"/>
    </row>
    <row r="29" spans="2:24" ht="23.1" customHeight="1">
      <c r="B29" s="8"/>
      <c r="C29" s="29" t="s">
        <v>10</v>
      </c>
      <c r="D29" s="531" t="s">
        <v>1176</v>
      </c>
      <c r="E29" s="531"/>
      <c r="F29" s="531"/>
      <c r="G29" s="531"/>
      <c r="H29" s="427">
        <v>43738</v>
      </c>
      <c r="I29" s="9"/>
      <c r="K29" s="1471" t="s">
        <v>1186</v>
      </c>
      <c r="L29" s="1472" t="s">
        <v>1187</v>
      </c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9"/>
    </row>
    <row r="30" spans="2:24" ht="23.1" customHeight="1">
      <c r="B30" s="8"/>
      <c r="C30" s="29" t="s">
        <v>11</v>
      </c>
      <c r="D30" s="531" t="s">
        <v>1177</v>
      </c>
      <c r="E30" s="531"/>
      <c r="F30" s="531"/>
      <c r="G30" s="531"/>
      <c r="H30" s="427">
        <v>43738</v>
      </c>
      <c r="I30" s="9"/>
      <c r="K30" s="1471" t="s">
        <v>1192</v>
      </c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8"/>
    </row>
    <row r="31" spans="2:24" ht="23.1" customHeight="1">
      <c r="B31" s="8"/>
      <c r="C31" s="29" t="s">
        <v>12</v>
      </c>
      <c r="D31" s="531" t="s">
        <v>1178</v>
      </c>
      <c r="E31" s="531"/>
      <c r="F31" s="531"/>
      <c r="G31" s="531"/>
      <c r="H31" s="427">
        <v>43738</v>
      </c>
      <c r="I31" s="9"/>
      <c r="K31" s="1471" t="s">
        <v>1189</v>
      </c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8"/>
    </row>
    <row r="32" spans="2:24" ht="23.1" customHeight="1">
      <c r="B32" s="8"/>
      <c r="C32" s="29" t="s">
        <v>13</v>
      </c>
      <c r="D32" s="531" t="s">
        <v>1180</v>
      </c>
      <c r="E32" s="531"/>
      <c r="F32" s="531"/>
      <c r="G32" s="531"/>
      <c r="H32" s="427">
        <v>44046</v>
      </c>
      <c r="I32" s="9"/>
      <c r="K32" s="396" t="s">
        <v>1192</v>
      </c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9"/>
    </row>
    <row r="33" spans="2:25" ht="23.1" customHeight="1">
      <c r="B33" s="8"/>
      <c r="C33" s="29" t="s">
        <v>14</v>
      </c>
      <c r="D33" s="531" t="s">
        <v>1181</v>
      </c>
      <c r="E33" s="531"/>
      <c r="F33" s="531"/>
      <c r="G33" s="531"/>
      <c r="H33" s="427">
        <v>43738</v>
      </c>
      <c r="I33" s="9"/>
      <c r="K33" s="1473" t="s">
        <v>1191</v>
      </c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9"/>
    </row>
    <row r="34" spans="2:25" ht="23.1" customHeight="1">
      <c r="B34" s="8"/>
      <c r="C34" s="29" t="s">
        <v>15</v>
      </c>
      <c r="D34" s="531" t="s">
        <v>1182</v>
      </c>
      <c r="E34" s="531"/>
      <c r="F34" s="531"/>
      <c r="G34" s="531"/>
      <c r="H34" s="427">
        <v>43738</v>
      </c>
      <c r="I34" s="9"/>
      <c r="K34" s="1473" t="s">
        <v>1190</v>
      </c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9"/>
    </row>
    <row r="35" spans="2:25" ht="23.1" customHeight="1">
      <c r="B35" s="8"/>
      <c r="C35" s="29" t="s">
        <v>16</v>
      </c>
      <c r="D35" s="531" t="s">
        <v>1183</v>
      </c>
      <c r="E35" s="531"/>
      <c r="F35" s="531"/>
      <c r="G35" s="531"/>
      <c r="H35" s="427">
        <v>43738</v>
      </c>
      <c r="I35" s="9"/>
      <c r="K35" s="1471" t="s">
        <v>1184</v>
      </c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9"/>
    </row>
    <row r="36" spans="2:25" ht="23.1" customHeight="1">
      <c r="B36" s="8"/>
      <c r="C36" s="29" t="s">
        <v>17</v>
      </c>
      <c r="D36" s="531" t="s">
        <v>1173</v>
      </c>
      <c r="E36" s="531"/>
      <c r="F36" s="531"/>
      <c r="G36" s="531"/>
      <c r="H36" s="427">
        <v>43738</v>
      </c>
      <c r="I36" s="9"/>
      <c r="K36" s="1471" t="s">
        <v>1192</v>
      </c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1"/>
    </row>
    <row r="37" spans="2:25" ht="23.1" customHeight="1">
      <c r="B37" s="8"/>
      <c r="C37" s="29" t="s">
        <v>18</v>
      </c>
      <c r="D37" s="531"/>
      <c r="E37" s="531"/>
      <c r="F37" s="531"/>
      <c r="G37" s="531"/>
      <c r="H37" s="427"/>
      <c r="I37" s="9"/>
      <c r="K37" s="409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1"/>
    </row>
    <row r="38" spans="2:25" ht="23.1" customHeight="1">
      <c r="B38" s="8"/>
      <c r="C38" s="29" t="s">
        <v>19</v>
      </c>
      <c r="D38" s="531"/>
      <c r="E38" s="531"/>
      <c r="F38" s="531"/>
      <c r="G38" s="531"/>
      <c r="H38" s="427"/>
      <c r="I38" s="9"/>
      <c r="K38" s="409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1"/>
    </row>
    <row r="39" spans="2:25" ht="23.1" customHeight="1">
      <c r="B39" s="8"/>
      <c r="C39" s="30"/>
      <c r="D39" s="31"/>
      <c r="E39" s="31"/>
      <c r="F39" s="31"/>
      <c r="G39" s="31"/>
      <c r="H39" s="32"/>
      <c r="I39" s="9"/>
      <c r="K39" s="409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1"/>
    </row>
    <row r="40" spans="2:25" ht="23.1" customHeight="1">
      <c r="B40" s="8"/>
      <c r="C40" s="33" t="s">
        <v>615</v>
      </c>
      <c r="D40" s="532" t="s">
        <v>1173</v>
      </c>
      <c r="E40" s="532"/>
      <c r="F40" s="532"/>
      <c r="G40" s="532"/>
      <c r="H40" s="428">
        <v>43738</v>
      </c>
      <c r="I40" s="9"/>
      <c r="K40" s="1473" t="s">
        <v>1194</v>
      </c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9"/>
    </row>
    <row r="41" spans="2:25" ht="23.1" customHeight="1">
      <c r="B41" s="8"/>
      <c r="C41" s="33" t="s">
        <v>35</v>
      </c>
      <c r="D41" s="531" t="s">
        <v>1174</v>
      </c>
      <c r="E41" s="531"/>
      <c r="F41" s="531"/>
      <c r="G41" s="531"/>
      <c r="H41" s="428">
        <v>42936</v>
      </c>
      <c r="I41" s="9"/>
      <c r="K41" s="396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9"/>
    </row>
    <row r="42" spans="2:25" ht="23.1" customHeight="1" thickBot="1">
      <c r="B42" s="18"/>
      <c r="C42" s="19"/>
      <c r="D42" s="19"/>
      <c r="E42" s="19"/>
      <c r="F42" s="19"/>
      <c r="G42" s="34"/>
      <c r="H42" s="19"/>
      <c r="I42" s="20"/>
      <c r="K42" s="412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4"/>
    </row>
    <row r="43" spans="2:25" ht="23.1" customHeight="1">
      <c r="G43" s="35"/>
      <c r="J43" s="926" t="s">
        <v>885</v>
      </c>
    </row>
    <row r="44" spans="2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5"/>
    </row>
    <row r="50" spans="7:7" ht="23.1" customHeight="1">
      <c r="G50" s="35"/>
    </row>
    <row r="51" spans="7:7" ht="23.1" customHeight="1">
      <c r="G51" s="35"/>
    </row>
    <row r="52" spans="7:7" ht="23.1" customHeight="1">
      <c r="G52" s="35"/>
    </row>
    <row r="53" spans="7:7" ht="23.1" customHeight="1">
      <c r="G53" s="35"/>
    </row>
    <row r="54" spans="7:7" ht="23.1" customHeight="1">
      <c r="G54" s="35"/>
    </row>
    <row r="55" spans="7:7" ht="23.1" customHeight="1">
      <c r="G55" s="35"/>
    </row>
  </sheetData>
  <sheetProtection algorithmName="SHA-512" hashValue="iZEuhNE6xeNAwe0TZm/TDoIKDR2Cph4AXm7Dm2X/XoGAGQJLMiBXgQ/5S9h17PupkeSkPO8J/3CZkbIPwtEPcA==" saltValue="wdnYCtuLVVEpYFyHm1G0OA==" spinCount="100000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F66"/>
  <sheetViews>
    <sheetView topLeftCell="A9" zoomScale="85" zoomScaleNormal="85" workbookViewId="0">
      <selection activeCell="J20" sqref="J20:J27"/>
    </sheetView>
  </sheetViews>
  <sheetFormatPr baseColWidth="10" defaultColWidth="10.6640625" defaultRowHeight="23.1" customHeight="1"/>
  <cols>
    <col min="1" max="1" width="4.109375" style="704" bestFit="1" customWidth="1"/>
    <col min="2" max="2" width="3.109375" style="704" customWidth="1"/>
    <col min="3" max="3" width="13.5546875" style="704" customWidth="1"/>
    <col min="4" max="4" width="16.33203125" style="704" customWidth="1"/>
    <col min="5" max="5" width="14" style="704" customWidth="1"/>
    <col min="6" max="7" width="16.33203125" style="704" customWidth="1"/>
    <col min="8" max="8" width="10.109375" style="704" customWidth="1"/>
    <col min="9" max="9" width="13" style="704" customWidth="1"/>
    <col min="10" max="10" width="10.6640625" style="704"/>
    <col min="11" max="11" width="2" style="704" customWidth="1"/>
    <col min="12" max="12" width="12.6640625" style="704" customWidth="1"/>
    <col min="13" max="15" width="10.6640625" style="704"/>
    <col min="16" max="16" width="30.44140625" style="704" customWidth="1"/>
    <col min="17" max="17" width="3.33203125" style="704" customWidth="1"/>
    <col min="18" max="16384" width="10.6640625" style="704"/>
  </cols>
  <sheetData>
    <row r="1" spans="1:32" ht="23.1" customHeight="1">
      <c r="D1" s="705"/>
    </row>
    <row r="2" spans="1:32" ht="23.1" customHeight="1">
      <c r="D2" s="298" t="str">
        <f>_GENERAL!D2</f>
        <v>Área de Presidencia, Hacienda y Modernización</v>
      </c>
    </row>
    <row r="3" spans="1:32" ht="23.1" customHeight="1">
      <c r="D3" s="298" t="str">
        <f>_GENERAL!D3</f>
        <v>Dirección Insular de Hacienda</v>
      </c>
    </row>
    <row r="4" spans="1:32" ht="23.1" customHeight="1" thickBot="1">
      <c r="A4" s="704" t="s">
        <v>884</v>
      </c>
    </row>
    <row r="5" spans="1:32" ht="9" customHeight="1">
      <c r="B5" s="706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8"/>
      <c r="S5" s="393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5"/>
    </row>
    <row r="6" spans="1:32" ht="30" customHeight="1">
      <c r="B6" s="709"/>
      <c r="C6" s="710" t="s">
        <v>0</v>
      </c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P6" s="1497">
        <f>ejercicio</f>
        <v>2021</v>
      </c>
      <c r="Q6" s="711"/>
      <c r="S6" s="396"/>
      <c r="T6" s="397" t="s">
        <v>628</v>
      </c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9"/>
    </row>
    <row r="7" spans="1:32" ht="30" customHeight="1">
      <c r="B7" s="709"/>
      <c r="C7" s="710" t="s">
        <v>1</v>
      </c>
      <c r="D7" s="705"/>
      <c r="E7" s="705"/>
      <c r="F7" s="705"/>
      <c r="G7" s="705"/>
      <c r="H7" s="705"/>
      <c r="I7" s="705"/>
      <c r="J7" s="705"/>
      <c r="K7" s="705"/>
      <c r="L7" s="705"/>
      <c r="M7" s="712"/>
      <c r="N7" s="705"/>
      <c r="P7" s="1497"/>
      <c r="Q7" s="711"/>
      <c r="S7" s="396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9"/>
    </row>
    <row r="8" spans="1:32" ht="30" customHeight="1">
      <c r="B8" s="709"/>
      <c r="C8" s="713"/>
      <c r="D8" s="705"/>
      <c r="E8" s="705"/>
      <c r="F8" s="705"/>
      <c r="G8" s="705"/>
      <c r="H8" s="705"/>
      <c r="I8" s="705"/>
      <c r="J8" s="705"/>
      <c r="K8" s="705"/>
      <c r="L8" s="705"/>
      <c r="M8" s="712"/>
      <c r="N8" s="705"/>
      <c r="O8" s="714"/>
      <c r="P8" s="714"/>
      <c r="Q8" s="711"/>
      <c r="S8" s="396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9"/>
    </row>
    <row r="9" spans="1:32" s="718" customFormat="1" ht="30" customHeight="1">
      <c r="B9" s="715"/>
      <c r="C9" s="716" t="s">
        <v>2</v>
      </c>
      <c r="D9" s="1499" t="str">
        <f>Entidad</f>
        <v>Spet, turismo de Tenerife s.a</v>
      </c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695"/>
      <c r="Q9" s="717"/>
      <c r="S9" s="400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2"/>
    </row>
    <row r="10" spans="1:32" ht="6.95" customHeight="1">
      <c r="B10" s="709"/>
      <c r="C10" s="705"/>
      <c r="D10" s="705"/>
      <c r="E10" s="705"/>
      <c r="F10" s="705"/>
      <c r="G10" s="705"/>
      <c r="H10" s="705"/>
      <c r="I10" s="712"/>
      <c r="J10" s="705"/>
      <c r="K10" s="705"/>
      <c r="L10" s="705"/>
      <c r="M10" s="705"/>
      <c r="N10" s="705"/>
      <c r="O10" s="705"/>
      <c r="P10" s="705"/>
      <c r="Q10" s="711"/>
      <c r="S10" s="396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9"/>
    </row>
    <row r="11" spans="1:32" s="722" customFormat="1" ht="30" customHeight="1">
      <c r="B11" s="719"/>
      <c r="C11" s="720" t="s">
        <v>76</v>
      </c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1"/>
      <c r="S11" s="403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5"/>
    </row>
    <row r="12" spans="1:32" ht="23.1" customHeight="1">
      <c r="B12" s="709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11"/>
      <c r="S12" s="403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5"/>
    </row>
    <row r="13" spans="1:32" ht="23.1" customHeight="1">
      <c r="B13" s="709"/>
      <c r="C13" s="723" t="s">
        <v>886</v>
      </c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11"/>
      <c r="S13" s="396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9"/>
    </row>
    <row r="14" spans="1:32" ht="23.1" customHeight="1">
      <c r="B14" s="709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1"/>
      <c r="S14" s="396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9"/>
    </row>
    <row r="15" spans="1:32" ht="23.1" customHeight="1">
      <c r="B15" s="709"/>
      <c r="C15" s="705"/>
      <c r="D15" s="705"/>
      <c r="E15" s="705"/>
      <c r="F15" s="1502" t="s">
        <v>671</v>
      </c>
      <c r="G15" s="1502"/>
      <c r="H15" s="1502"/>
      <c r="I15" s="724">
        <f>ejercicio-2</f>
        <v>2019</v>
      </c>
      <c r="J15" s="725"/>
      <c r="K15" s="705"/>
      <c r="L15" s="1502" t="s">
        <v>670</v>
      </c>
      <c r="M15" s="1502"/>
      <c r="N15" s="1502"/>
      <c r="O15" s="726">
        <f>ejercicio-1</f>
        <v>2020</v>
      </c>
      <c r="P15" s="727"/>
      <c r="Q15" s="711"/>
      <c r="S15" s="396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9"/>
    </row>
    <row r="16" spans="1:32" s="735" customFormat="1" ht="51" customHeight="1">
      <c r="B16" s="728"/>
      <c r="C16" s="729" t="s">
        <v>20</v>
      </c>
      <c r="D16" s="729"/>
      <c r="E16" s="730" t="s">
        <v>21</v>
      </c>
      <c r="F16" s="730" t="s">
        <v>22</v>
      </c>
      <c r="G16" s="730" t="s">
        <v>668</v>
      </c>
      <c r="H16" s="731" t="s">
        <v>667</v>
      </c>
      <c r="I16" s="730" t="s">
        <v>889</v>
      </c>
      <c r="J16" s="730" t="s">
        <v>890</v>
      </c>
      <c r="K16" s="730"/>
      <c r="L16" s="732" t="s">
        <v>672</v>
      </c>
      <c r="M16" s="732" t="s">
        <v>24</v>
      </c>
      <c r="N16" s="732" t="s">
        <v>673</v>
      </c>
      <c r="O16" s="732" t="s">
        <v>26</v>
      </c>
      <c r="P16" s="733" t="s">
        <v>520</v>
      </c>
      <c r="Q16" s="734"/>
      <c r="S16" s="396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9"/>
    </row>
    <row r="17" spans="2:32" ht="23.1" customHeight="1">
      <c r="B17" s="709"/>
      <c r="C17" s="429" t="s">
        <v>70</v>
      </c>
      <c r="D17" s="429"/>
      <c r="E17" s="746"/>
      <c r="F17" s="430">
        <v>0.91300000000000003</v>
      </c>
      <c r="G17" s="744">
        <v>210</v>
      </c>
      <c r="H17" s="744" t="s">
        <v>1205</v>
      </c>
      <c r="I17" s="432">
        <v>3005.06</v>
      </c>
      <c r="J17" s="432">
        <f>'FC-4_PASIVO'!E16/230</f>
        <v>4534.943956521739</v>
      </c>
      <c r="K17" s="432"/>
      <c r="L17" s="432">
        <v>0</v>
      </c>
      <c r="M17" s="432">
        <v>0</v>
      </c>
      <c r="N17" s="432">
        <v>0</v>
      </c>
      <c r="O17" s="432">
        <v>0</v>
      </c>
      <c r="P17" s="432"/>
      <c r="Q17" s="711"/>
      <c r="S17" s="396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9"/>
    </row>
    <row r="18" spans="2:32" ht="23.1" customHeight="1">
      <c r="B18" s="709"/>
      <c r="C18" s="433" t="s">
        <v>1195</v>
      </c>
      <c r="D18" s="433"/>
      <c r="E18" s="747"/>
      <c r="F18" s="434">
        <v>2.1739130434782612E-2</v>
      </c>
      <c r="G18" s="745">
        <v>5</v>
      </c>
      <c r="H18" s="745" t="s">
        <v>1206</v>
      </c>
      <c r="I18" s="436">
        <v>3005.06</v>
      </c>
      <c r="J18" s="436">
        <f>J17</f>
        <v>4534.943956521739</v>
      </c>
      <c r="K18" s="436"/>
      <c r="L18" s="436">
        <v>0</v>
      </c>
      <c r="M18" s="436">
        <v>0</v>
      </c>
      <c r="N18" s="436">
        <v>0</v>
      </c>
      <c r="O18" s="436">
        <v>0</v>
      </c>
      <c r="P18" s="436"/>
      <c r="Q18" s="711"/>
      <c r="S18" s="396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9"/>
    </row>
    <row r="19" spans="2:32" ht="23.1" customHeight="1">
      <c r="B19" s="709"/>
      <c r="C19" s="433" t="s">
        <v>1196</v>
      </c>
      <c r="D19" s="433"/>
      <c r="E19" s="747"/>
      <c r="F19" s="434">
        <v>2.1739130434782612E-2</v>
      </c>
      <c r="G19" s="745">
        <v>5</v>
      </c>
      <c r="H19" s="745" t="s">
        <v>1206</v>
      </c>
      <c r="I19" s="436">
        <v>3005.06</v>
      </c>
      <c r="J19" s="436">
        <f>J18</f>
        <v>4534.943956521739</v>
      </c>
      <c r="K19" s="436"/>
      <c r="L19" s="436">
        <v>0</v>
      </c>
      <c r="M19" s="436">
        <v>0</v>
      </c>
      <c r="N19" s="436">
        <v>0</v>
      </c>
      <c r="O19" s="436">
        <v>0</v>
      </c>
      <c r="P19" s="436"/>
      <c r="Q19" s="711"/>
      <c r="S19" s="396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9"/>
    </row>
    <row r="20" spans="2:32" ht="23.1" customHeight="1">
      <c r="B20" s="709"/>
      <c r="C20" s="433" t="s">
        <v>1197</v>
      </c>
      <c r="D20" s="433"/>
      <c r="E20" s="747"/>
      <c r="F20" s="434">
        <v>8.6956521739130436E-3</v>
      </c>
      <c r="G20" s="745">
        <v>2</v>
      </c>
      <c r="H20" s="745" t="s">
        <v>1206</v>
      </c>
      <c r="I20" s="436">
        <v>3005.06</v>
      </c>
      <c r="J20" s="436">
        <f t="shared" ref="J20:J27" si="0">J19</f>
        <v>4534.943956521739</v>
      </c>
      <c r="K20" s="436"/>
      <c r="L20" s="436">
        <v>0</v>
      </c>
      <c r="M20" s="436">
        <v>0</v>
      </c>
      <c r="N20" s="436">
        <v>0</v>
      </c>
      <c r="O20" s="436">
        <v>0</v>
      </c>
      <c r="P20" s="436"/>
      <c r="Q20" s="711"/>
      <c r="S20" s="396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9"/>
    </row>
    <row r="21" spans="2:32" ht="23.1" customHeight="1">
      <c r="B21" s="709"/>
      <c r="C21" s="433" t="s">
        <v>1198</v>
      </c>
      <c r="D21" s="433"/>
      <c r="E21" s="747"/>
      <c r="F21" s="434">
        <v>8.6956521739130436E-3</v>
      </c>
      <c r="G21" s="745">
        <v>2</v>
      </c>
      <c r="H21" s="745" t="s">
        <v>1206</v>
      </c>
      <c r="I21" s="436">
        <v>3005.06</v>
      </c>
      <c r="J21" s="436">
        <f t="shared" si="0"/>
        <v>4534.943956521739</v>
      </c>
      <c r="K21" s="436"/>
      <c r="L21" s="436">
        <v>0</v>
      </c>
      <c r="M21" s="436">
        <v>0</v>
      </c>
      <c r="N21" s="436">
        <v>0</v>
      </c>
      <c r="O21" s="436">
        <v>0</v>
      </c>
      <c r="P21" s="436"/>
      <c r="Q21" s="711"/>
      <c r="S21" s="396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9"/>
    </row>
    <row r="22" spans="2:32" ht="23.1" customHeight="1">
      <c r="B22" s="709"/>
      <c r="C22" s="433" t="s">
        <v>1199</v>
      </c>
      <c r="D22" s="433"/>
      <c r="E22" s="747"/>
      <c r="F22" s="434">
        <v>4.3478260869565218E-3</v>
      </c>
      <c r="G22" s="745">
        <v>1</v>
      </c>
      <c r="H22" s="745" t="s">
        <v>1206</v>
      </c>
      <c r="I22" s="436">
        <v>3005.06</v>
      </c>
      <c r="J22" s="436">
        <f t="shared" si="0"/>
        <v>4534.943956521739</v>
      </c>
      <c r="K22" s="436"/>
      <c r="L22" s="436">
        <v>0</v>
      </c>
      <c r="M22" s="436">
        <v>0</v>
      </c>
      <c r="N22" s="436">
        <v>0</v>
      </c>
      <c r="O22" s="436">
        <v>0</v>
      </c>
      <c r="P22" s="436"/>
      <c r="Q22" s="711"/>
      <c r="S22" s="396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9"/>
    </row>
    <row r="23" spans="2:32" ht="23.1" customHeight="1">
      <c r="B23" s="709"/>
      <c r="C23" s="433" t="s">
        <v>1200</v>
      </c>
      <c r="D23" s="433"/>
      <c r="E23" s="747"/>
      <c r="F23" s="434">
        <v>4.3478260869565218E-3</v>
      </c>
      <c r="G23" s="745">
        <v>1</v>
      </c>
      <c r="H23" s="745" t="s">
        <v>1206</v>
      </c>
      <c r="I23" s="436">
        <v>3005.06</v>
      </c>
      <c r="J23" s="436">
        <f t="shared" si="0"/>
        <v>4534.943956521739</v>
      </c>
      <c r="K23" s="436"/>
      <c r="L23" s="436">
        <v>0</v>
      </c>
      <c r="M23" s="436">
        <v>0</v>
      </c>
      <c r="N23" s="436">
        <v>0</v>
      </c>
      <c r="O23" s="436">
        <v>0</v>
      </c>
      <c r="P23" s="436"/>
      <c r="Q23" s="711"/>
      <c r="S23" s="396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9"/>
    </row>
    <row r="24" spans="2:32" ht="23.1" customHeight="1">
      <c r="B24" s="709"/>
      <c r="C24" s="433" t="s">
        <v>1201</v>
      </c>
      <c r="D24" s="433"/>
      <c r="E24" s="747"/>
      <c r="F24" s="434">
        <v>4.3478260869565218E-3</v>
      </c>
      <c r="G24" s="745">
        <v>1</v>
      </c>
      <c r="H24" s="745" t="s">
        <v>1206</v>
      </c>
      <c r="I24" s="436">
        <v>3005.06</v>
      </c>
      <c r="J24" s="436">
        <f t="shared" si="0"/>
        <v>4534.943956521739</v>
      </c>
      <c r="K24" s="436"/>
      <c r="L24" s="436">
        <v>0</v>
      </c>
      <c r="M24" s="436">
        <v>0</v>
      </c>
      <c r="N24" s="436">
        <v>0</v>
      </c>
      <c r="O24" s="436">
        <v>0</v>
      </c>
      <c r="P24" s="436"/>
      <c r="Q24" s="711"/>
      <c r="S24" s="396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9"/>
    </row>
    <row r="25" spans="2:32" ht="23.1" customHeight="1">
      <c r="B25" s="709"/>
      <c r="C25" s="433" t="s">
        <v>1202</v>
      </c>
      <c r="D25" s="433"/>
      <c r="E25" s="747"/>
      <c r="F25" s="434">
        <v>4.3478260869565218E-3</v>
      </c>
      <c r="G25" s="745">
        <v>1</v>
      </c>
      <c r="H25" s="745" t="s">
        <v>1206</v>
      </c>
      <c r="I25" s="436">
        <v>3005.06</v>
      </c>
      <c r="J25" s="436">
        <f t="shared" si="0"/>
        <v>4534.943956521739</v>
      </c>
      <c r="K25" s="436"/>
      <c r="L25" s="436">
        <v>0</v>
      </c>
      <c r="M25" s="436">
        <v>0</v>
      </c>
      <c r="N25" s="436">
        <v>0</v>
      </c>
      <c r="O25" s="436">
        <v>0</v>
      </c>
      <c r="P25" s="436"/>
      <c r="Q25" s="711"/>
      <c r="S25" s="396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9"/>
    </row>
    <row r="26" spans="2:32" ht="23.1" customHeight="1">
      <c r="B26" s="709"/>
      <c r="C26" s="433" t="s">
        <v>1203</v>
      </c>
      <c r="D26" s="433"/>
      <c r="E26" s="747"/>
      <c r="F26" s="434">
        <v>4.3478260869565218E-3</v>
      </c>
      <c r="G26" s="745">
        <v>1</v>
      </c>
      <c r="H26" s="745" t="s">
        <v>1206</v>
      </c>
      <c r="I26" s="436">
        <v>3005.06</v>
      </c>
      <c r="J26" s="436">
        <f t="shared" si="0"/>
        <v>4534.943956521739</v>
      </c>
      <c r="K26" s="436"/>
      <c r="L26" s="436">
        <v>0</v>
      </c>
      <c r="M26" s="436">
        <v>0</v>
      </c>
      <c r="N26" s="436">
        <v>0</v>
      </c>
      <c r="O26" s="436">
        <v>0</v>
      </c>
      <c r="P26" s="436"/>
      <c r="Q26" s="711"/>
      <c r="S26" s="396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9"/>
    </row>
    <row r="27" spans="2:32" ht="23.1" customHeight="1">
      <c r="B27" s="709"/>
      <c r="C27" s="433" t="s">
        <v>1204</v>
      </c>
      <c r="D27" s="433"/>
      <c r="E27" s="747"/>
      <c r="F27" s="434">
        <v>4.3478260869565218E-3</v>
      </c>
      <c r="G27" s="745">
        <v>1</v>
      </c>
      <c r="H27" s="745" t="s">
        <v>1206</v>
      </c>
      <c r="I27" s="436">
        <v>3005.06</v>
      </c>
      <c r="J27" s="436">
        <f t="shared" si="0"/>
        <v>4534.943956521739</v>
      </c>
      <c r="K27" s="436"/>
      <c r="L27" s="436">
        <v>0</v>
      </c>
      <c r="M27" s="436">
        <v>0</v>
      </c>
      <c r="N27" s="436">
        <v>0</v>
      </c>
      <c r="O27" s="436">
        <v>0</v>
      </c>
      <c r="P27" s="436"/>
      <c r="Q27" s="711"/>
      <c r="S27" s="396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9"/>
    </row>
    <row r="28" spans="2:32" ht="23.1" customHeight="1">
      <c r="B28" s="709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11"/>
      <c r="S28" s="396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9"/>
    </row>
    <row r="29" spans="2:32" ht="23.1" customHeight="1">
      <c r="B29" s="709"/>
      <c r="C29" s="723" t="s">
        <v>27</v>
      </c>
      <c r="D29" s="723"/>
      <c r="E29" s="723"/>
      <c r="F29" s="723"/>
      <c r="G29" s="723"/>
      <c r="H29" s="723"/>
      <c r="I29" s="723"/>
      <c r="J29" s="723"/>
      <c r="K29" s="723"/>
      <c r="L29" s="723"/>
      <c r="M29" s="723"/>
      <c r="N29" s="723"/>
      <c r="O29" s="723"/>
      <c r="P29" s="723"/>
      <c r="Q29" s="711"/>
      <c r="S29" s="396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9"/>
    </row>
    <row r="30" spans="2:32" ht="23.1" customHeight="1">
      <c r="B30" s="709"/>
      <c r="C30" s="713"/>
      <c r="D30" s="713"/>
      <c r="E30" s="713"/>
      <c r="F30" s="713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1"/>
      <c r="S30" s="406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8"/>
    </row>
    <row r="31" spans="2:32" ht="23.1" customHeight="1">
      <c r="B31" s="709"/>
      <c r="C31" s="705"/>
      <c r="D31" s="705"/>
      <c r="E31" s="705"/>
      <c r="F31" s="1502" t="s">
        <v>671</v>
      </c>
      <c r="G31" s="1502"/>
      <c r="H31" s="1502"/>
      <c r="I31" s="724">
        <f>ejercicio-2</f>
        <v>2019</v>
      </c>
      <c r="J31" s="725"/>
      <c r="K31" s="705"/>
      <c r="L31" s="1503" t="s">
        <v>670</v>
      </c>
      <c r="M31" s="1503"/>
      <c r="N31" s="1503"/>
      <c r="O31" s="736">
        <f>ejercicio-1</f>
        <v>2020</v>
      </c>
      <c r="Q31" s="711"/>
      <c r="S31" s="406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8"/>
    </row>
    <row r="32" spans="2:32" ht="44.1" customHeight="1">
      <c r="B32" s="709"/>
      <c r="C32" s="729" t="s">
        <v>20</v>
      </c>
      <c r="D32" s="729"/>
      <c r="E32" s="730" t="s">
        <v>21</v>
      </c>
      <c r="F32" s="730" t="s">
        <v>22</v>
      </c>
      <c r="G32" s="730" t="s">
        <v>668</v>
      </c>
      <c r="H32" s="731" t="s">
        <v>667</v>
      </c>
      <c r="I32" s="730" t="s">
        <v>889</v>
      </c>
      <c r="J32" s="730" t="s">
        <v>28</v>
      </c>
      <c r="K32" s="730"/>
      <c r="L32" s="730" t="s">
        <v>23</v>
      </c>
      <c r="M32" s="730" t="s">
        <v>24</v>
      </c>
      <c r="N32" s="730" t="s">
        <v>25</v>
      </c>
      <c r="O32" s="730" t="s">
        <v>26</v>
      </c>
      <c r="P32" s="733" t="s">
        <v>520</v>
      </c>
      <c r="Q32" s="711"/>
      <c r="S32" s="396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9"/>
    </row>
    <row r="33" spans="2:32" ht="23.1" customHeight="1">
      <c r="B33" s="709"/>
      <c r="C33" s="429"/>
      <c r="D33" s="429"/>
      <c r="E33" s="746"/>
      <c r="F33" s="533"/>
      <c r="G33" s="744"/>
      <c r="H33" s="431"/>
      <c r="I33" s="432"/>
      <c r="J33" s="432"/>
      <c r="K33" s="432"/>
      <c r="L33" s="432"/>
      <c r="M33" s="432"/>
      <c r="N33" s="432"/>
      <c r="O33" s="432"/>
      <c r="P33" s="432"/>
      <c r="Q33" s="711"/>
      <c r="S33" s="396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9"/>
    </row>
    <row r="34" spans="2:32" ht="23.1" customHeight="1">
      <c r="B34" s="709"/>
      <c r="C34" s="433"/>
      <c r="D34" s="433"/>
      <c r="E34" s="747"/>
      <c r="F34" s="534"/>
      <c r="G34" s="745"/>
      <c r="H34" s="435"/>
      <c r="I34" s="436"/>
      <c r="J34" s="436"/>
      <c r="K34" s="436"/>
      <c r="L34" s="436"/>
      <c r="M34" s="436"/>
      <c r="N34" s="436"/>
      <c r="O34" s="436"/>
      <c r="P34" s="436"/>
      <c r="Q34" s="711"/>
      <c r="S34" s="396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9"/>
    </row>
    <row r="35" spans="2:32" ht="23.1" customHeight="1">
      <c r="B35" s="709"/>
      <c r="C35" s="433"/>
      <c r="D35" s="433"/>
      <c r="E35" s="747"/>
      <c r="F35" s="534"/>
      <c r="G35" s="745"/>
      <c r="H35" s="435"/>
      <c r="I35" s="436"/>
      <c r="J35" s="436"/>
      <c r="K35" s="436"/>
      <c r="L35" s="436"/>
      <c r="M35" s="436"/>
      <c r="N35" s="436"/>
      <c r="O35" s="436"/>
      <c r="P35" s="436"/>
      <c r="Q35" s="711"/>
      <c r="S35" s="396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9"/>
    </row>
    <row r="36" spans="2:32" ht="23.1" customHeight="1">
      <c r="B36" s="709"/>
      <c r="C36" s="433"/>
      <c r="D36" s="433"/>
      <c r="E36" s="747"/>
      <c r="F36" s="534"/>
      <c r="G36" s="745"/>
      <c r="H36" s="435"/>
      <c r="I36" s="436"/>
      <c r="J36" s="436"/>
      <c r="K36" s="436"/>
      <c r="L36" s="436"/>
      <c r="M36" s="436"/>
      <c r="N36" s="436"/>
      <c r="O36" s="436"/>
      <c r="P36" s="436"/>
      <c r="Q36" s="711"/>
      <c r="S36" s="409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1"/>
    </row>
    <row r="37" spans="2:32" ht="23.1" customHeight="1">
      <c r="B37" s="709"/>
      <c r="C37" s="433"/>
      <c r="D37" s="433"/>
      <c r="E37" s="747"/>
      <c r="F37" s="534"/>
      <c r="G37" s="745"/>
      <c r="H37" s="435"/>
      <c r="I37" s="436"/>
      <c r="J37" s="436"/>
      <c r="K37" s="436"/>
      <c r="L37" s="436"/>
      <c r="M37" s="436"/>
      <c r="N37" s="436"/>
      <c r="O37" s="436"/>
      <c r="P37" s="436"/>
      <c r="Q37" s="711"/>
      <c r="S37" s="409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1"/>
    </row>
    <row r="38" spans="2:32" ht="23.1" customHeight="1">
      <c r="B38" s="709"/>
      <c r="C38" s="433"/>
      <c r="D38" s="433"/>
      <c r="E38" s="747"/>
      <c r="F38" s="534"/>
      <c r="G38" s="745"/>
      <c r="H38" s="435"/>
      <c r="I38" s="436"/>
      <c r="J38" s="436"/>
      <c r="K38" s="436"/>
      <c r="L38" s="436"/>
      <c r="M38" s="436"/>
      <c r="N38" s="436"/>
      <c r="O38" s="436"/>
      <c r="P38" s="436"/>
      <c r="Q38" s="711"/>
      <c r="S38" s="409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1"/>
    </row>
    <row r="39" spans="2:32" ht="23.1" customHeight="1">
      <c r="B39" s="709"/>
      <c r="C39" s="433"/>
      <c r="D39" s="433"/>
      <c r="E39" s="747"/>
      <c r="F39" s="534"/>
      <c r="G39" s="745"/>
      <c r="H39" s="435"/>
      <c r="I39" s="436"/>
      <c r="J39" s="436"/>
      <c r="K39" s="436"/>
      <c r="L39" s="436"/>
      <c r="M39" s="436"/>
      <c r="N39" s="436"/>
      <c r="O39" s="436"/>
      <c r="P39" s="436"/>
      <c r="Q39" s="711"/>
      <c r="S39" s="409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1"/>
    </row>
    <row r="40" spans="2:32" ht="23.1" customHeight="1">
      <c r="B40" s="709"/>
      <c r="C40" s="433"/>
      <c r="D40" s="433"/>
      <c r="E40" s="747"/>
      <c r="F40" s="534"/>
      <c r="G40" s="745"/>
      <c r="H40" s="435"/>
      <c r="I40" s="436"/>
      <c r="J40" s="436"/>
      <c r="K40" s="436"/>
      <c r="L40" s="436"/>
      <c r="M40" s="436"/>
      <c r="N40" s="436"/>
      <c r="O40" s="436"/>
      <c r="P40" s="436"/>
      <c r="Q40" s="711"/>
      <c r="S40" s="409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1"/>
    </row>
    <row r="41" spans="2:32" ht="23.1" customHeight="1">
      <c r="B41" s="709"/>
      <c r="C41" s="433"/>
      <c r="D41" s="433"/>
      <c r="E41" s="747"/>
      <c r="F41" s="534"/>
      <c r="G41" s="745"/>
      <c r="H41" s="435"/>
      <c r="I41" s="436"/>
      <c r="J41" s="436"/>
      <c r="K41" s="436"/>
      <c r="L41" s="436"/>
      <c r="M41" s="436"/>
      <c r="N41" s="436"/>
      <c r="O41" s="436"/>
      <c r="P41" s="436"/>
      <c r="Q41" s="711"/>
      <c r="S41" s="409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1"/>
    </row>
    <row r="42" spans="2:32" ht="23.1" customHeight="1">
      <c r="B42" s="709"/>
      <c r="C42" s="433"/>
      <c r="D42" s="433"/>
      <c r="E42" s="747"/>
      <c r="F42" s="534"/>
      <c r="G42" s="745"/>
      <c r="H42" s="435"/>
      <c r="I42" s="436"/>
      <c r="J42" s="436"/>
      <c r="K42" s="436"/>
      <c r="L42" s="436"/>
      <c r="M42" s="436"/>
      <c r="N42" s="436"/>
      <c r="O42" s="436"/>
      <c r="P42" s="436"/>
      <c r="Q42" s="711"/>
      <c r="S42" s="409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1"/>
    </row>
    <row r="43" spans="2:32" ht="23.1" customHeight="1">
      <c r="B43" s="709"/>
      <c r="C43" s="433"/>
      <c r="D43" s="433"/>
      <c r="E43" s="747"/>
      <c r="F43" s="534"/>
      <c r="G43" s="745"/>
      <c r="H43" s="435"/>
      <c r="I43" s="436"/>
      <c r="J43" s="436"/>
      <c r="K43" s="436"/>
      <c r="L43" s="436"/>
      <c r="M43" s="436"/>
      <c r="N43" s="436"/>
      <c r="O43" s="436"/>
      <c r="P43" s="436"/>
      <c r="Q43" s="711"/>
      <c r="S43" s="409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1"/>
    </row>
    <row r="44" spans="2:32" ht="23.1" customHeight="1">
      <c r="B44" s="709"/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11"/>
      <c r="S44" s="409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1"/>
    </row>
    <row r="45" spans="2:32" ht="23.1" customHeight="1">
      <c r="B45" s="709"/>
      <c r="C45" s="723" t="s">
        <v>29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10"/>
      <c r="Q45" s="711"/>
      <c r="S45" s="409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1"/>
    </row>
    <row r="46" spans="2:32" ht="23.1" customHeight="1">
      <c r="B46" s="709"/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1"/>
      <c r="S46" s="409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1"/>
    </row>
    <row r="47" spans="2:32" ht="23.1" customHeight="1">
      <c r="B47" s="709"/>
      <c r="C47" s="1500" t="s">
        <v>30</v>
      </c>
      <c r="D47" s="1500"/>
      <c r="E47" s="729"/>
      <c r="F47" s="730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11"/>
      <c r="S47" s="409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1"/>
    </row>
    <row r="48" spans="2:32" ht="23.1" customHeight="1">
      <c r="B48" s="709"/>
      <c r="C48" s="1501" t="s">
        <v>1207</v>
      </c>
      <c r="D48" s="1501"/>
      <c r="E48" s="1501"/>
      <c r="F48" s="1501"/>
      <c r="G48" s="705"/>
      <c r="H48" s="705"/>
      <c r="I48" s="705"/>
      <c r="J48" s="705"/>
      <c r="K48" s="705"/>
      <c r="L48" s="705"/>
      <c r="M48" s="705"/>
      <c r="N48" s="705"/>
      <c r="O48" s="705"/>
      <c r="P48" s="705"/>
      <c r="Q48" s="711"/>
      <c r="S48" s="409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1"/>
    </row>
    <row r="49" spans="2:32" ht="23.1" customHeight="1">
      <c r="B49" s="709"/>
      <c r="C49" s="606"/>
      <c r="D49" s="606"/>
      <c r="E49" s="606"/>
      <c r="F49" s="606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11"/>
      <c r="S49" s="409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1"/>
    </row>
    <row r="50" spans="2:32" ht="23.1" customHeight="1">
      <c r="B50" s="709"/>
      <c r="C50" s="606"/>
      <c r="D50" s="606"/>
      <c r="E50" s="606"/>
      <c r="F50" s="606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11"/>
      <c r="S50" s="409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1"/>
    </row>
    <row r="51" spans="2:32" ht="23.1" customHeight="1">
      <c r="B51" s="709"/>
      <c r="C51" s="676" t="s">
        <v>405</v>
      </c>
      <c r="D51" s="606"/>
      <c r="E51" s="606"/>
      <c r="F51" s="606"/>
      <c r="G51" s="705"/>
      <c r="H51" s="705"/>
      <c r="I51" s="705"/>
      <c r="J51" s="705"/>
      <c r="K51" s="705"/>
      <c r="L51" s="705"/>
      <c r="M51" s="705"/>
      <c r="N51" s="705"/>
      <c r="O51" s="705"/>
      <c r="P51" s="705"/>
      <c r="Q51" s="711"/>
      <c r="S51" s="409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1"/>
    </row>
    <row r="52" spans="2:32" ht="23.1" customHeight="1">
      <c r="B52" s="709"/>
      <c r="C52" s="677"/>
      <c r="D52" s="606"/>
      <c r="E52" s="606"/>
      <c r="F52" s="606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11"/>
      <c r="S52" s="409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1"/>
    </row>
    <row r="53" spans="2:32" ht="23.1" customHeight="1">
      <c r="B53" s="709"/>
      <c r="C53" s="738" t="s">
        <v>887</v>
      </c>
      <c r="D53" s="606"/>
      <c r="E53" s="606"/>
      <c r="F53" s="606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11"/>
      <c r="S53" s="409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1"/>
    </row>
    <row r="54" spans="2:32" ht="23.1" customHeight="1">
      <c r="B54" s="709"/>
      <c r="C54" s="738" t="s">
        <v>888</v>
      </c>
      <c r="D54" s="606"/>
      <c r="E54" s="606"/>
      <c r="F54" s="606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11"/>
      <c r="S54" s="409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1"/>
    </row>
    <row r="55" spans="2:32" ht="23.1" customHeight="1" thickBot="1">
      <c r="B55" s="739"/>
      <c r="C55" s="1498"/>
      <c r="D55" s="1498"/>
      <c r="E55" s="1498"/>
      <c r="F55" s="1498"/>
      <c r="G55" s="740"/>
      <c r="H55" s="740"/>
      <c r="I55" s="740"/>
      <c r="J55" s="740"/>
      <c r="K55" s="740"/>
      <c r="L55" s="740"/>
      <c r="M55" s="740"/>
      <c r="N55" s="740"/>
      <c r="O55" s="740"/>
      <c r="P55" s="740"/>
      <c r="Q55" s="741"/>
      <c r="S55" s="412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4"/>
    </row>
    <row r="56" spans="2:32" ht="23.1" customHeight="1"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R56" s="704" t="s">
        <v>885</v>
      </c>
    </row>
    <row r="57" spans="2:32" ht="12.75">
      <c r="C57" s="742" t="s">
        <v>70</v>
      </c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P57" s="683" t="s">
        <v>77</v>
      </c>
    </row>
    <row r="58" spans="2:32" ht="12.75">
      <c r="C58" s="743" t="s">
        <v>71</v>
      </c>
      <c r="D58" s="705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</row>
    <row r="59" spans="2:32" ht="12.75">
      <c r="C59" s="743" t="s">
        <v>72</v>
      </c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</row>
    <row r="60" spans="2:32" ht="12.75">
      <c r="C60" s="743" t="s">
        <v>73</v>
      </c>
      <c r="D60" s="705"/>
      <c r="E60" s="705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705"/>
    </row>
    <row r="61" spans="2:32" ht="12.75">
      <c r="C61" s="743" t="s">
        <v>74</v>
      </c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</row>
    <row r="62" spans="2:32" ht="23.1" customHeight="1"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</row>
    <row r="63" spans="2:32" ht="23.1" customHeight="1"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</row>
    <row r="64" spans="2:32" ht="23.1" customHeight="1"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</row>
    <row r="65" spans="3:16" ht="23.1" customHeight="1"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05"/>
      <c r="N65" s="705"/>
      <c r="O65" s="705"/>
      <c r="P65" s="705"/>
    </row>
    <row r="66" spans="3:16" ht="23.1" customHeight="1"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</row>
  </sheetData>
  <sheetProtection algorithmName="SHA-512" hashValue="ktBciK5KiDC+K3jFG5SSkaJkbX/bdcdu51PQo4HBN+w0d6Zfr2bVd55iEMFwny32N6g3l6PfiJ3Azov3dMryJg==" saltValue="zr0rfOJ++nXpH/bJQSAE8A==" spinCount="100000"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FF0000"/>
    <pageSetUpPr fitToPage="1"/>
  </sheetPr>
  <dimension ref="A1:W108"/>
  <sheetViews>
    <sheetView topLeftCell="A3" zoomScale="70" zoomScaleNormal="70" zoomScalePageLayoutView="50" workbookViewId="0">
      <selection activeCell="D34" sqref="D34"/>
    </sheetView>
  </sheetViews>
  <sheetFormatPr baseColWidth="10" defaultColWidth="10.6640625" defaultRowHeight="23.1" customHeight="1"/>
  <cols>
    <col min="1" max="1" width="4.109375" style="41" bestFit="1" customWidth="1"/>
    <col min="2" max="2" width="3.109375" style="41" customWidth="1"/>
    <col min="3" max="3" width="13.5546875" style="41" customWidth="1"/>
    <col min="4" max="4" width="76.6640625" style="41" customWidth="1"/>
    <col min="5" max="7" width="18.33203125" style="41" customWidth="1"/>
    <col min="8" max="8" width="3.33203125" style="41" customWidth="1"/>
    <col min="9" max="16384" width="10.6640625" style="41"/>
  </cols>
  <sheetData>
    <row r="1" spans="1:23" ht="23.1" customHeight="1">
      <c r="D1" s="43"/>
    </row>
    <row r="2" spans="1:23" ht="23.1" customHeight="1">
      <c r="D2" s="298" t="str">
        <f>_GENERAL!D2</f>
        <v>Área de Presidencia, Hacienda y Modernización</v>
      </c>
    </row>
    <row r="3" spans="1:23" ht="23.1" customHeight="1">
      <c r="D3" s="298" t="str">
        <f>_GENERAL!D3</f>
        <v>Dirección Insular de Hacienda</v>
      </c>
    </row>
    <row r="4" spans="1:23" ht="23.1" customHeight="1" thickBot="1">
      <c r="A4" s="41" t="s">
        <v>884</v>
      </c>
    </row>
    <row r="5" spans="1:23" ht="9" customHeight="1">
      <c r="B5" s="44"/>
      <c r="C5" s="45"/>
      <c r="D5" s="45"/>
      <c r="E5" s="45"/>
      <c r="F5" s="45"/>
      <c r="G5" s="45"/>
      <c r="H5" s="46"/>
      <c r="J5" s="393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5"/>
    </row>
    <row r="6" spans="1:23" ht="30" customHeight="1">
      <c r="B6" s="47"/>
      <c r="C6" s="1" t="s">
        <v>0</v>
      </c>
      <c r="D6" s="43"/>
      <c r="E6" s="43"/>
      <c r="F6" s="43"/>
      <c r="G6" s="1489">
        <f>ejercicio</f>
        <v>2021</v>
      </c>
      <c r="H6" s="49"/>
      <c r="J6" s="396"/>
      <c r="K6" s="397" t="s">
        <v>628</v>
      </c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</row>
    <row r="7" spans="1:23" ht="30" customHeight="1">
      <c r="B7" s="47"/>
      <c r="C7" s="1" t="s">
        <v>1</v>
      </c>
      <c r="D7" s="43"/>
      <c r="E7" s="43"/>
      <c r="F7" s="43"/>
      <c r="G7" s="1489"/>
      <c r="H7" s="49"/>
      <c r="J7" s="396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</row>
    <row r="8" spans="1:23" ht="30" customHeight="1">
      <c r="B8" s="47"/>
      <c r="C8" s="48"/>
      <c r="D8" s="43"/>
      <c r="E8" s="43"/>
      <c r="F8" s="43"/>
      <c r="G8" s="50"/>
      <c r="H8" s="49"/>
      <c r="J8" s="396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s="59" customFormat="1" ht="30" customHeight="1">
      <c r="B9" s="57"/>
      <c r="C9" s="38" t="s">
        <v>2</v>
      </c>
      <c r="D9" s="1505" t="str">
        <f>Entidad</f>
        <v>Spet, turismo de Tenerife s.a</v>
      </c>
      <c r="E9" s="1505"/>
      <c r="F9" s="1505"/>
      <c r="G9" s="1505"/>
      <c r="H9" s="58"/>
      <c r="J9" s="400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2"/>
    </row>
    <row r="10" spans="1:23" ht="6.95" customHeight="1">
      <c r="B10" s="47"/>
      <c r="C10" s="43"/>
      <c r="D10" s="43"/>
      <c r="E10" s="43"/>
      <c r="F10" s="43"/>
      <c r="G10" s="43"/>
      <c r="H10" s="49"/>
      <c r="J10" s="396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9"/>
    </row>
    <row r="11" spans="1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03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5"/>
    </row>
    <row r="12" spans="1:23" s="61" customFormat="1" ht="30" customHeight="1">
      <c r="B12" s="23"/>
      <c r="C12" s="65"/>
      <c r="D12" s="65"/>
      <c r="E12" s="65"/>
      <c r="F12" s="65"/>
      <c r="G12" s="65"/>
      <c r="H12" s="60"/>
      <c r="J12" s="403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5"/>
    </row>
    <row r="13" spans="1:23" ht="23.1" customHeight="1">
      <c r="B13" s="47"/>
      <c r="C13" s="317"/>
      <c r="D13" s="318"/>
      <c r="E13" s="319" t="s">
        <v>176</v>
      </c>
      <c r="F13" s="320" t="s">
        <v>177</v>
      </c>
      <c r="G13" s="321" t="s">
        <v>178</v>
      </c>
      <c r="H13" s="49"/>
      <c r="J13" s="396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9"/>
    </row>
    <row r="14" spans="1:23" ht="23.1" customHeight="1">
      <c r="B14" s="47"/>
      <c r="C14" s="322"/>
      <c r="D14" s="67"/>
      <c r="E14" s="303">
        <f>ejercicio-2</f>
        <v>2019</v>
      </c>
      <c r="F14" s="310">
        <f>ejercicio-1</f>
        <v>2020</v>
      </c>
      <c r="G14" s="302">
        <f>ejercicio</f>
        <v>2021</v>
      </c>
      <c r="H14" s="49"/>
      <c r="J14" s="396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9"/>
    </row>
    <row r="15" spans="1:23" ht="23.1" customHeight="1">
      <c r="B15" s="47"/>
      <c r="C15" s="323" t="s">
        <v>79</v>
      </c>
      <c r="D15" s="85" t="s">
        <v>80</v>
      </c>
      <c r="E15" s="129"/>
      <c r="F15" s="129"/>
      <c r="G15" s="129"/>
      <c r="H15" s="49"/>
      <c r="J15" s="396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9"/>
    </row>
    <row r="16" spans="1:23" ht="23.1" customHeight="1">
      <c r="B16" s="47"/>
      <c r="C16" s="327" t="s">
        <v>81</v>
      </c>
      <c r="D16" s="69" t="s">
        <v>659</v>
      </c>
      <c r="E16" s="131">
        <f>SUM(E17:E19)</f>
        <v>845802.08</v>
      </c>
      <c r="F16" s="131">
        <f>SUM(F17:F19)</f>
        <v>311318.58</v>
      </c>
      <c r="G16" s="131">
        <f>SUM(G17:G19)</f>
        <v>0</v>
      </c>
      <c r="H16" s="49"/>
      <c r="J16" s="396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9"/>
    </row>
    <row r="17" spans="2:23" ht="23.1" customHeight="1">
      <c r="B17" s="47"/>
      <c r="C17" s="329" t="s">
        <v>82</v>
      </c>
      <c r="D17" s="70" t="s">
        <v>83</v>
      </c>
      <c r="E17" s="437"/>
      <c r="F17" s="437"/>
      <c r="G17" s="437"/>
      <c r="H17" s="49"/>
      <c r="J17" s="396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9"/>
    </row>
    <row r="18" spans="2:23" ht="23.1" customHeight="1">
      <c r="B18" s="47"/>
      <c r="C18" s="330" t="s">
        <v>84</v>
      </c>
      <c r="D18" s="71" t="s">
        <v>85</v>
      </c>
      <c r="E18" s="438">
        <v>845802.08</v>
      </c>
      <c r="F18" s="438">
        <v>311318.58</v>
      </c>
      <c r="G18" s="438">
        <v>0</v>
      </c>
      <c r="H18" s="49"/>
      <c r="J18" s="396" t="s">
        <v>1208</v>
      </c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2:23" ht="23.1" customHeight="1">
      <c r="B19" s="47"/>
      <c r="C19" s="330" t="s">
        <v>86</v>
      </c>
      <c r="D19" s="71" t="s">
        <v>87</v>
      </c>
      <c r="E19" s="438"/>
      <c r="F19" s="438"/>
      <c r="G19" s="438"/>
      <c r="H19" s="49"/>
      <c r="J19" s="396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9"/>
    </row>
    <row r="20" spans="2:23" ht="23.1" customHeight="1">
      <c r="B20" s="47"/>
      <c r="C20" s="327" t="s">
        <v>88</v>
      </c>
      <c r="D20" s="69" t="s">
        <v>89</v>
      </c>
      <c r="E20" s="439"/>
      <c r="F20" s="439"/>
      <c r="G20" s="439"/>
      <c r="H20" s="49"/>
      <c r="J20" s="396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9"/>
    </row>
    <row r="21" spans="2:23" ht="23.1" customHeight="1">
      <c r="B21" s="47"/>
      <c r="C21" s="327" t="s">
        <v>90</v>
      </c>
      <c r="D21" s="69" t="s">
        <v>91</v>
      </c>
      <c r="E21" s="439"/>
      <c r="F21" s="439"/>
      <c r="G21" s="439"/>
      <c r="H21" s="49"/>
      <c r="J21" s="396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9"/>
    </row>
    <row r="22" spans="2:23" ht="23.1" customHeight="1">
      <c r="B22" s="47"/>
      <c r="C22" s="327" t="s">
        <v>92</v>
      </c>
      <c r="D22" s="69" t="s">
        <v>93</v>
      </c>
      <c r="E22" s="131">
        <f>SUM(E23:E26)</f>
        <v>-3640.01</v>
      </c>
      <c r="F22" s="131">
        <f t="shared" ref="F22:G22" si="0">SUM(F23:F26)</f>
        <v>0</v>
      </c>
      <c r="G22" s="131">
        <f t="shared" si="0"/>
        <v>0</v>
      </c>
      <c r="H22" s="49"/>
      <c r="J22" s="396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9"/>
    </row>
    <row r="23" spans="2:23" ht="23.1" customHeight="1">
      <c r="B23" s="47"/>
      <c r="C23" s="329" t="s">
        <v>82</v>
      </c>
      <c r="D23" s="70" t="s">
        <v>94</v>
      </c>
      <c r="E23" s="437"/>
      <c r="F23" s="437"/>
      <c r="G23" s="437"/>
      <c r="H23" s="49"/>
      <c r="J23" s="396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9"/>
    </row>
    <row r="24" spans="2:23" ht="23.1" customHeight="1">
      <c r="B24" s="47"/>
      <c r="C24" s="330" t="s">
        <v>84</v>
      </c>
      <c r="D24" s="71" t="s">
        <v>95</v>
      </c>
      <c r="E24" s="438">
        <v>-3640.01</v>
      </c>
      <c r="F24" s="438">
        <v>0</v>
      </c>
      <c r="G24" s="438">
        <v>0</v>
      </c>
      <c r="H24" s="49"/>
      <c r="J24" s="396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9"/>
    </row>
    <row r="25" spans="2:23" ht="23.1" customHeight="1">
      <c r="B25" s="47"/>
      <c r="C25" s="330" t="s">
        <v>86</v>
      </c>
      <c r="D25" s="71" t="s">
        <v>96</v>
      </c>
      <c r="E25" s="438"/>
      <c r="F25" s="438"/>
      <c r="G25" s="438"/>
      <c r="H25" s="49"/>
      <c r="J25" s="396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9"/>
    </row>
    <row r="26" spans="2:23" ht="23.1" customHeight="1">
      <c r="B26" s="47"/>
      <c r="C26" s="330" t="s">
        <v>97</v>
      </c>
      <c r="D26" s="71" t="s">
        <v>98</v>
      </c>
      <c r="E26" s="438"/>
      <c r="F26" s="438"/>
      <c r="G26" s="438"/>
      <c r="H26" s="49"/>
      <c r="J26" s="396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9"/>
    </row>
    <row r="27" spans="2:23" ht="23.1" customHeight="1">
      <c r="B27" s="47"/>
      <c r="C27" s="327" t="s">
        <v>99</v>
      </c>
      <c r="D27" s="69" t="s">
        <v>662</v>
      </c>
      <c r="E27" s="131">
        <f>SUM(E28:E29)</f>
        <v>11296363.43</v>
      </c>
      <c r="F27" s="131">
        <f t="shared" ref="F27:G27" si="1">SUM(F28:F29)</f>
        <v>12859853.75</v>
      </c>
      <c r="G27" s="131">
        <f t="shared" si="1"/>
        <v>13323007.110000001</v>
      </c>
      <c r="H27" s="49"/>
      <c r="J27" s="396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9"/>
    </row>
    <row r="28" spans="2:23" ht="23.1" customHeight="1">
      <c r="B28" s="47"/>
      <c r="C28" s="329" t="s">
        <v>82</v>
      </c>
      <c r="D28" s="70" t="s">
        <v>100</v>
      </c>
      <c r="E28" s="437">
        <v>0</v>
      </c>
      <c r="F28" s="437">
        <v>5396.18</v>
      </c>
      <c r="G28" s="437">
        <v>0</v>
      </c>
      <c r="H28" s="49"/>
      <c r="J28" s="396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9"/>
    </row>
    <row r="29" spans="2:23" ht="23.1" customHeight="1">
      <c r="B29" s="47"/>
      <c r="C29" s="330" t="s">
        <v>84</v>
      </c>
      <c r="D29" s="71" t="s">
        <v>101</v>
      </c>
      <c r="E29" s="438">
        <v>11296363.43</v>
      </c>
      <c r="F29" s="1476">
        <f>'FC-9_TRANS_SUBV'!G93+'FC-9_TRANS_SUBV'!I114</f>
        <v>12854457.57</v>
      </c>
      <c r="G29" s="438">
        <f>'FC-9_TRANS_SUBV'!H93+'FC-9_TRANS_SUBV'!L114</f>
        <v>13323007.110000001</v>
      </c>
      <c r="H29" s="49"/>
      <c r="J29" s="396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9"/>
    </row>
    <row r="30" spans="2:23" ht="23.1" customHeight="1">
      <c r="B30" s="47"/>
      <c r="C30" s="327" t="s">
        <v>102</v>
      </c>
      <c r="D30" s="69" t="s">
        <v>103</v>
      </c>
      <c r="E30" s="131">
        <f>SUM(E31:E33)</f>
        <v>-2238882.27</v>
      </c>
      <c r="F30" s="131">
        <f t="shared" ref="F30:G30" si="2">SUM(F31:F33)</f>
        <v>-2304552.7400000002</v>
      </c>
      <c r="G30" s="131">
        <f t="shared" si="2"/>
        <v>-2390470.23</v>
      </c>
      <c r="H30" s="49"/>
      <c r="J30" s="1481"/>
      <c r="K30" s="1482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3.1" customHeight="1">
      <c r="B31" s="47"/>
      <c r="C31" s="329" t="s">
        <v>82</v>
      </c>
      <c r="D31" s="70" t="s">
        <v>104</v>
      </c>
      <c r="E31" s="437">
        <v>-1766687.21</v>
      </c>
      <c r="F31" s="437">
        <v>-1786547.27</v>
      </c>
      <c r="G31" s="437">
        <v>-1847526.22</v>
      </c>
      <c r="H31" s="49"/>
      <c r="J31" s="1481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3.1" customHeight="1">
      <c r="B32" s="47"/>
      <c r="C32" s="330" t="s">
        <v>84</v>
      </c>
      <c r="D32" s="71" t="s">
        <v>105</v>
      </c>
      <c r="E32" s="438">
        <v>-472195.06</v>
      </c>
      <c r="F32" s="438">
        <v>-518005.47</v>
      </c>
      <c r="G32" s="438">
        <v>-542944.01</v>
      </c>
      <c r="H32" s="49"/>
      <c r="J32" s="396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9"/>
    </row>
    <row r="33" spans="2:23" ht="23.1" customHeight="1">
      <c r="B33" s="47"/>
      <c r="C33" s="330" t="s">
        <v>86</v>
      </c>
      <c r="D33" s="71" t="s">
        <v>106</v>
      </c>
      <c r="E33" s="438">
        <v>0</v>
      </c>
      <c r="F33" s="438">
        <v>0</v>
      </c>
      <c r="G33" s="438">
        <v>0</v>
      </c>
      <c r="H33" s="49"/>
      <c r="J33" s="396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</row>
    <row r="34" spans="2:23" ht="23.1" customHeight="1">
      <c r="B34" s="47"/>
      <c r="C34" s="327" t="s">
        <v>107</v>
      </c>
      <c r="D34" s="69" t="s">
        <v>108</v>
      </c>
      <c r="E34" s="131">
        <f>SUM(E35:E39)</f>
        <v>-12043195.939999999</v>
      </c>
      <c r="F34" s="131">
        <f t="shared" ref="F34:G34" si="3">SUM(F35:F39)</f>
        <v>-12851271.890000001</v>
      </c>
      <c r="G34" s="131">
        <f t="shared" si="3"/>
        <v>-12903982.1</v>
      </c>
      <c r="H34" s="49"/>
      <c r="J34" s="396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9"/>
    </row>
    <row r="35" spans="2:23" ht="23.1" customHeight="1">
      <c r="B35" s="47"/>
      <c r="C35" s="329" t="s">
        <v>82</v>
      </c>
      <c r="D35" s="70" t="s">
        <v>109</v>
      </c>
      <c r="E35" s="437">
        <v>-11761485.33</v>
      </c>
      <c r="F35" s="437">
        <f>-13338023.23-5838.98+500000</f>
        <v>-12843862.210000001</v>
      </c>
      <c r="G35" s="437">
        <f>-12600982.1-150000-150000</f>
        <v>-12900982.1</v>
      </c>
      <c r="H35" s="49"/>
      <c r="J35" s="396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9"/>
    </row>
    <row r="36" spans="2:23" ht="23.1" customHeight="1">
      <c r="B36" s="47"/>
      <c r="C36" s="330" t="s">
        <v>84</v>
      </c>
      <c r="D36" s="71" t="s">
        <v>110</v>
      </c>
      <c r="E36" s="438">
        <v>-1210.8499999999999</v>
      </c>
      <c r="F36" s="438">
        <v>-6000</v>
      </c>
      <c r="G36" s="438">
        <v>-3000</v>
      </c>
      <c r="H36" s="49"/>
      <c r="J36" s="409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</row>
    <row r="37" spans="2:23" ht="23.1" customHeight="1">
      <c r="B37" s="47"/>
      <c r="C37" s="330" t="s">
        <v>86</v>
      </c>
      <c r="D37" s="71" t="s">
        <v>111</v>
      </c>
      <c r="E37" s="438">
        <v>-280499.76</v>
      </c>
      <c r="F37" s="438">
        <v>0</v>
      </c>
      <c r="G37" s="438">
        <v>0</v>
      </c>
      <c r="H37" s="49"/>
      <c r="J37" s="409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</row>
    <row r="38" spans="2:23" ht="23.1" customHeight="1">
      <c r="B38" s="47"/>
      <c r="C38" s="330" t="s">
        <v>97</v>
      </c>
      <c r="D38" s="71" t="s">
        <v>112</v>
      </c>
      <c r="E38" s="438">
        <v>0</v>
      </c>
      <c r="F38" s="438">
        <v>-1409.68</v>
      </c>
      <c r="G38" s="438">
        <v>0</v>
      </c>
      <c r="H38" s="49"/>
      <c r="J38" s="409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</row>
    <row r="39" spans="2:23" ht="23.1" customHeight="1">
      <c r="B39" s="47"/>
      <c r="C39" s="330" t="s">
        <v>113</v>
      </c>
      <c r="D39" s="71" t="s">
        <v>114</v>
      </c>
      <c r="E39" s="438"/>
      <c r="F39" s="438"/>
      <c r="G39" s="438"/>
      <c r="H39" s="49"/>
      <c r="J39" s="409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1"/>
    </row>
    <row r="40" spans="2:23" ht="23.1" customHeight="1">
      <c r="B40" s="47"/>
      <c r="C40" s="327" t="s">
        <v>115</v>
      </c>
      <c r="D40" s="69" t="s">
        <v>116</v>
      </c>
      <c r="E40" s="1176">
        <f>SUM(E41:E43)</f>
        <v>-50094.23</v>
      </c>
      <c r="F40" s="1176">
        <f t="shared" ref="F40:G40" si="4">SUM(F41:F43)</f>
        <v>-45797.58</v>
      </c>
      <c r="G40" s="1176">
        <f t="shared" si="4"/>
        <v>-53489.33</v>
      </c>
      <c r="H40" s="49"/>
      <c r="J40" s="409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1"/>
    </row>
    <row r="41" spans="2:23" ht="23.1" customHeight="1">
      <c r="B41" s="47"/>
      <c r="C41" s="329" t="s">
        <v>82</v>
      </c>
      <c r="D41" s="1331" t="s">
        <v>1029</v>
      </c>
      <c r="E41" s="437">
        <v>-12131.79</v>
      </c>
      <c r="F41" s="437">
        <v>-11340.01</v>
      </c>
      <c r="G41" s="437">
        <v>-12596.33</v>
      </c>
      <c r="H41" s="49"/>
      <c r="J41" s="409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1"/>
    </row>
    <row r="42" spans="2:23" ht="23.1" customHeight="1">
      <c r="B42" s="47"/>
      <c r="C42" s="330" t="s">
        <v>84</v>
      </c>
      <c r="D42" s="1332" t="s">
        <v>1030</v>
      </c>
      <c r="E42" s="438">
        <v>-37962.44</v>
      </c>
      <c r="F42" s="438">
        <v>-34457.57</v>
      </c>
      <c r="G42" s="438">
        <v>-40893</v>
      </c>
      <c r="H42" s="49"/>
      <c r="J42" s="409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1"/>
    </row>
    <row r="43" spans="2:23" ht="23.1" customHeight="1">
      <c r="B43" s="47"/>
      <c r="C43" s="330" t="s">
        <v>86</v>
      </c>
      <c r="D43" s="1332" t="s">
        <v>1031</v>
      </c>
      <c r="E43" s="438"/>
      <c r="F43" s="438"/>
      <c r="G43" s="438"/>
      <c r="H43" s="49"/>
      <c r="J43" s="409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</row>
    <row r="44" spans="2:23" ht="23.1" customHeight="1">
      <c r="B44" s="47"/>
      <c r="C44" s="327" t="s">
        <v>117</v>
      </c>
      <c r="D44" s="69" t="s">
        <v>118</v>
      </c>
      <c r="E44" s="439">
        <v>5824.53</v>
      </c>
      <c r="F44" s="439">
        <v>5824.53</v>
      </c>
      <c r="G44" s="439">
        <v>5824.53</v>
      </c>
      <c r="H44" s="49"/>
      <c r="J44" s="409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1"/>
    </row>
    <row r="45" spans="2:23" ht="23.1" customHeight="1">
      <c r="B45" s="47"/>
      <c r="C45" s="327" t="s">
        <v>119</v>
      </c>
      <c r="D45" s="69" t="s">
        <v>120</v>
      </c>
      <c r="E45" s="439"/>
      <c r="F45" s="439"/>
      <c r="G45" s="439"/>
      <c r="H45" s="49"/>
      <c r="J45" s="409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1"/>
    </row>
    <row r="46" spans="2:23" ht="23.1" customHeight="1">
      <c r="B46" s="47"/>
      <c r="C46" s="327" t="s">
        <v>121</v>
      </c>
      <c r="D46" s="69" t="s">
        <v>122</v>
      </c>
      <c r="E46" s="1176">
        <f>E47+E51+E55</f>
        <v>0</v>
      </c>
      <c r="F46" s="1176">
        <f>F47+F51+F55</f>
        <v>0</v>
      </c>
      <c r="G46" s="1176">
        <f t="shared" ref="G46" si="5">G47+G51+G55</f>
        <v>0</v>
      </c>
      <c r="H46" s="49"/>
      <c r="J46" s="409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1"/>
    </row>
    <row r="47" spans="2:23" ht="23.1" customHeight="1">
      <c r="B47" s="47"/>
      <c r="C47" s="329" t="s">
        <v>82</v>
      </c>
      <c r="D47" s="1332" t="s">
        <v>123</v>
      </c>
      <c r="E47" s="437">
        <f>SUM(E48:E50)</f>
        <v>0</v>
      </c>
      <c r="F47" s="437">
        <f t="shared" ref="F47:G47" si="6">SUM(F48:F50)</f>
        <v>0</v>
      </c>
      <c r="G47" s="437">
        <f t="shared" si="6"/>
        <v>0</v>
      </c>
      <c r="H47" s="49"/>
      <c r="J47" s="409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1"/>
    </row>
    <row r="48" spans="2:23" ht="23.1" customHeight="1">
      <c r="B48" s="47"/>
      <c r="C48" s="338"/>
      <c r="D48" s="77" t="s">
        <v>1032</v>
      </c>
      <c r="E48" s="693"/>
      <c r="F48" s="693"/>
      <c r="G48" s="693"/>
      <c r="H48" s="49"/>
      <c r="J48" s="409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1"/>
    </row>
    <row r="49" spans="2:23" ht="23.1" customHeight="1">
      <c r="B49" s="47"/>
      <c r="C49" s="338"/>
      <c r="D49" s="77" t="s">
        <v>1033</v>
      </c>
      <c r="E49" s="693"/>
      <c r="F49" s="693"/>
      <c r="G49" s="693"/>
      <c r="H49" s="49"/>
      <c r="J49" s="409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1"/>
    </row>
    <row r="50" spans="2:23" ht="23.1" customHeight="1">
      <c r="B50" s="47"/>
      <c r="C50" s="338"/>
      <c r="D50" s="77" t="s">
        <v>1034</v>
      </c>
      <c r="E50" s="693"/>
      <c r="F50" s="693"/>
      <c r="G50" s="693"/>
      <c r="H50" s="49"/>
      <c r="J50" s="409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1"/>
    </row>
    <row r="51" spans="2:23" ht="23.1" customHeight="1">
      <c r="B51" s="47"/>
      <c r="C51" s="330" t="s">
        <v>84</v>
      </c>
      <c r="D51" s="71" t="s">
        <v>124</v>
      </c>
      <c r="E51" s="438">
        <f>SUM(E52:E54)</f>
        <v>0</v>
      </c>
      <c r="F51" s="438">
        <f t="shared" ref="F51:G51" si="7">SUM(F52:F54)</f>
        <v>0</v>
      </c>
      <c r="G51" s="438">
        <f t="shared" si="7"/>
        <v>0</v>
      </c>
      <c r="H51" s="49"/>
      <c r="J51" s="409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1"/>
    </row>
    <row r="52" spans="2:23" ht="23.1" customHeight="1">
      <c r="B52" s="47"/>
      <c r="C52" s="338"/>
      <c r="D52" s="77" t="s">
        <v>1032</v>
      </c>
      <c r="E52" s="693"/>
      <c r="F52" s="693"/>
      <c r="G52" s="693"/>
      <c r="H52" s="49"/>
      <c r="J52" s="409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1"/>
    </row>
    <row r="53" spans="2:23" ht="23.1" customHeight="1">
      <c r="B53" s="47"/>
      <c r="C53" s="338"/>
      <c r="D53" s="77" t="s">
        <v>1033</v>
      </c>
      <c r="E53" s="693"/>
      <c r="F53" s="693"/>
      <c r="G53" s="693"/>
      <c r="H53" s="49"/>
      <c r="J53" s="409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1"/>
    </row>
    <row r="54" spans="2:23" ht="23.1" customHeight="1">
      <c r="B54" s="47"/>
      <c r="C54" s="338"/>
      <c r="D54" s="77" t="s">
        <v>1034</v>
      </c>
      <c r="E54" s="693"/>
      <c r="F54" s="693"/>
      <c r="G54" s="693"/>
      <c r="H54" s="49"/>
      <c r="J54" s="409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1"/>
    </row>
    <row r="55" spans="2:23" ht="23.1" customHeight="1">
      <c r="B55" s="47"/>
      <c r="C55" s="330" t="s">
        <v>86</v>
      </c>
      <c r="D55" s="71" t="s">
        <v>125</v>
      </c>
      <c r="E55" s="438"/>
      <c r="F55" s="438"/>
      <c r="G55" s="438"/>
      <c r="H55" s="49"/>
      <c r="J55" s="409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1"/>
    </row>
    <row r="56" spans="2:23" ht="23.1" customHeight="1">
      <c r="B56" s="47"/>
      <c r="C56" s="327" t="s">
        <v>126</v>
      </c>
      <c r="D56" s="69" t="s">
        <v>127</v>
      </c>
      <c r="E56" s="439"/>
      <c r="F56" s="439"/>
      <c r="G56" s="439"/>
      <c r="H56" s="49"/>
      <c r="J56" s="409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1"/>
    </row>
    <row r="57" spans="2:23" ht="23.1" customHeight="1">
      <c r="B57" s="47"/>
      <c r="C57" s="327" t="s">
        <v>128</v>
      </c>
      <c r="D57" s="69" t="s">
        <v>663</v>
      </c>
      <c r="E57" s="1176">
        <f>SUM(E58:E59)</f>
        <v>-13349.89</v>
      </c>
      <c r="F57" s="1176">
        <f t="shared" ref="F57:G57" si="8">SUM(F58:F59)</f>
        <v>5838.98</v>
      </c>
      <c r="G57" s="1176">
        <f t="shared" si="8"/>
        <v>0</v>
      </c>
      <c r="H57" s="49"/>
      <c r="J57" s="409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1"/>
    </row>
    <row r="58" spans="2:23" ht="23.1" customHeight="1">
      <c r="B58" s="47"/>
      <c r="C58" s="329" t="s">
        <v>82</v>
      </c>
      <c r="D58" s="1331" t="s">
        <v>1035</v>
      </c>
      <c r="E58" s="437">
        <v>-18455.71</v>
      </c>
      <c r="F58" s="437">
        <v>-1410.88</v>
      </c>
      <c r="G58" s="437">
        <v>0</v>
      </c>
      <c r="H58" s="49"/>
      <c r="J58" s="409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1"/>
    </row>
    <row r="59" spans="2:23" ht="23.1" customHeight="1">
      <c r="B59" s="47"/>
      <c r="C59" s="1334" t="s">
        <v>84</v>
      </c>
      <c r="D59" s="1335" t="s">
        <v>529</v>
      </c>
      <c r="E59" s="1333">
        <v>5105.82</v>
      </c>
      <c r="F59" s="1333">
        <v>7249.86</v>
      </c>
      <c r="G59" s="1333">
        <v>0</v>
      </c>
      <c r="H59" s="49"/>
      <c r="J59" s="409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1"/>
    </row>
    <row r="60" spans="2:23" s="74" customFormat="1" ht="23.1" customHeight="1" thickBot="1">
      <c r="B60" s="23"/>
      <c r="C60" s="336" t="s">
        <v>129</v>
      </c>
      <c r="D60" s="82" t="s">
        <v>130</v>
      </c>
      <c r="E60" s="344">
        <f>E16+E20+E21+E22+E27+E30+E34+E40+E44+E45+E46+E56+E57</f>
        <v>-2201172.2999999993</v>
      </c>
      <c r="F60" s="344">
        <f>F16+F20+F21+F22+F27+F30+F34+F40+F44+F45+F46+F56+F57</f>
        <v>-2018786.3700000008</v>
      </c>
      <c r="G60" s="344">
        <f>G16+G20+G21+G22+G27+G30+G34+G40+G44+G45+G46+G56+G57</f>
        <v>-2019110.0199999989</v>
      </c>
      <c r="H60" s="60"/>
      <c r="I60" s="41"/>
      <c r="J60" s="409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1"/>
    </row>
    <row r="61" spans="2:23" ht="23.1" customHeight="1">
      <c r="B61" s="47"/>
      <c r="C61" s="337"/>
      <c r="D61" s="1"/>
      <c r="E61" s="129"/>
      <c r="F61" s="129"/>
      <c r="G61" s="129"/>
      <c r="H61" s="49"/>
      <c r="J61" s="409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1"/>
    </row>
    <row r="62" spans="2:23" ht="23.1" customHeight="1">
      <c r="B62" s="47"/>
      <c r="C62" s="327" t="s">
        <v>131</v>
      </c>
      <c r="D62" s="69" t="s">
        <v>132</v>
      </c>
      <c r="E62" s="131">
        <f>E63+E66+E69</f>
        <v>86.76</v>
      </c>
      <c r="F62" s="131">
        <f t="shared" ref="F62:G62" si="9">F63+F66+F69</f>
        <v>3000</v>
      </c>
      <c r="G62" s="131">
        <f t="shared" si="9"/>
        <v>3000</v>
      </c>
      <c r="H62" s="49"/>
      <c r="J62" s="409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1"/>
    </row>
    <row r="63" spans="2:23" ht="23.1" customHeight="1">
      <c r="B63" s="47"/>
      <c r="C63" s="329" t="s">
        <v>82</v>
      </c>
      <c r="D63" s="70" t="s">
        <v>133</v>
      </c>
      <c r="E63" s="132">
        <f>SUM(E64:E65)</f>
        <v>0</v>
      </c>
      <c r="F63" s="132">
        <f t="shared" ref="F63:G63" si="10">SUM(F64:F65)</f>
        <v>0</v>
      </c>
      <c r="G63" s="132">
        <f t="shared" si="10"/>
        <v>0</v>
      </c>
      <c r="H63" s="49"/>
      <c r="J63" s="409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1"/>
    </row>
    <row r="64" spans="2:23" ht="23.1" customHeight="1">
      <c r="B64" s="47"/>
      <c r="C64" s="338" t="s">
        <v>134</v>
      </c>
      <c r="D64" s="77" t="s">
        <v>135</v>
      </c>
      <c r="E64" s="693"/>
      <c r="F64" s="693"/>
      <c r="G64" s="693"/>
      <c r="H64" s="49"/>
      <c r="J64" s="409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1"/>
    </row>
    <row r="65" spans="2:23" ht="23.1" customHeight="1">
      <c r="B65" s="47"/>
      <c r="C65" s="338" t="s">
        <v>136</v>
      </c>
      <c r="D65" s="77" t="s">
        <v>137</v>
      </c>
      <c r="E65" s="693"/>
      <c r="F65" s="693"/>
      <c r="G65" s="693"/>
      <c r="H65" s="49"/>
      <c r="J65" s="409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1"/>
    </row>
    <row r="66" spans="2:23" ht="23.1" customHeight="1">
      <c r="B66" s="47"/>
      <c r="C66" s="339" t="s">
        <v>84</v>
      </c>
      <c r="D66" s="72" t="s">
        <v>138</v>
      </c>
      <c r="E66" s="345">
        <f>SUM(E67:E68)</f>
        <v>86.76</v>
      </c>
      <c r="F66" s="345">
        <f t="shared" ref="F66:G66" si="11">SUM(F67:F68)</f>
        <v>3000</v>
      </c>
      <c r="G66" s="345">
        <f t="shared" si="11"/>
        <v>3000</v>
      </c>
      <c r="H66" s="49"/>
      <c r="J66" s="409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1"/>
    </row>
    <row r="67" spans="2:23" ht="23.1" customHeight="1">
      <c r="B67" s="47"/>
      <c r="C67" s="338" t="s">
        <v>139</v>
      </c>
      <c r="D67" s="77" t="s">
        <v>140</v>
      </c>
      <c r="E67" s="693"/>
      <c r="F67" s="693"/>
      <c r="G67" s="693"/>
      <c r="H67" s="49"/>
      <c r="J67" s="409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1"/>
    </row>
    <row r="68" spans="2:23" ht="23.1" customHeight="1">
      <c r="B68" s="47"/>
      <c r="C68" s="338" t="s">
        <v>141</v>
      </c>
      <c r="D68" s="77" t="s">
        <v>142</v>
      </c>
      <c r="E68" s="693">
        <v>86.76</v>
      </c>
      <c r="F68" s="693">
        <v>3000</v>
      </c>
      <c r="G68" s="693">
        <v>3000</v>
      </c>
      <c r="H68" s="49"/>
      <c r="J68" s="409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1"/>
    </row>
    <row r="69" spans="2:23" ht="23.1" customHeight="1">
      <c r="B69" s="47"/>
      <c r="C69" s="339" t="s">
        <v>86</v>
      </c>
      <c r="D69" s="72" t="s">
        <v>143</v>
      </c>
      <c r="E69" s="440"/>
      <c r="F69" s="440"/>
      <c r="G69" s="440"/>
      <c r="H69" s="49"/>
      <c r="J69" s="409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1"/>
    </row>
    <row r="70" spans="2:23" ht="23.1" customHeight="1">
      <c r="B70" s="47"/>
      <c r="C70" s="327" t="s">
        <v>144</v>
      </c>
      <c r="D70" s="69" t="s">
        <v>145</v>
      </c>
      <c r="E70" s="131">
        <f>SUM(E71:E73)</f>
        <v>-142.22999999999999</v>
      </c>
      <c r="F70" s="131">
        <f t="shared" ref="F70:G70" si="12">SUM(F71:F73)</f>
        <v>-3000</v>
      </c>
      <c r="G70" s="131">
        <f t="shared" si="12"/>
        <v>-3000</v>
      </c>
      <c r="H70" s="49"/>
      <c r="J70" s="409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1"/>
    </row>
    <row r="71" spans="2:23" ht="23.1" customHeight="1">
      <c r="B71" s="47"/>
      <c r="C71" s="339" t="s">
        <v>82</v>
      </c>
      <c r="D71" s="72" t="s">
        <v>146</v>
      </c>
      <c r="E71" s="440"/>
      <c r="F71" s="440"/>
      <c r="G71" s="440"/>
      <c r="H71" s="49"/>
      <c r="J71" s="409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1"/>
    </row>
    <row r="72" spans="2:23" ht="23.1" customHeight="1">
      <c r="B72" s="47"/>
      <c r="C72" s="339" t="s">
        <v>84</v>
      </c>
      <c r="D72" s="72" t="s">
        <v>147</v>
      </c>
      <c r="E72" s="440">
        <v>-142.22999999999999</v>
      </c>
      <c r="F72" s="440">
        <v>-3000</v>
      </c>
      <c r="G72" s="440">
        <v>-3000</v>
      </c>
      <c r="H72" s="49"/>
      <c r="J72" s="409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1"/>
    </row>
    <row r="73" spans="2:23" ht="23.1" customHeight="1">
      <c r="B73" s="47"/>
      <c r="C73" s="339" t="s">
        <v>86</v>
      </c>
      <c r="D73" s="72" t="s">
        <v>148</v>
      </c>
      <c r="E73" s="440"/>
      <c r="F73" s="440"/>
      <c r="G73" s="440"/>
      <c r="H73" s="49"/>
      <c r="J73" s="409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1"/>
    </row>
    <row r="74" spans="2:23" ht="23.1" customHeight="1">
      <c r="B74" s="47"/>
      <c r="C74" s="327" t="s">
        <v>149</v>
      </c>
      <c r="D74" s="69" t="s">
        <v>150</v>
      </c>
      <c r="E74" s="131">
        <f>SUM(E75:E76)</f>
        <v>0</v>
      </c>
      <c r="F74" s="131">
        <f t="shared" ref="F74:G74" si="13">SUM(F75:F76)</f>
        <v>0</v>
      </c>
      <c r="G74" s="131">
        <f t="shared" si="13"/>
        <v>0</v>
      </c>
      <c r="H74" s="49"/>
      <c r="J74" s="409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1"/>
    </row>
    <row r="75" spans="2:23" ht="23.1" customHeight="1">
      <c r="B75" s="47"/>
      <c r="C75" s="339" t="s">
        <v>82</v>
      </c>
      <c r="D75" s="72" t="s">
        <v>151</v>
      </c>
      <c r="E75" s="440"/>
      <c r="F75" s="440"/>
      <c r="G75" s="440"/>
      <c r="H75" s="49"/>
      <c r="J75" s="409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1"/>
    </row>
    <row r="76" spans="2:23" ht="23.1" customHeight="1">
      <c r="B76" s="47"/>
      <c r="C76" s="339" t="s">
        <v>84</v>
      </c>
      <c r="D76" s="72" t="s">
        <v>152</v>
      </c>
      <c r="E76" s="440"/>
      <c r="F76" s="440"/>
      <c r="G76" s="440"/>
      <c r="H76" s="49"/>
      <c r="J76" s="409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1"/>
    </row>
    <row r="77" spans="2:23" ht="23.1" customHeight="1">
      <c r="B77" s="47"/>
      <c r="C77" s="327" t="s">
        <v>153</v>
      </c>
      <c r="D77" s="69" t="s">
        <v>154</v>
      </c>
      <c r="E77" s="439">
        <v>-564.65</v>
      </c>
      <c r="F77" s="439">
        <v>-323.64999999999998</v>
      </c>
      <c r="G77" s="439">
        <v>0</v>
      </c>
      <c r="H77" s="49"/>
      <c r="J77" s="409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1"/>
    </row>
    <row r="78" spans="2:23" ht="23.1" customHeight="1">
      <c r="B78" s="47"/>
      <c r="C78" s="327" t="s">
        <v>155</v>
      </c>
      <c r="D78" s="69" t="s">
        <v>156</v>
      </c>
      <c r="E78" s="131">
        <f>SUM(E79:E80)</f>
        <v>0</v>
      </c>
      <c r="F78" s="131">
        <f t="shared" ref="F78:G78" si="14">SUM(F79:F80)</f>
        <v>0</v>
      </c>
      <c r="G78" s="131">
        <f t="shared" si="14"/>
        <v>0</v>
      </c>
      <c r="H78" s="49"/>
      <c r="J78" s="409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1"/>
    </row>
    <row r="79" spans="2:23" ht="23.1" customHeight="1">
      <c r="B79" s="47"/>
      <c r="C79" s="339" t="s">
        <v>82</v>
      </c>
      <c r="D79" s="72" t="s">
        <v>157</v>
      </c>
      <c r="E79" s="440"/>
      <c r="F79" s="440"/>
      <c r="G79" s="440"/>
      <c r="H79" s="49"/>
      <c r="J79" s="409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1"/>
    </row>
    <row r="80" spans="2:23" ht="23.1" customHeight="1">
      <c r="B80" s="47"/>
      <c r="C80" s="339" t="s">
        <v>84</v>
      </c>
      <c r="D80" s="72" t="s">
        <v>124</v>
      </c>
      <c r="E80" s="440"/>
      <c r="F80" s="440"/>
      <c r="G80" s="440"/>
      <c r="H80" s="49"/>
      <c r="J80" s="409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1"/>
    </row>
    <row r="81" spans="2:23" ht="23.1" customHeight="1">
      <c r="B81" s="47"/>
      <c r="C81" s="327" t="s">
        <v>158</v>
      </c>
      <c r="D81" s="69" t="s">
        <v>159</v>
      </c>
      <c r="E81" s="131">
        <f>SUM(E82:E84)</f>
        <v>0</v>
      </c>
      <c r="F81" s="131">
        <f t="shared" ref="F81:G81" si="15">SUM(F82:F84)</f>
        <v>0</v>
      </c>
      <c r="G81" s="131">
        <f t="shared" si="15"/>
        <v>0</v>
      </c>
      <c r="H81" s="49"/>
      <c r="J81" s="409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1"/>
    </row>
    <row r="82" spans="2:23" ht="23.1" customHeight="1">
      <c r="B82" s="47"/>
      <c r="C82" s="339" t="s">
        <v>82</v>
      </c>
      <c r="D82" s="72" t="s">
        <v>160</v>
      </c>
      <c r="E82" s="440"/>
      <c r="F82" s="440"/>
      <c r="G82" s="440"/>
      <c r="H82" s="49"/>
      <c r="J82" s="409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1"/>
    </row>
    <row r="83" spans="2:23" ht="23.1" customHeight="1">
      <c r="B83" s="47"/>
      <c r="C83" s="339" t="s">
        <v>84</v>
      </c>
      <c r="D83" s="72" t="s">
        <v>161</v>
      </c>
      <c r="E83" s="440"/>
      <c r="F83" s="440"/>
      <c r="G83" s="440"/>
      <c r="H83" s="49"/>
      <c r="J83" s="409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1"/>
    </row>
    <row r="84" spans="2:23" ht="23.1" customHeight="1">
      <c r="B84" s="47"/>
      <c r="C84" s="339" t="s">
        <v>86</v>
      </c>
      <c r="D84" s="72" t="s">
        <v>162</v>
      </c>
      <c r="E84" s="440"/>
      <c r="F84" s="440"/>
      <c r="G84" s="440"/>
      <c r="H84" s="49"/>
      <c r="J84" s="409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1"/>
    </row>
    <row r="85" spans="2:23" s="74" customFormat="1" ht="23.1" customHeight="1" thickBot="1">
      <c r="B85" s="23"/>
      <c r="C85" s="340" t="s">
        <v>163</v>
      </c>
      <c r="D85" s="73" t="s">
        <v>164</v>
      </c>
      <c r="E85" s="344">
        <f>E62+E70+E74+E77+E78+E81</f>
        <v>-620.12</v>
      </c>
      <c r="F85" s="344">
        <f>F62+F70+F74+F77+F78+F81</f>
        <v>-323.64999999999998</v>
      </c>
      <c r="G85" s="344">
        <f>G62+G70+G74+G77+G78+G81</f>
        <v>0</v>
      </c>
      <c r="H85" s="60"/>
      <c r="J85" s="409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</row>
    <row r="86" spans="2:23" ht="23.1" customHeight="1">
      <c r="B86" s="47"/>
      <c r="C86" s="341"/>
      <c r="D86" s="76"/>
      <c r="E86" s="346"/>
      <c r="F86" s="346"/>
      <c r="G86" s="346"/>
      <c r="H86" s="49"/>
      <c r="J86" s="409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1"/>
    </row>
    <row r="87" spans="2:23" s="74" customFormat="1" ht="23.1" customHeight="1" thickBot="1">
      <c r="B87" s="23"/>
      <c r="C87" s="342" t="s">
        <v>165</v>
      </c>
      <c r="D87" s="75" t="s">
        <v>166</v>
      </c>
      <c r="E87" s="347">
        <f>E85+E60</f>
        <v>-2201792.4199999995</v>
      </c>
      <c r="F87" s="347">
        <f t="shared" ref="F87:G87" si="16">F85+F60</f>
        <v>-2019110.0200000007</v>
      </c>
      <c r="G87" s="347">
        <f t="shared" si="16"/>
        <v>-2019110.0199999989</v>
      </c>
      <c r="H87" s="60"/>
      <c r="J87" s="409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</row>
    <row r="88" spans="2:23" ht="23.1" customHeight="1">
      <c r="B88" s="47"/>
      <c r="C88" s="327" t="s">
        <v>167</v>
      </c>
      <c r="D88" s="69" t="s">
        <v>168</v>
      </c>
      <c r="E88" s="439">
        <v>-681.16</v>
      </c>
      <c r="F88" s="439"/>
      <c r="G88" s="439"/>
      <c r="H88" s="49"/>
      <c r="J88" s="409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</row>
    <row r="89" spans="2:23" ht="23.1" customHeight="1">
      <c r="B89" s="47"/>
      <c r="C89" s="332"/>
      <c r="D89" s="63"/>
      <c r="E89" s="129"/>
      <c r="F89" s="129"/>
      <c r="G89" s="129"/>
      <c r="H89" s="49"/>
      <c r="J89" s="409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1"/>
    </row>
    <row r="90" spans="2:23" s="74" customFormat="1" ht="23.1" customHeight="1" thickBot="1">
      <c r="B90" s="23"/>
      <c r="C90" s="342" t="s">
        <v>169</v>
      </c>
      <c r="D90" s="75" t="s">
        <v>179</v>
      </c>
      <c r="E90" s="347">
        <f>E87+E88</f>
        <v>-2202473.5799999996</v>
      </c>
      <c r="F90" s="347">
        <f>F87+F88</f>
        <v>-2019110.0200000007</v>
      </c>
      <c r="G90" s="347">
        <f>G87+G88</f>
        <v>-2019110.0199999989</v>
      </c>
      <c r="H90" s="60"/>
      <c r="J90" s="409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1"/>
    </row>
    <row r="91" spans="2:23" ht="23.1" customHeight="1">
      <c r="B91" s="47"/>
      <c r="C91" s="332"/>
      <c r="D91" s="63"/>
      <c r="E91" s="129"/>
      <c r="F91" s="129"/>
      <c r="G91" s="129"/>
      <c r="H91" s="49"/>
      <c r="J91" s="409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1"/>
    </row>
    <row r="92" spans="2:23" ht="23.1" customHeight="1">
      <c r="B92" s="47"/>
      <c r="C92" s="323" t="s">
        <v>170</v>
      </c>
      <c r="D92" s="85" t="s">
        <v>171</v>
      </c>
      <c r="E92" s="129"/>
      <c r="F92" s="129"/>
      <c r="G92" s="129"/>
      <c r="H92" s="49"/>
      <c r="J92" s="409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1"/>
    </row>
    <row r="93" spans="2:23" ht="23.1" customHeight="1">
      <c r="B93" s="47"/>
      <c r="C93" s="327" t="s">
        <v>172</v>
      </c>
      <c r="D93" s="69" t="s">
        <v>173</v>
      </c>
      <c r="E93" s="439"/>
      <c r="F93" s="439"/>
      <c r="G93" s="439"/>
      <c r="H93" s="49"/>
      <c r="J93" s="409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1"/>
    </row>
    <row r="94" spans="2:23" ht="23.1" customHeight="1">
      <c r="B94" s="47"/>
      <c r="C94" s="332"/>
      <c r="D94" s="63"/>
      <c r="E94" s="129"/>
      <c r="F94" s="129"/>
      <c r="G94" s="129"/>
      <c r="H94" s="49"/>
      <c r="J94" s="409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1"/>
    </row>
    <row r="95" spans="2:23" s="74" customFormat="1" ht="23.1" customHeight="1" thickBot="1">
      <c r="B95" s="23"/>
      <c r="C95" s="343" t="s">
        <v>174</v>
      </c>
      <c r="D95" s="78" t="s">
        <v>175</v>
      </c>
      <c r="E95" s="135">
        <f>E90+E93</f>
        <v>-2202473.5799999996</v>
      </c>
      <c r="F95" s="135">
        <f t="shared" ref="F95:G95" si="17">F90+F93</f>
        <v>-2019110.0200000007</v>
      </c>
      <c r="G95" s="135">
        <f t="shared" si="17"/>
        <v>-2019110.0199999989</v>
      </c>
      <c r="H95" s="60"/>
      <c r="J95" s="409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1"/>
    </row>
    <row r="96" spans="2:23" ht="23.1" customHeight="1">
      <c r="B96" s="47"/>
      <c r="C96" s="43"/>
      <c r="D96" s="43"/>
      <c r="E96" s="43"/>
      <c r="F96" s="43"/>
      <c r="G96" s="43"/>
      <c r="H96" s="49"/>
      <c r="J96" s="409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1"/>
    </row>
    <row r="97" spans="2:23" ht="23.1" customHeight="1" thickBot="1">
      <c r="B97" s="51"/>
      <c r="C97" s="1504"/>
      <c r="D97" s="1504"/>
      <c r="E97" s="1504"/>
      <c r="F97" s="1504"/>
      <c r="G97" s="53"/>
      <c r="H97" s="54"/>
      <c r="J97" s="412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4"/>
    </row>
    <row r="98" spans="2:23" ht="23.1" customHeight="1">
      <c r="C98" s="43"/>
      <c r="D98" s="43"/>
      <c r="E98" s="43"/>
      <c r="F98" s="43"/>
      <c r="G98" s="43"/>
      <c r="I98" s="41" t="s">
        <v>885</v>
      </c>
    </row>
    <row r="99" spans="2:23" ht="12.75">
      <c r="C99" s="36" t="s">
        <v>70</v>
      </c>
      <c r="D99" s="43"/>
      <c r="E99" s="43"/>
      <c r="F99" s="43"/>
      <c r="G99" s="40" t="s">
        <v>40</v>
      </c>
    </row>
    <row r="100" spans="2:23" ht="12.75">
      <c r="C100" s="37" t="s">
        <v>71</v>
      </c>
      <c r="D100" s="43"/>
      <c r="E100" s="43"/>
      <c r="F100" s="43"/>
      <c r="G100" s="43"/>
    </row>
    <row r="101" spans="2:23" ht="12.75">
      <c r="C101" s="37" t="s">
        <v>72</v>
      </c>
      <c r="D101" s="43"/>
      <c r="E101" s="43"/>
      <c r="F101" s="43"/>
      <c r="G101" s="43"/>
    </row>
    <row r="102" spans="2:23" ht="12.75">
      <c r="C102" s="37" t="s">
        <v>73</v>
      </c>
      <c r="D102" s="43"/>
      <c r="E102" s="43"/>
      <c r="F102" s="43"/>
      <c r="G102" s="43"/>
    </row>
    <row r="103" spans="2:23" ht="12.75">
      <c r="C103" s="37" t="s">
        <v>74</v>
      </c>
      <c r="D103" s="43"/>
      <c r="E103" s="43"/>
      <c r="F103" s="43"/>
      <c r="G103" s="43"/>
    </row>
    <row r="104" spans="2:23" ht="23.1" customHeight="1">
      <c r="C104" s="43"/>
      <c r="D104" s="43"/>
      <c r="E104" s="43"/>
      <c r="F104" s="43"/>
      <c r="G104" s="43"/>
    </row>
    <row r="105" spans="2:23" ht="23.1" customHeight="1">
      <c r="C105" s="43"/>
      <c r="D105" s="43"/>
      <c r="E105" s="43"/>
      <c r="F105" s="43"/>
      <c r="G105" s="43"/>
    </row>
    <row r="106" spans="2:23" ht="23.1" customHeight="1">
      <c r="C106" s="43"/>
      <c r="D106" s="43"/>
      <c r="E106" s="43"/>
      <c r="F106" s="43"/>
      <c r="G106" s="43"/>
    </row>
    <row r="107" spans="2:23" ht="23.1" customHeight="1">
      <c r="C107" s="43"/>
      <c r="D107" s="43"/>
      <c r="E107" s="43"/>
      <c r="F107" s="43"/>
      <c r="G107" s="43"/>
    </row>
    <row r="108" spans="2:23" ht="23.1" customHeight="1">
      <c r="F108" s="43"/>
      <c r="G108" s="43"/>
    </row>
  </sheetData>
  <sheetProtection algorithmName="SHA-512" hashValue="mcGlkhb8hPtgEuQcQhsUDTNyz3La1RkCk83c3bPNREW9GTWQwf4hS+zS+XV5Vfhg85Svo2XieNwxsMXefVymTg==" saltValue="4R85ye2EEdTgabJzkYB3Bg==" spinCount="100000" sheet="1" objects="1" scenarios="1"/>
  <mergeCells count="3">
    <mergeCell ref="C97:F97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2:AC107"/>
  <sheetViews>
    <sheetView zoomScale="54" zoomScaleNormal="70" zoomScalePageLayoutView="125" workbookViewId="0">
      <selection activeCell="I40" sqref="C40:I40"/>
    </sheetView>
  </sheetViews>
  <sheetFormatPr baseColWidth="10" defaultColWidth="10.6640625" defaultRowHeight="23.1" customHeight="1"/>
  <cols>
    <col min="1" max="1" width="4.109375" style="597" bestFit="1" customWidth="1"/>
    <col min="2" max="2" width="3.109375" style="597" customWidth="1"/>
    <col min="3" max="3" width="13.5546875" style="597" customWidth="1"/>
    <col min="4" max="4" width="42.44140625" style="597" customWidth="1"/>
    <col min="5" max="6" width="15.6640625" style="599" customWidth="1"/>
    <col min="7" max="7" width="31" style="599" customWidth="1"/>
    <col min="8" max="8" width="15.5546875" style="599" customWidth="1"/>
    <col min="9" max="9" width="16.6640625" style="599" customWidth="1"/>
    <col min="10" max="10" width="30.5546875" style="599" customWidth="1"/>
    <col min="11" max="12" width="15.6640625" style="599" customWidth="1"/>
    <col min="13" max="13" width="27.109375" style="599" customWidth="1"/>
    <col min="14" max="14" width="3.33203125" style="597" customWidth="1"/>
    <col min="15" max="16384" width="10.6640625" style="597"/>
  </cols>
  <sheetData>
    <row r="2" spans="1:29" ht="23.1" customHeight="1">
      <c r="D2" s="298" t="str">
        <f>_GENERAL!D2</f>
        <v>Área de Presidencia, Hacienda y Modernización</v>
      </c>
    </row>
    <row r="3" spans="1:29" ht="23.1" customHeight="1">
      <c r="D3" s="298" t="str">
        <f>_GENERAL!D3</f>
        <v>Dirección Insular de Hacienda</v>
      </c>
    </row>
    <row r="4" spans="1:29" ht="23.1" customHeight="1" thickBot="1">
      <c r="A4" s="597" t="s">
        <v>884</v>
      </c>
    </row>
    <row r="5" spans="1:29" ht="9" customHeight="1">
      <c r="B5" s="600"/>
      <c r="C5" s="601"/>
      <c r="D5" s="601"/>
      <c r="E5" s="602"/>
      <c r="F5" s="602"/>
      <c r="G5" s="602"/>
      <c r="H5" s="602"/>
      <c r="I5" s="602"/>
      <c r="J5" s="602"/>
      <c r="K5" s="602"/>
      <c r="L5" s="602"/>
      <c r="M5" s="602"/>
      <c r="N5" s="603"/>
      <c r="P5" s="393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5"/>
    </row>
    <row r="6" spans="1:29" ht="30" customHeight="1">
      <c r="B6" s="604"/>
      <c r="C6" s="605" t="s">
        <v>0</v>
      </c>
      <c r="D6" s="606"/>
      <c r="E6" s="607"/>
      <c r="F6" s="607"/>
      <c r="G6" s="607"/>
      <c r="H6" s="607"/>
      <c r="I6" s="607"/>
      <c r="J6" s="607"/>
      <c r="K6" s="607"/>
      <c r="L6" s="607"/>
      <c r="M6" s="1497">
        <f>ejercicio</f>
        <v>2021</v>
      </c>
      <c r="N6" s="608"/>
      <c r="P6" s="396"/>
      <c r="Q6" s="397" t="s">
        <v>628</v>
      </c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9"/>
    </row>
    <row r="7" spans="1:29" ht="30" customHeight="1">
      <c r="B7" s="604"/>
      <c r="C7" s="605" t="s">
        <v>1</v>
      </c>
      <c r="D7" s="606"/>
      <c r="E7" s="607"/>
      <c r="F7" s="607"/>
      <c r="G7" s="607"/>
      <c r="H7" s="607"/>
      <c r="I7" s="607"/>
      <c r="J7" s="607"/>
      <c r="K7" s="607"/>
      <c r="L7" s="607"/>
      <c r="M7" s="1497"/>
      <c r="N7" s="609"/>
      <c r="P7" s="396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9"/>
    </row>
    <row r="8" spans="1:29" ht="30" customHeight="1">
      <c r="B8" s="604"/>
      <c r="C8" s="610"/>
      <c r="D8" s="606"/>
      <c r="E8" s="607"/>
      <c r="F8" s="607"/>
      <c r="G8" s="607"/>
      <c r="H8" s="607"/>
      <c r="I8" s="607"/>
      <c r="J8" s="607"/>
      <c r="K8" s="607"/>
      <c r="L8" s="607"/>
      <c r="M8" s="607"/>
      <c r="N8" s="609"/>
      <c r="P8" s="396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9"/>
    </row>
    <row r="9" spans="1:29" s="613" customFormat="1" ht="30" customHeight="1">
      <c r="B9" s="611"/>
      <c r="C9" s="612" t="s">
        <v>2</v>
      </c>
      <c r="D9" s="1499" t="str">
        <f>Entidad</f>
        <v>Spet, turismo de Tenerife s.a</v>
      </c>
      <c r="E9" s="1499"/>
      <c r="F9" s="1499"/>
      <c r="G9" s="1499"/>
      <c r="H9" s="1499"/>
      <c r="I9" s="1499"/>
      <c r="J9" s="1499"/>
      <c r="K9" s="1499"/>
      <c r="L9" s="1499"/>
      <c r="M9" s="1499"/>
      <c r="N9" s="609"/>
      <c r="P9" s="400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2"/>
    </row>
    <row r="10" spans="1:29" ht="6.95" customHeight="1">
      <c r="B10" s="604"/>
      <c r="C10" s="606"/>
      <c r="D10" s="606"/>
      <c r="E10" s="607"/>
      <c r="F10" s="607"/>
      <c r="G10" s="607"/>
      <c r="H10" s="607"/>
      <c r="I10" s="607"/>
      <c r="J10" s="607"/>
      <c r="K10" s="607"/>
      <c r="L10" s="607"/>
      <c r="M10" s="607"/>
      <c r="N10" s="609"/>
      <c r="P10" s="396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9"/>
    </row>
    <row r="11" spans="1:29" s="617" customFormat="1" ht="30" customHeight="1">
      <c r="B11" s="614"/>
      <c r="C11" s="615" t="s">
        <v>580</v>
      </c>
      <c r="D11" s="615"/>
      <c r="E11" s="616"/>
      <c r="F11" s="616"/>
      <c r="G11" s="616"/>
      <c r="H11" s="616"/>
      <c r="I11" s="616"/>
      <c r="J11" s="616"/>
      <c r="K11" s="616"/>
      <c r="L11" s="616"/>
      <c r="M11" s="616"/>
      <c r="N11" s="609"/>
      <c r="P11" s="403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5"/>
    </row>
    <row r="12" spans="1:29" s="617" customFormat="1" ht="30" customHeight="1">
      <c r="B12" s="614"/>
      <c r="C12" s="1512"/>
      <c r="D12" s="1512"/>
      <c r="E12" s="618"/>
      <c r="F12" s="618"/>
      <c r="G12" s="618"/>
      <c r="H12" s="618"/>
      <c r="I12" s="618"/>
      <c r="J12" s="618"/>
      <c r="K12" s="618"/>
      <c r="L12" s="618"/>
      <c r="M12" s="618"/>
      <c r="N12" s="609"/>
      <c r="P12" s="403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5"/>
    </row>
    <row r="13" spans="1:29" s="617" customFormat="1" ht="30" customHeight="1">
      <c r="B13" s="614"/>
      <c r="D13" s="619"/>
      <c r="E13" s="618"/>
      <c r="F13" s="618"/>
      <c r="G13" s="618"/>
      <c r="H13" s="618"/>
      <c r="I13" s="618"/>
      <c r="J13" s="618"/>
      <c r="K13" s="618"/>
      <c r="L13" s="618"/>
      <c r="M13" s="618"/>
      <c r="N13" s="609"/>
      <c r="P13" s="396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9"/>
    </row>
    <row r="14" spans="1:29" s="627" customFormat="1" ht="23.1" customHeight="1">
      <c r="B14" s="620"/>
      <c r="C14" s="621"/>
      <c r="D14" s="622"/>
      <c r="E14" s="623"/>
      <c r="F14" s="624" t="s">
        <v>176</v>
      </c>
      <c r="G14" s="625">
        <f>ejercicio-2</f>
        <v>2019</v>
      </c>
      <c r="H14" s="623"/>
      <c r="I14" s="626" t="s">
        <v>177</v>
      </c>
      <c r="J14" s="625">
        <f>ejercicio-1</f>
        <v>2020</v>
      </c>
      <c r="K14" s="623"/>
      <c r="L14" s="624" t="s">
        <v>178</v>
      </c>
      <c r="M14" s="625">
        <f>ejercicio</f>
        <v>2021</v>
      </c>
      <c r="N14" s="609"/>
      <c r="P14" s="396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9"/>
    </row>
    <row r="15" spans="1:29" s="632" customFormat="1" ht="23.1" customHeight="1">
      <c r="B15" s="628"/>
      <c r="C15" s="629" t="s">
        <v>597</v>
      </c>
      <c r="D15" s="630"/>
      <c r="E15" s="631" t="s">
        <v>581</v>
      </c>
      <c r="F15" s="631" t="s">
        <v>582</v>
      </c>
      <c r="G15" s="631" t="s">
        <v>520</v>
      </c>
      <c r="H15" s="631" t="s">
        <v>581</v>
      </c>
      <c r="I15" s="631" t="s">
        <v>582</v>
      </c>
      <c r="J15" s="631" t="s">
        <v>520</v>
      </c>
      <c r="K15" s="631" t="s">
        <v>581</v>
      </c>
      <c r="L15" s="631" t="s">
        <v>582</v>
      </c>
      <c r="M15" s="631" t="s">
        <v>520</v>
      </c>
      <c r="N15" s="609"/>
      <c r="P15" s="396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9"/>
    </row>
    <row r="16" spans="1:29" s="639" customFormat="1" ht="23.1" customHeight="1">
      <c r="B16" s="633"/>
      <c r="C16" s="634" t="s">
        <v>583</v>
      </c>
      <c r="D16" s="635"/>
      <c r="E16" s="636">
        <f>SUM(E17:E18)</f>
        <v>0</v>
      </c>
      <c r="F16" s="636">
        <f>SUM(F17:F18)</f>
        <v>0</v>
      </c>
      <c r="G16" s="637"/>
      <c r="H16" s="636">
        <f>SUM(H17:H18)</f>
        <v>0</v>
      </c>
      <c r="I16" s="636">
        <f>SUM(I17:I18)</f>
        <v>0</v>
      </c>
      <c r="J16" s="637"/>
      <c r="K16" s="636">
        <f>SUM(K17:K18)</f>
        <v>0</v>
      </c>
      <c r="L16" s="636">
        <f>SUM(L17:L18)</f>
        <v>0</v>
      </c>
      <c r="M16" s="638"/>
      <c r="N16" s="609"/>
      <c r="P16" s="396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9"/>
    </row>
    <row r="17" spans="2:29" s="639" customFormat="1" ht="20.100000000000001" customHeight="1">
      <c r="B17" s="633"/>
      <c r="C17" s="775"/>
      <c r="D17" s="776" t="s">
        <v>584</v>
      </c>
      <c r="E17" s="468"/>
      <c r="F17" s="468"/>
      <c r="G17" s="777"/>
      <c r="H17" s="468"/>
      <c r="I17" s="468"/>
      <c r="J17" s="777"/>
      <c r="K17" s="919"/>
      <c r="L17" s="468"/>
      <c r="M17" s="778"/>
      <c r="N17" s="674"/>
      <c r="P17" s="406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8"/>
    </row>
    <row r="18" spans="2:29" s="639" customFormat="1" ht="20.100000000000001" customHeight="1">
      <c r="B18" s="633"/>
      <c r="C18" s="779"/>
      <c r="D18" s="780" t="s">
        <v>585</v>
      </c>
      <c r="E18" s="476"/>
      <c r="F18" s="476"/>
      <c r="G18" s="781"/>
      <c r="H18" s="476"/>
      <c r="I18" s="476"/>
      <c r="J18" s="781"/>
      <c r="K18" s="476">
        <v>0</v>
      </c>
      <c r="L18" s="476">
        <v>0</v>
      </c>
      <c r="M18" s="782"/>
      <c r="N18" s="674"/>
      <c r="P18" s="406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8"/>
    </row>
    <row r="19" spans="2:29" s="639" customFormat="1" ht="23.1" customHeight="1">
      <c r="B19" s="633"/>
      <c r="C19" s="634" t="s">
        <v>586</v>
      </c>
      <c r="D19" s="635"/>
      <c r="E19" s="636">
        <f>+E20+E25</f>
        <v>0</v>
      </c>
      <c r="F19" s="636">
        <f>+F20+F25</f>
        <v>0</v>
      </c>
      <c r="G19" s="637"/>
      <c r="H19" s="636">
        <f>+H20+H25</f>
        <v>0</v>
      </c>
      <c r="I19" s="636">
        <f>+I20+I25</f>
        <v>0</v>
      </c>
      <c r="J19" s="637"/>
      <c r="K19" s="636">
        <f>+K20+K25</f>
        <v>0</v>
      </c>
      <c r="L19" s="636">
        <f>+L20+L25</f>
        <v>0</v>
      </c>
      <c r="M19" s="638"/>
      <c r="N19" s="609"/>
      <c r="P19" s="396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9"/>
    </row>
    <row r="20" spans="2:29" s="639" customFormat="1" ht="20.100000000000001" customHeight="1">
      <c r="B20" s="633"/>
      <c r="C20" s="775"/>
      <c r="D20" s="776" t="s">
        <v>714</v>
      </c>
      <c r="E20" s="783">
        <f>SUM(E21:E24)</f>
        <v>0</v>
      </c>
      <c r="F20" s="783">
        <f>SUM(F21:F24)</f>
        <v>0</v>
      </c>
      <c r="G20" s="784"/>
      <c r="H20" s="783">
        <f>SUM(H21:H24)</f>
        <v>0</v>
      </c>
      <c r="I20" s="783">
        <f>SUM(I21:I24)</f>
        <v>0</v>
      </c>
      <c r="J20" s="784"/>
      <c r="K20" s="783">
        <f>SUM(K21:K24)</f>
        <v>0</v>
      </c>
      <c r="L20" s="783">
        <f>SUM(L21:L24)</f>
        <v>0</v>
      </c>
      <c r="M20" s="785"/>
      <c r="N20" s="674"/>
      <c r="P20" s="406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8"/>
    </row>
    <row r="21" spans="2:29" s="642" customFormat="1" ht="20.100000000000001" customHeight="1">
      <c r="B21" s="611"/>
      <c r="C21" s="545"/>
      <c r="D21" s="546"/>
      <c r="E21" s="501"/>
      <c r="F21" s="501"/>
      <c r="G21" s="537"/>
      <c r="H21" s="501"/>
      <c r="I21" s="501"/>
      <c r="J21" s="537"/>
      <c r="K21" s="501"/>
      <c r="L21" s="501"/>
      <c r="M21" s="508"/>
      <c r="N21" s="609"/>
      <c r="P21" s="396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9"/>
    </row>
    <row r="22" spans="2:29" s="642" customFormat="1" ht="20.100000000000001" customHeight="1">
      <c r="B22" s="611"/>
      <c r="C22" s="545"/>
      <c r="D22" s="546"/>
      <c r="E22" s="501"/>
      <c r="F22" s="501"/>
      <c r="G22" s="537"/>
      <c r="H22" s="501"/>
      <c r="I22" s="501"/>
      <c r="J22" s="537"/>
      <c r="K22" s="501"/>
      <c r="L22" s="501"/>
      <c r="M22" s="508"/>
      <c r="N22" s="609"/>
      <c r="P22" s="396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9"/>
    </row>
    <row r="23" spans="2:29" s="642" customFormat="1" ht="20.100000000000001" customHeight="1">
      <c r="B23" s="611"/>
      <c r="C23" s="545"/>
      <c r="D23" s="546"/>
      <c r="E23" s="501"/>
      <c r="F23" s="501"/>
      <c r="G23" s="537"/>
      <c r="H23" s="501"/>
      <c r="I23" s="501"/>
      <c r="J23" s="537"/>
      <c r="K23" s="501"/>
      <c r="L23" s="501"/>
      <c r="M23" s="508"/>
      <c r="N23" s="609"/>
      <c r="P23" s="396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9"/>
    </row>
    <row r="24" spans="2:29" s="642" customFormat="1" ht="20.100000000000001" customHeight="1">
      <c r="B24" s="611"/>
      <c r="C24" s="545"/>
      <c r="D24" s="546"/>
      <c r="E24" s="501"/>
      <c r="F24" s="501"/>
      <c r="G24" s="537"/>
      <c r="H24" s="501"/>
      <c r="I24" s="501"/>
      <c r="J24" s="537"/>
      <c r="K24" s="501"/>
      <c r="L24" s="501"/>
      <c r="M24" s="508"/>
      <c r="N24" s="609"/>
      <c r="P24" s="396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9"/>
    </row>
    <row r="25" spans="2:29" s="639" customFormat="1" ht="20.100000000000001" customHeight="1">
      <c r="B25" s="633"/>
      <c r="C25" s="786"/>
      <c r="D25" s="787" t="s">
        <v>715</v>
      </c>
      <c r="E25" s="788">
        <f>SUM(E26:E29)</f>
        <v>0</v>
      </c>
      <c r="F25" s="788">
        <f>SUM(F26:F29)</f>
        <v>0</v>
      </c>
      <c r="G25" s="789"/>
      <c r="H25" s="788">
        <f>SUM(H26:H29)</f>
        <v>0</v>
      </c>
      <c r="I25" s="788">
        <f>SUM(I26:I29)</f>
        <v>0</v>
      </c>
      <c r="J25" s="789"/>
      <c r="K25" s="788">
        <f>SUM(K26:K29)</f>
        <v>0</v>
      </c>
      <c r="L25" s="788">
        <f>SUM(L26:L29)</f>
        <v>0</v>
      </c>
      <c r="M25" s="790"/>
      <c r="N25" s="674"/>
      <c r="P25" s="406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8"/>
    </row>
    <row r="26" spans="2:29" s="642" customFormat="1" ht="20.100000000000001" customHeight="1">
      <c r="B26" s="611"/>
      <c r="C26" s="545"/>
      <c r="D26" s="546"/>
      <c r="E26" s="501"/>
      <c r="F26" s="501"/>
      <c r="G26" s="537"/>
      <c r="H26" s="501"/>
      <c r="I26" s="501"/>
      <c r="J26" s="537"/>
      <c r="K26" s="501"/>
      <c r="L26" s="501"/>
      <c r="M26" s="508"/>
      <c r="N26" s="609"/>
      <c r="P26" s="396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9"/>
    </row>
    <row r="27" spans="2:29" s="642" customFormat="1" ht="20.100000000000001" customHeight="1">
      <c r="B27" s="611"/>
      <c r="C27" s="545"/>
      <c r="D27" s="546"/>
      <c r="E27" s="501"/>
      <c r="F27" s="501"/>
      <c r="G27" s="537"/>
      <c r="H27" s="501"/>
      <c r="I27" s="501"/>
      <c r="J27" s="537"/>
      <c r="K27" s="501"/>
      <c r="L27" s="501"/>
      <c r="M27" s="508"/>
      <c r="N27" s="609"/>
      <c r="P27" s="396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9"/>
    </row>
    <row r="28" spans="2:29" s="642" customFormat="1" ht="20.100000000000001" customHeight="1">
      <c r="B28" s="611"/>
      <c r="C28" s="545"/>
      <c r="D28" s="546"/>
      <c r="E28" s="501"/>
      <c r="F28" s="501"/>
      <c r="G28" s="537"/>
      <c r="H28" s="501"/>
      <c r="I28" s="501"/>
      <c r="J28" s="537"/>
      <c r="K28" s="501"/>
      <c r="L28" s="501"/>
      <c r="M28" s="508"/>
      <c r="N28" s="609"/>
      <c r="P28" s="396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9"/>
    </row>
    <row r="29" spans="2:29" s="642" customFormat="1" ht="20.100000000000001" customHeight="1">
      <c r="B29" s="611"/>
      <c r="C29" s="547"/>
      <c r="D29" s="548"/>
      <c r="E29" s="503"/>
      <c r="F29" s="503"/>
      <c r="G29" s="519"/>
      <c r="H29" s="503"/>
      <c r="I29" s="503"/>
      <c r="J29" s="519"/>
      <c r="K29" s="503"/>
      <c r="L29" s="503"/>
      <c r="M29" s="509"/>
      <c r="N29" s="609"/>
      <c r="P29" s="396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</row>
    <row r="30" spans="2:29" s="639" customFormat="1" ht="23.1" customHeight="1">
      <c r="B30" s="633"/>
      <c r="C30" s="634" t="s">
        <v>587</v>
      </c>
      <c r="D30" s="635"/>
      <c r="E30" s="636">
        <f>+E31+E40</f>
        <v>845802.08</v>
      </c>
      <c r="F30" s="636">
        <f>+F31+F40</f>
        <v>54977.135199999997</v>
      </c>
      <c r="G30" s="637"/>
      <c r="H30" s="636">
        <f>+H31+H40</f>
        <v>311318.58</v>
      </c>
      <c r="I30" s="636">
        <f>+I31+I40</f>
        <v>21792.300600000002</v>
      </c>
      <c r="J30" s="637"/>
      <c r="K30" s="636">
        <f>+K31+K40</f>
        <v>0</v>
      </c>
      <c r="L30" s="636">
        <f>+L31+L40</f>
        <v>0</v>
      </c>
      <c r="M30" s="638"/>
      <c r="N30" s="609"/>
      <c r="P30" s="406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8"/>
    </row>
    <row r="31" spans="2:29" s="653" customFormat="1" ht="18.95" customHeight="1">
      <c r="B31" s="646"/>
      <c r="C31" s="647" t="s">
        <v>588</v>
      </c>
      <c r="D31" s="648"/>
      <c r="E31" s="649">
        <f>E32+E36</f>
        <v>0</v>
      </c>
      <c r="F31" s="649">
        <f>F32+F36</f>
        <v>0</v>
      </c>
      <c r="G31" s="650"/>
      <c r="H31" s="649">
        <f>H32+H36</f>
        <v>0</v>
      </c>
      <c r="I31" s="649">
        <f>I32+I36</f>
        <v>0</v>
      </c>
      <c r="J31" s="650"/>
      <c r="K31" s="649">
        <f>K32+K36</f>
        <v>0</v>
      </c>
      <c r="L31" s="649">
        <f>L32+L36</f>
        <v>0</v>
      </c>
      <c r="M31" s="651"/>
      <c r="N31" s="652"/>
      <c r="P31" s="591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3"/>
    </row>
    <row r="32" spans="2:29" s="639" customFormat="1" ht="18.95" customHeight="1">
      <c r="B32" s="633"/>
      <c r="C32" s="775"/>
      <c r="D32" s="776" t="s">
        <v>716</v>
      </c>
      <c r="E32" s="783">
        <f>SUM(E33:E35)</f>
        <v>0</v>
      </c>
      <c r="F32" s="783">
        <f>SUM(F33:F35)</f>
        <v>0</v>
      </c>
      <c r="G32" s="784"/>
      <c r="H32" s="783">
        <f>SUM(H33:H35)</f>
        <v>0</v>
      </c>
      <c r="I32" s="783">
        <f>SUM(I33:I35)</f>
        <v>0</v>
      </c>
      <c r="J32" s="784"/>
      <c r="K32" s="783">
        <f>SUM(K33:K35)</f>
        <v>0</v>
      </c>
      <c r="L32" s="783">
        <f>SUM(L33:L35)</f>
        <v>0</v>
      </c>
      <c r="M32" s="785"/>
      <c r="N32" s="674"/>
      <c r="P32" s="406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8"/>
    </row>
    <row r="33" spans="2:29" s="642" customFormat="1" ht="18.95" customHeight="1">
      <c r="B33" s="611"/>
      <c r="C33" s="543"/>
      <c r="D33" s="544"/>
      <c r="E33" s="498"/>
      <c r="F33" s="498"/>
      <c r="G33" s="535"/>
      <c r="H33" s="498"/>
      <c r="I33" s="498"/>
      <c r="J33" s="535"/>
      <c r="K33" s="498"/>
      <c r="L33" s="498"/>
      <c r="M33" s="536"/>
      <c r="N33" s="609"/>
      <c r="P33" s="396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9"/>
    </row>
    <row r="34" spans="2:29" s="642" customFormat="1" ht="18.95" customHeight="1">
      <c r="B34" s="611"/>
      <c r="C34" s="543"/>
      <c r="D34" s="544"/>
      <c r="E34" s="498"/>
      <c r="F34" s="498"/>
      <c r="G34" s="535"/>
      <c r="H34" s="498"/>
      <c r="I34" s="498"/>
      <c r="J34" s="535"/>
      <c r="K34" s="498"/>
      <c r="L34" s="498"/>
      <c r="M34" s="536"/>
      <c r="N34" s="609"/>
      <c r="P34" s="396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9"/>
    </row>
    <row r="35" spans="2:29" s="642" customFormat="1" ht="18.95" customHeight="1">
      <c r="B35" s="611"/>
      <c r="C35" s="543"/>
      <c r="D35" s="544"/>
      <c r="E35" s="498"/>
      <c r="F35" s="498"/>
      <c r="G35" s="535"/>
      <c r="H35" s="498"/>
      <c r="I35" s="498"/>
      <c r="J35" s="535"/>
      <c r="K35" s="498"/>
      <c r="L35" s="498"/>
      <c r="M35" s="536"/>
      <c r="N35" s="609"/>
      <c r="P35" s="396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9"/>
    </row>
    <row r="36" spans="2:29" s="639" customFormat="1" ht="18.95" customHeight="1">
      <c r="B36" s="633"/>
      <c r="C36" s="775"/>
      <c r="D36" s="776" t="s">
        <v>717</v>
      </c>
      <c r="E36" s="783">
        <f>SUM(E37:E39)</f>
        <v>0</v>
      </c>
      <c r="F36" s="783">
        <f>SUM(F37:F39)</f>
        <v>0</v>
      </c>
      <c r="G36" s="784"/>
      <c r="H36" s="783">
        <f>SUM(H37:H39)</f>
        <v>0</v>
      </c>
      <c r="I36" s="783">
        <f>SUM(I37:I39)</f>
        <v>0</v>
      </c>
      <c r="J36" s="784"/>
      <c r="K36" s="783">
        <f>SUM(K37:K39)</f>
        <v>0</v>
      </c>
      <c r="L36" s="783">
        <f>SUM(L37:L39)</f>
        <v>0</v>
      </c>
      <c r="M36" s="785"/>
      <c r="N36" s="674"/>
      <c r="P36" s="791"/>
      <c r="Q36" s="792"/>
      <c r="R36" s="792"/>
      <c r="S36" s="792"/>
      <c r="T36" s="792"/>
      <c r="U36" s="792"/>
      <c r="V36" s="792"/>
      <c r="W36" s="792"/>
      <c r="X36" s="792"/>
      <c r="Y36" s="792"/>
      <c r="Z36" s="792"/>
      <c r="AA36" s="792"/>
      <c r="AB36" s="792"/>
      <c r="AC36" s="793"/>
    </row>
    <row r="37" spans="2:29" s="642" customFormat="1" ht="18.95" customHeight="1">
      <c r="B37" s="611"/>
      <c r="C37" s="543"/>
      <c r="D37" s="544"/>
      <c r="E37" s="498"/>
      <c r="F37" s="498"/>
      <c r="G37" s="535"/>
      <c r="H37" s="498"/>
      <c r="I37" s="498"/>
      <c r="J37" s="535"/>
      <c r="K37" s="498"/>
      <c r="L37" s="498"/>
      <c r="M37" s="536"/>
      <c r="N37" s="609"/>
      <c r="P37" s="409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1"/>
    </row>
    <row r="38" spans="2:29" s="642" customFormat="1" ht="18.95" customHeight="1">
      <c r="B38" s="611"/>
      <c r="C38" s="543"/>
      <c r="D38" s="544"/>
      <c r="E38" s="498"/>
      <c r="F38" s="498"/>
      <c r="G38" s="535"/>
      <c r="H38" s="498"/>
      <c r="I38" s="498"/>
      <c r="J38" s="535"/>
      <c r="K38" s="498"/>
      <c r="L38" s="498"/>
      <c r="M38" s="536"/>
      <c r="N38" s="609"/>
      <c r="P38" s="409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1"/>
    </row>
    <row r="39" spans="2:29" s="642" customFormat="1" ht="18.95" customHeight="1">
      <c r="B39" s="611"/>
      <c r="C39" s="543"/>
      <c r="D39" s="544"/>
      <c r="E39" s="498"/>
      <c r="F39" s="498"/>
      <c r="G39" s="535"/>
      <c r="H39" s="498"/>
      <c r="I39" s="498"/>
      <c r="J39" s="535"/>
      <c r="K39" s="498"/>
      <c r="L39" s="498"/>
      <c r="M39" s="536"/>
      <c r="N39" s="609"/>
      <c r="P39" s="409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1"/>
    </row>
    <row r="40" spans="2:29" s="653" customFormat="1" ht="18.95" customHeight="1">
      <c r="B40" s="646"/>
      <c r="C40" s="647" t="s">
        <v>589</v>
      </c>
      <c r="D40" s="648"/>
      <c r="E40" s="649">
        <f>+E41+E42</f>
        <v>845802.08</v>
      </c>
      <c r="F40" s="649">
        <f>+F41+F42</f>
        <v>54977.135199999997</v>
      </c>
      <c r="G40" s="650"/>
      <c r="H40" s="649">
        <f>+H41+H42</f>
        <v>311318.58</v>
      </c>
      <c r="I40" s="649">
        <f>+I41+I42</f>
        <v>21792.300600000002</v>
      </c>
      <c r="J40" s="650"/>
      <c r="K40" s="649">
        <f>+K41+K42</f>
        <v>0</v>
      </c>
      <c r="L40" s="649">
        <f>+L41+L42</f>
        <v>0</v>
      </c>
      <c r="M40" s="651"/>
      <c r="N40" s="652"/>
      <c r="P40" s="594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6"/>
    </row>
    <row r="41" spans="2:29" s="639" customFormat="1" ht="18.95" customHeight="1">
      <c r="B41" s="633"/>
      <c r="C41" s="775"/>
      <c r="D41" s="776" t="s">
        <v>590</v>
      </c>
      <c r="E41" s="468"/>
      <c r="F41" s="468"/>
      <c r="G41" s="777"/>
      <c r="H41" s="468"/>
      <c r="I41" s="468"/>
      <c r="J41" s="777"/>
      <c r="K41" s="468"/>
      <c r="L41" s="468"/>
      <c r="M41" s="778"/>
      <c r="N41" s="674"/>
      <c r="P41" s="791"/>
      <c r="Q41" s="792"/>
      <c r="R41" s="792"/>
      <c r="S41" s="792"/>
      <c r="T41" s="792"/>
      <c r="U41" s="792"/>
      <c r="V41" s="792"/>
      <c r="W41" s="792"/>
      <c r="X41" s="792"/>
      <c r="Y41" s="792"/>
      <c r="Z41" s="792"/>
      <c r="AA41" s="792"/>
      <c r="AB41" s="792"/>
      <c r="AC41" s="793"/>
    </row>
    <row r="42" spans="2:29" s="639" customFormat="1" ht="18.95" customHeight="1">
      <c r="B42" s="633"/>
      <c r="C42" s="794"/>
      <c r="D42" s="795" t="s">
        <v>591</v>
      </c>
      <c r="E42" s="796">
        <v>845802.08</v>
      </c>
      <c r="F42" s="796">
        <f>(E42*0.065)</f>
        <v>54977.135199999997</v>
      </c>
      <c r="G42" s="797"/>
      <c r="H42" s="796">
        <v>311318.58</v>
      </c>
      <c r="I42" s="796">
        <f>(H42*0.07)</f>
        <v>21792.300600000002</v>
      </c>
      <c r="J42" s="797"/>
      <c r="K42" s="796"/>
      <c r="L42" s="796"/>
      <c r="M42" s="798"/>
      <c r="N42" s="674"/>
      <c r="P42" s="791"/>
      <c r="Q42" s="792"/>
      <c r="R42" s="792"/>
      <c r="S42" s="792"/>
      <c r="T42" s="792"/>
      <c r="U42" s="792"/>
      <c r="V42" s="792"/>
      <c r="W42" s="792"/>
      <c r="X42" s="792"/>
      <c r="Y42" s="792"/>
      <c r="Z42" s="792"/>
      <c r="AA42" s="792"/>
      <c r="AB42" s="792"/>
      <c r="AC42" s="793"/>
    </row>
    <row r="43" spans="2:29" s="639" customFormat="1" ht="23.1" customHeight="1" thickBot="1">
      <c r="B43" s="633"/>
      <c r="C43" s="654" t="s">
        <v>592</v>
      </c>
      <c r="D43" s="655"/>
      <c r="E43" s="656">
        <f>E16+E19+E30</f>
        <v>845802.08</v>
      </c>
      <c r="F43" s="656">
        <f>F16+F19+F30</f>
        <v>54977.135199999997</v>
      </c>
      <c r="G43" s="657"/>
      <c r="H43" s="656">
        <f>H16+H19+H30</f>
        <v>311318.58</v>
      </c>
      <c r="I43" s="656">
        <f>I16+I19+I30</f>
        <v>21792.300600000002</v>
      </c>
      <c r="J43" s="657"/>
      <c r="K43" s="656">
        <f>K16+K19+K30</f>
        <v>0</v>
      </c>
      <c r="L43" s="656">
        <f>L16+L19+L30</f>
        <v>0</v>
      </c>
      <c r="M43" s="658"/>
      <c r="N43" s="609"/>
      <c r="P43" s="409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1"/>
    </row>
    <row r="44" spans="2:29" s="642" customFormat="1" ht="23.1" customHeight="1">
      <c r="B44" s="611"/>
      <c r="C44" s="659"/>
      <c r="D44" s="659"/>
      <c r="E44" s="660"/>
      <c r="F44" s="660"/>
      <c r="G44" s="660"/>
      <c r="H44" s="660"/>
      <c r="I44" s="660"/>
      <c r="J44" s="660"/>
      <c r="K44" s="660"/>
      <c r="L44" s="660"/>
      <c r="M44" s="660"/>
      <c r="N44" s="609"/>
      <c r="P44" s="409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1"/>
    </row>
    <row r="45" spans="2:29" s="627" customFormat="1" ht="23.1" customHeight="1">
      <c r="B45" s="620"/>
      <c r="C45" s="621"/>
      <c r="D45" s="622"/>
      <c r="E45" s="661" t="s">
        <v>176</v>
      </c>
      <c r="F45" s="661" t="s">
        <v>177</v>
      </c>
      <c r="G45" s="661" t="s">
        <v>178</v>
      </c>
      <c r="H45" s="1506" t="s">
        <v>520</v>
      </c>
      <c r="I45" s="1507"/>
      <c r="J45" s="1507"/>
      <c r="K45" s="1507"/>
      <c r="L45" s="1507"/>
      <c r="M45" s="1508"/>
      <c r="N45" s="609"/>
      <c r="P45" s="409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1"/>
    </row>
    <row r="46" spans="2:29" s="632" customFormat="1" ht="23.1" customHeight="1">
      <c r="B46" s="628"/>
      <c r="C46" s="629" t="s">
        <v>593</v>
      </c>
      <c r="D46" s="630"/>
      <c r="E46" s="662">
        <f>ejercicio-2</f>
        <v>2019</v>
      </c>
      <c r="F46" s="662">
        <f>ejercicio-1</f>
        <v>2020</v>
      </c>
      <c r="G46" s="662">
        <f>ejercicio</f>
        <v>2021</v>
      </c>
      <c r="H46" s="1509"/>
      <c r="I46" s="1510"/>
      <c r="J46" s="1510"/>
      <c r="K46" s="1510"/>
      <c r="L46" s="1510"/>
      <c r="M46" s="1511"/>
      <c r="N46" s="609"/>
      <c r="P46" s="409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1"/>
    </row>
    <row r="47" spans="2:29" s="642" customFormat="1" ht="23.1" customHeight="1" thickBot="1">
      <c r="B47" s="611"/>
      <c r="C47" s="654" t="s">
        <v>758</v>
      </c>
      <c r="D47" s="655"/>
      <c r="E47" s="656">
        <f>E48+E52</f>
        <v>5105.82</v>
      </c>
      <c r="F47" s="656">
        <f>F48+F52</f>
        <v>7249.86</v>
      </c>
      <c r="G47" s="656">
        <f t="shared" ref="G47" si="0">G48+G52</f>
        <v>0</v>
      </c>
      <c r="H47" s="663"/>
      <c r="I47" s="664"/>
      <c r="J47" s="664"/>
      <c r="K47" s="664"/>
      <c r="L47" s="664"/>
      <c r="M47" s="665"/>
      <c r="N47" s="609"/>
      <c r="P47" s="409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1"/>
    </row>
    <row r="48" spans="2:29" s="642" customFormat="1" ht="20.100000000000001" customHeight="1">
      <c r="B48" s="611"/>
      <c r="C48" s="1236" t="s">
        <v>952</v>
      </c>
      <c r="D48" s="1237"/>
      <c r="E48" s="1238">
        <f>SUM(E49:E51)</f>
        <v>5105.82</v>
      </c>
      <c r="F48" s="1238">
        <f t="shared" ref="F48:G48" si="1">SUM(F49:F51)</f>
        <v>7249.86</v>
      </c>
      <c r="G48" s="1238">
        <f t="shared" si="1"/>
        <v>0</v>
      </c>
      <c r="H48" s="1239"/>
      <c r="I48" s="1240"/>
      <c r="J48" s="1240"/>
      <c r="K48" s="1240"/>
      <c r="L48" s="1240"/>
      <c r="M48" s="1241"/>
      <c r="N48" s="609"/>
      <c r="P48" s="409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1"/>
    </row>
    <row r="49" spans="2:29" s="642" customFormat="1" ht="20.100000000000001" customHeight="1">
      <c r="B49" s="611"/>
      <c r="C49" s="545"/>
      <c r="D49" s="546"/>
      <c r="E49" s="566">
        <v>5105.82</v>
      </c>
      <c r="F49" s="566">
        <v>7249.86</v>
      </c>
      <c r="G49" s="566"/>
      <c r="H49" s="525"/>
      <c r="I49" s="685"/>
      <c r="J49" s="685"/>
      <c r="K49" s="685"/>
      <c r="L49" s="685"/>
      <c r="M49" s="522"/>
      <c r="N49" s="609"/>
      <c r="P49" s="409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1"/>
    </row>
    <row r="50" spans="2:29" s="642" customFormat="1" ht="20.100000000000001" customHeight="1">
      <c r="B50" s="611"/>
      <c r="C50" s="545"/>
      <c r="D50" s="546"/>
      <c r="E50" s="566"/>
      <c r="F50" s="566"/>
      <c r="G50" s="566"/>
      <c r="H50" s="1211"/>
      <c r="I50" s="685"/>
      <c r="J50" s="685"/>
      <c r="K50" s="685"/>
      <c r="L50" s="685"/>
      <c r="M50" s="1212"/>
      <c r="N50" s="609"/>
      <c r="P50" s="409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1"/>
    </row>
    <row r="51" spans="2:29" s="642" customFormat="1" ht="20.100000000000001" customHeight="1">
      <c r="B51" s="611"/>
      <c r="C51" s="545"/>
      <c r="D51" s="546"/>
      <c r="E51" s="566"/>
      <c r="F51" s="566"/>
      <c r="G51" s="566"/>
      <c r="H51" s="525"/>
      <c r="I51" s="685"/>
      <c r="J51" s="685"/>
      <c r="K51" s="685"/>
      <c r="L51" s="685"/>
      <c r="M51" s="522"/>
      <c r="N51" s="609"/>
      <c r="P51" s="409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1"/>
    </row>
    <row r="52" spans="2:29" s="642" customFormat="1" ht="20.100000000000001" customHeight="1">
      <c r="B52" s="611"/>
      <c r="C52" s="786" t="s">
        <v>953</v>
      </c>
      <c r="D52" s="645"/>
      <c r="E52" s="1242">
        <f>SUM(E53:E55)</f>
        <v>0</v>
      </c>
      <c r="F52" s="1242">
        <f t="shared" ref="F52:G52" si="2">SUM(F53:F55)</f>
        <v>0</v>
      </c>
      <c r="G52" s="1242">
        <f t="shared" si="2"/>
        <v>0</v>
      </c>
      <c r="H52" s="1243"/>
      <c r="I52" s="1244"/>
      <c r="J52" s="1244"/>
      <c r="K52" s="1244"/>
      <c r="L52" s="1244"/>
      <c r="M52" s="1245"/>
      <c r="N52" s="609"/>
      <c r="P52" s="409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1"/>
    </row>
    <row r="53" spans="2:29" s="642" customFormat="1" ht="20.100000000000001" customHeight="1">
      <c r="B53" s="611"/>
      <c r="C53" s="545"/>
      <c r="D53" s="546"/>
      <c r="E53" s="566"/>
      <c r="F53" s="566"/>
      <c r="G53" s="566"/>
      <c r="H53" s="525"/>
      <c r="I53" s="685"/>
      <c r="J53" s="685"/>
      <c r="K53" s="685"/>
      <c r="L53" s="685"/>
      <c r="M53" s="522"/>
      <c r="N53" s="609"/>
      <c r="P53" s="409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1"/>
    </row>
    <row r="54" spans="2:29" s="642" customFormat="1" ht="20.100000000000001" customHeight="1">
      <c r="B54" s="611"/>
      <c r="C54" s="545"/>
      <c r="D54" s="546"/>
      <c r="E54" s="566"/>
      <c r="F54" s="566"/>
      <c r="G54" s="566"/>
      <c r="H54" s="525"/>
      <c r="I54" s="685"/>
      <c r="J54" s="685"/>
      <c r="K54" s="685"/>
      <c r="L54" s="685"/>
      <c r="M54" s="522"/>
      <c r="N54" s="609"/>
      <c r="P54" s="409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1"/>
    </row>
    <row r="55" spans="2:29" s="642" customFormat="1" ht="20.100000000000001" customHeight="1">
      <c r="B55" s="611"/>
      <c r="C55" s="547"/>
      <c r="D55" s="548"/>
      <c r="E55" s="567"/>
      <c r="F55" s="567"/>
      <c r="G55" s="567"/>
      <c r="H55" s="523"/>
      <c r="I55" s="518"/>
      <c r="J55" s="518"/>
      <c r="K55" s="518"/>
      <c r="L55" s="518"/>
      <c r="M55" s="524"/>
      <c r="N55" s="609"/>
      <c r="P55" s="409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1"/>
    </row>
    <row r="56" spans="2:29" s="642" customFormat="1" ht="23.1" customHeight="1" thickBot="1">
      <c r="B56" s="611"/>
      <c r="C56" s="654" t="s">
        <v>759</v>
      </c>
      <c r="D56" s="655"/>
      <c r="E56" s="656">
        <f>E57+E61</f>
        <v>-18455.71</v>
      </c>
      <c r="F56" s="656">
        <f>F57+F61</f>
        <v>-1410.88</v>
      </c>
      <c r="G56" s="656">
        <f t="shared" ref="G56" si="3">G57+G61</f>
        <v>0</v>
      </c>
      <c r="H56" s="663"/>
      <c r="I56" s="664"/>
      <c r="J56" s="664"/>
      <c r="K56" s="664"/>
      <c r="L56" s="664"/>
      <c r="M56" s="665"/>
      <c r="N56" s="609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1"/>
    </row>
    <row r="57" spans="2:29" s="642" customFormat="1" ht="20.100000000000001" customHeight="1">
      <c r="B57" s="611"/>
      <c r="C57" s="1236" t="s">
        <v>954</v>
      </c>
      <c r="D57" s="1237"/>
      <c r="E57" s="1238">
        <f>SUM(E58:E60)</f>
        <v>-18455.71</v>
      </c>
      <c r="F57" s="1238">
        <f t="shared" ref="F57" si="4">SUM(F58:F60)</f>
        <v>-1410.88</v>
      </c>
      <c r="G57" s="1238">
        <f>SUM(G58:G60)</f>
        <v>0</v>
      </c>
      <c r="H57" s="1239"/>
      <c r="I57" s="1240"/>
      <c r="J57" s="1240"/>
      <c r="K57" s="1240"/>
      <c r="L57" s="1240"/>
      <c r="M57" s="1241"/>
      <c r="N57" s="609"/>
      <c r="P57" s="409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1"/>
    </row>
    <row r="58" spans="2:29" s="642" customFormat="1" ht="20.100000000000001" customHeight="1">
      <c r="B58" s="611"/>
      <c r="C58" s="545"/>
      <c r="D58" s="546"/>
      <c r="E58" s="566">
        <v>-18455.71</v>
      </c>
      <c r="F58" s="566">
        <v>-1410.88</v>
      </c>
      <c r="G58" s="566"/>
      <c r="H58" s="525"/>
      <c r="I58" s="685"/>
      <c r="J58" s="685"/>
      <c r="K58" s="685"/>
      <c r="L58" s="685"/>
      <c r="M58" s="522"/>
      <c r="N58" s="609"/>
      <c r="P58" s="409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1"/>
    </row>
    <row r="59" spans="2:29" s="642" customFormat="1" ht="20.100000000000001" customHeight="1">
      <c r="B59" s="611"/>
      <c r="C59" s="545"/>
      <c r="D59" s="546"/>
      <c r="E59" s="566"/>
      <c r="F59" s="566"/>
      <c r="G59" s="566"/>
      <c r="H59" s="1211"/>
      <c r="I59" s="685"/>
      <c r="J59" s="685"/>
      <c r="K59" s="685"/>
      <c r="L59" s="685"/>
      <c r="M59" s="1212"/>
      <c r="N59" s="609"/>
      <c r="P59" s="409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1"/>
    </row>
    <row r="60" spans="2:29" s="642" customFormat="1" ht="20.100000000000001" customHeight="1">
      <c r="B60" s="611"/>
      <c r="C60" s="545"/>
      <c r="D60" s="546"/>
      <c r="E60" s="566"/>
      <c r="F60" s="566"/>
      <c r="G60" s="566"/>
      <c r="H60" s="525"/>
      <c r="I60" s="685"/>
      <c r="J60" s="685"/>
      <c r="K60" s="685"/>
      <c r="L60" s="685"/>
      <c r="M60" s="522"/>
      <c r="N60" s="609"/>
      <c r="P60" s="409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  <c r="AC60" s="411"/>
    </row>
    <row r="61" spans="2:29" s="642" customFormat="1" ht="20.100000000000001" customHeight="1">
      <c r="B61" s="611"/>
      <c r="C61" s="786" t="s">
        <v>955</v>
      </c>
      <c r="D61" s="645"/>
      <c r="E61" s="1242">
        <f>SUM(E62:E64)</f>
        <v>0</v>
      </c>
      <c r="F61" s="1242">
        <f t="shared" ref="F61" si="5">SUM(F62:F64)</f>
        <v>0</v>
      </c>
      <c r="G61" s="1242">
        <f t="shared" ref="G61" si="6">SUM(G62:G64)</f>
        <v>0</v>
      </c>
      <c r="H61" s="1243"/>
      <c r="I61" s="1244"/>
      <c r="J61" s="1244"/>
      <c r="K61" s="1244"/>
      <c r="L61" s="1244"/>
      <c r="M61" s="1245"/>
      <c r="N61" s="609"/>
      <c r="P61" s="409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1"/>
    </row>
    <row r="62" spans="2:29" s="642" customFormat="1" ht="20.100000000000001" customHeight="1">
      <c r="B62" s="611"/>
      <c r="C62" s="545"/>
      <c r="D62" s="546"/>
      <c r="E62" s="566"/>
      <c r="F62" s="566"/>
      <c r="G62" s="566"/>
      <c r="H62" s="525"/>
      <c r="I62" s="685"/>
      <c r="J62" s="685"/>
      <c r="K62" s="685"/>
      <c r="L62" s="685"/>
      <c r="M62" s="522"/>
      <c r="N62" s="609"/>
      <c r="P62" s="409"/>
      <c r="Q62" s="410"/>
      <c r="R62" s="410"/>
      <c r="S62" s="410"/>
      <c r="T62" s="410"/>
      <c r="U62" s="410"/>
      <c r="V62" s="410"/>
      <c r="W62" s="410"/>
      <c r="X62" s="410"/>
      <c r="Y62" s="410"/>
      <c r="Z62" s="410"/>
      <c r="AA62" s="410"/>
      <c r="AB62" s="410"/>
      <c r="AC62" s="411"/>
    </row>
    <row r="63" spans="2:29" s="642" customFormat="1" ht="20.100000000000001" customHeight="1">
      <c r="B63" s="611"/>
      <c r="C63" s="545"/>
      <c r="D63" s="546"/>
      <c r="E63" s="566"/>
      <c r="F63" s="566"/>
      <c r="G63" s="566"/>
      <c r="H63" s="525"/>
      <c r="I63" s="685"/>
      <c r="J63" s="685"/>
      <c r="K63" s="685"/>
      <c r="L63" s="685"/>
      <c r="M63" s="522"/>
      <c r="N63" s="609"/>
      <c r="P63" s="409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1"/>
    </row>
    <row r="64" spans="2:29" s="642" customFormat="1" ht="20.100000000000001" customHeight="1">
      <c r="B64" s="611"/>
      <c r="C64" s="547"/>
      <c r="D64" s="548"/>
      <c r="E64" s="567"/>
      <c r="F64" s="567"/>
      <c r="G64" s="567"/>
      <c r="H64" s="523"/>
      <c r="I64" s="518"/>
      <c r="J64" s="518"/>
      <c r="K64" s="518"/>
      <c r="L64" s="518"/>
      <c r="M64" s="524"/>
      <c r="N64" s="609"/>
      <c r="P64" s="409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1"/>
    </row>
    <row r="65" spans="2:29" s="642" customFormat="1" ht="23.1" customHeight="1">
      <c r="B65" s="611"/>
      <c r="C65" s="659"/>
      <c r="D65" s="659"/>
      <c r="E65" s="660"/>
      <c r="F65" s="660"/>
      <c r="G65" s="660"/>
      <c r="H65" s="660"/>
      <c r="I65" s="660"/>
      <c r="J65" s="660"/>
      <c r="K65" s="660"/>
      <c r="L65" s="660"/>
      <c r="M65" s="660"/>
      <c r="N65" s="609"/>
      <c r="P65" s="409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1"/>
    </row>
    <row r="66" spans="2:29" s="642" customFormat="1" ht="23.1" customHeight="1">
      <c r="B66" s="611"/>
      <c r="C66" s="621"/>
      <c r="D66" s="622"/>
      <c r="E66" s="661" t="s">
        <v>176</v>
      </c>
      <c r="F66" s="661" t="s">
        <v>177</v>
      </c>
      <c r="G66" s="661" t="s">
        <v>178</v>
      </c>
      <c r="H66" s="1506" t="s">
        <v>520</v>
      </c>
      <c r="I66" s="1507"/>
      <c r="J66" s="1507"/>
      <c r="K66" s="1507"/>
      <c r="L66" s="1507"/>
      <c r="M66" s="1508"/>
      <c r="N66" s="609"/>
      <c r="P66" s="409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  <c r="AC66" s="411"/>
    </row>
    <row r="67" spans="2:29" s="642" customFormat="1" ht="23.1" customHeight="1">
      <c r="B67" s="611"/>
      <c r="C67" s="629" t="s">
        <v>594</v>
      </c>
      <c r="D67" s="630"/>
      <c r="E67" s="662">
        <f>ejercicio-2</f>
        <v>2019</v>
      </c>
      <c r="F67" s="662">
        <f>ejercicio-1</f>
        <v>2020</v>
      </c>
      <c r="G67" s="662">
        <f>ejercicio</f>
        <v>2021</v>
      </c>
      <c r="H67" s="1509"/>
      <c r="I67" s="1510"/>
      <c r="J67" s="1510"/>
      <c r="K67" s="1510"/>
      <c r="L67" s="1510"/>
      <c r="M67" s="1511"/>
      <c r="N67" s="609"/>
      <c r="P67" s="409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1"/>
    </row>
    <row r="68" spans="2:29" s="642" customFormat="1" ht="23.1" customHeight="1">
      <c r="B68" s="611"/>
      <c r="C68" s="640" t="s">
        <v>595</v>
      </c>
      <c r="D68" s="641"/>
      <c r="E68" s="498"/>
      <c r="F68" s="498"/>
      <c r="G68" s="799"/>
      <c r="H68" s="686"/>
      <c r="I68" s="687"/>
      <c r="J68" s="687"/>
      <c r="K68" s="687"/>
      <c r="L68" s="687"/>
      <c r="M68" s="499"/>
      <c r="N68" s="609"/>
      <c r="P68" s="409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1"/>
    </row>
    <row r="69" spans="2:29" s="642" customFormat="1" ht="23.1" customHeight="1">
      <c r="B69" s="611"/>
      <c r="C69" s="643" t="s">
        <v>596</v>
      </c>
      <c r="D69" s="644"/>
      <c r="E69" s="503"/>
      <c r="F69" s="503"/>
      <c r="G69" s="567"/>
      <c r="H69" s="523"/>
      <c r="I69" s="518"/>
      <c r="J69" s="518"/>
      <c r="K69" s="518"/>
      <c r="L69" s="518"/>
      <c r="M69" s="524"/>
      <c r="N69" s="609"/>
      <c r="P69" s="409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1"/>
    </row>
    <row r="70" spans="2:29" s="642" customFormat="1" ht="23.1" customHeight="1">
      <c r="B70" s="611"/>
      <c r="C70" s="659"/>
      <c r="D70" s="659"/>
      <c r="E70" s="660"/>
      <c r="F70" s="660"/>
      <c r="G70" s="660"/>
      <c r="H70" s="660"/>
      <c r="I70" s="660"/>
      <c r="J70" s="660"/>
      <c r="K70" s="660"/>
      <c r="L70" s="660"/>
      <c r="M70" s="660"/>
      <c r="N70" s="609"/>
      <c r="P70" s="409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1"/>
    </row>
    <row r="71" spans="2:29" s="642" customFormat="1" ht="23.1" customHeight="1">
      <c r="B71" s="611"/>
      <c r="C71" s="621"/>
      <c r="D71" s="622"/>
      <c r="E71" s="661" t="s">
        <v>176</v>
      </c>
      <c r="F71" s="661" t="s">
        <v>177</v>
      </c>
      <c r="G71" s="661" t="s">
        <v>178</v>
      </c>
      <c r="H71" s="1506" t="s">
        <v>520</v>
      </c>
      <c r="I71" s="1507"/>
      <c r="J71" s="1507"/>
      <c r="K71" s="1507"/>
      <c r="L71" s="1507"/>
      <c r="M71" s="1508"/>
      <c r="N71" s="609"/>
      <c r="P71" s="409"/>
      <c r="Q71" s="410"/>
      <c r="R71" s="410"/>
      <c r="S71" s="410"/>
      <c r="T71" s="410"/>
      <c r="U71" s="410"/>
      <c r="V71" s="410"/>
      <c r="W71" s="410"/>
      <c r="X71" s="410"/>
      <c r="Y71" s="410"/>
      <c r="Z71" s="410"/>
      <c r="AA71" s="410"/>
      <c r="AB71" s="410"/>
      <c r="AC71" s="411"/>
    </row>
    <row r="72" spans="2:29" s="642" customFormat="1" ht="23.1" customHeight="1">
      <c r="B72" s="611"/>
      <c r="C72" s="629" t="s">
        <v>630</v>
      </c>
      <c r="D72" s="630"/>
      <c r="E72" s="662">
        <f>ejercicio-2</f>
        <v>2019</v>
      </c>
      <c r="F72" s="662">
        <f>ejercicio-1</f>
        <v>2020</v>
      </c>
      <c r="G72" s="662">
        <f>ejercicio</f>
        <v>2021</v>
      </c>
      <c r="H72" s="1509"/>
      <c r="I72" s="1510"/>
      <c r="J72" s="1510"/>
      <c r="K72" s="1510"/>
      <c r="L72" s="1510"/>
      <c r="M72" s="1511"/>
      <c r="N72" s="609"/>
      <c r="P72" s="409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1"/>
    </row>
    <row r="73" spans="2:29" s="642" customFormat="1" ht="23.1" customHeight="1">
      <c r="B73" s="611"/>
      <c r="C73" s="634" t="s">
        <v>631</v>
      </c>
      <c r="D73" s="635"/>
      <c r="E73" s="636">
        <f>SUM(E74:E76)</f>
        <v>0</v>
      </c>
      <c r="F73" s="636">
        <f>SUM(F74:F76)</f>
        <v>5396.18</v>
      </c>
      <c r="G73" s="636">
        <f>SUM(G74:G76)</f>
        <v>0</v>
      </c>
      <c r="H73" s="666"/>
      <c r="I73" s="667"/>
      <c r="J73" s="667"/>
      <c r="K73" s="667"/>
      <c r="L73" s="667"/>
      <c r="M73" s="668"/>
      <c r="N73" s="609"/>
      <c r="P73" s="409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1"/>
    </row>
    <row r="74" spans="2:29" s="642" customFormat="1" ht="23.1" customHeight="1">
      <c r="B74" s="611"/>
      <c r="C74" s="669" t="s">
        <v>632</v>
      </c>
      <c r="D74" s="670"/>
      <c r="E74" s="500"/>
      <c r="F74" s="500"/>
      <c r="G74" s="500"/>
      <c r="H74" s="520"/>
      <c r="I74" s="517"/>
      <c r="J74" s="517"/>
      <c r="K74" s="517"/>
      <c r="L74" s="517"/>
      <c r="M74" s="521"/>
      <c r="N74" s="609"/>
      <c r="P74" s="409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1"/>
    </row>
    <row r="75" spans="2:29" s="642" customFormat="1" ht="23.1" customHeight="1">
      <c r="B75" s="611"/>
      <c r="C75" s="671" t="s">
        <v>633</v>
      </c>
      <c r="D75" s="645"/>
      <c r="E75" s="501"/>
      <c r="F75" s="501"/>
      <c r="G75" s="501"/>
      <c r="H75" s="525"/>
      <c r="I75" s="685"/>
      <c r="J75" s="685"/>
      <c r="K75" s="685"/>
      <c r="L75" s="685"/>
      <c r="M75" s="522"/>
      <c r="N75" s="609"/>
      <c r="P75" s="409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411"/>
    </row>
    <row r="76" spans="2:29" s="642" customFormat="1" ht="23.1" customHeight="1">
      <c r="B76" s="611"/>
      <c r="C76" s="672" t="s">
        <v>634</v>
      </c>
      <c r="D76" s="673"/>
      <c r="E76" s="502"/>
      <c r="F76" s="502">
        <v>5396.18</v>
      </c>
      <c r="G76" s="502"/>
      <c r="H76" s="688"/>
      <c r="I76" s="689"/>
      <c r="J76" s="689"/>
      <c r="K76" s="689"/>
      <c r="L76" s="689"/>
      <c r="M76" s="487"/>
      <c r="N76" s="609"/>
      <c r="P76" s="409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10"/>
      <c r="AC76" s="411"/>
    </row>
    <row r="77" spans="2:29" s="639" customFormat="1" ht="23.1" customHeight="1">
      <c r="B77" s="633"/>
      <c r="C77" s="634" t="s">
        <v>640</v>
      </c>
      <c r="D77" s="635"/>
      <c r="E77" s="636">
        <f>SUM(E78:E83)</f>
        <v>11296363.430000002</v>
      </c>
      <c r="F77" s="636">
        <f>SUM(F78:F83)</f>
        <v>12854457.57</v>
      </c>
      <c r="G77" s="636">
        <f>SUM(G78:G83)</f>
        <v>13323007.110000001</v>
      </c>
      <c r="H77" s="666"/>
      <c r="I77" s="667"/>
      <c r="J77" s="667"/>
      <c r="K77" s="667"/>
      <c r="L77" s="667"/>
      <c r="M77" s="668"/>
      <c r="N77" s="674"/>
      <c r="P77" s="409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1"/>
    </row>
    <row r="78" spans="2:29" s="642" customFormat="1" ht="23.1" customHeight="1">
      <c r="B78" s="611"/>
      <c r="C78" s="669" t="s">
        <v>635</v>
      </c>
      <c r="D78" s="670"/>
      <c r="E78" s="564">
        <v>0</v>
      </c>
      <c r="F78" s="564">
        <v>0</v>
      </c>
      <c r="G78" s="564">
        <v>0</v>
      </c>
      <c r="H78" s="520"/>
      <c r="I78" s="517"/>
      <c r="J78" s="517"/>
      <c r="K78" s="517"/>
      <c r="L78" s="517"/>
      <c r="M78" s="521"/>
      <c r="N78" s="609"/>
      <c r="P78" s="409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1"/>
    </row>
    <row r="79" spans="2:29" s="642" customFormat="1" ht="23.1" customHeight="1">
      <c r="B79" s="611"/>
      <c r="C79" s="671" t="s">
        <v>636</v>
      </c>
      <c r="D79" s="645"/>
      <c r="E79" s="564">
        <v>316000</v>
      </c>
      <c r="F79" s="566">
        <v>0</v>
      </c>
      <c r="G79" s="566">
        <f>100000+309430.94+150000</f>
        <v>559430.93999999994</v>
      </c>
      <c r="H79" s="525"/>
      <c r="I79" s="685"/>
      <c r="J79" s="685"/>
      <c r="K79" s="685"/>
      <c r="L79" s="685"/>
      <c r="M79" s="522"/>
      <c r="N79" s="609"/>
      <c r="P79" s="409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1"/>
    </row>
    <row r="80" spans="2:29" s="642" customFormat="1" ht="23.1" customHeight="1">
      <c r="B80" s="611"/>
      <c r="C80" s="671" t="s">
        <v>637</v>
      </c>
      <c r="D80" s="645"/>
      <c r="E80" s="566">
        <v>198000</v>
      </c>
      <c r="F80" s="566">
        <v>464351</v>
      </c>
      <c r="G80" s="566">
        <v>150000</v>
      </c>
      <c r="H80" s="525"/>
      <c r="I80" s="685"/>
      <c r="J80" s="685"/>
      <c r="K80" s="685"/>
      <c r="L80" s="685"/>
      <c r="M80" s="522"/>
      <c r="N80" s="609"/>
      <c r="P80" s="409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1"/>
    </row>
    <row r="81" spans="2:29" s="642" customFormat="1" ht="23.1" customHeight="1">
      <c r="B81" s="611"/>
      <c r="C81" s="671" t="s">
        <v>638</v>
      </c>
      <c r="D81" s="645"/>
      <c r="E81" s="566">
        <v>10744382.380000001</v>
      </c>
      <c r="F81" s="566">
        <f>'FC-9_TRANS_SUBV'!G94+'FC-9_TRANS_SUBV'!I114</f>
        <v>12233903.280000001</v>
      </c>
      <c r="G81" s="566">
        <f>(950000+3515000+2000000+5696501.78+220000+192401.5)</f>
        <v>12573903.280000001</v>
      </c>
      <c r="H81" s="525"/>
      <c r="I81" s="685"/>
      <c r="J81" s="685"/>
      <c r="K81" s="685"/>
      <c r="L81" s="685"/>
      <c r="M81" s="522"/>
      <c r="N81" s="609"/>
      <c r="P81" s="409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1"/>
    </row>
    <row r="82" spans="2:29" s="642" customFormat="1" ht="23.1" customHeight="1">
      <c r="B82" s="611"/>
      <c r="C82" s="675" t="s">
        <v>657</v>
      </c>
      <c r="D82" s="645"/>
      <c r="E82" s="566">
        <v>37981.050000000003</v>
      </c>
      <c r="F82" s="566">
        <v>156203.29</v>
      </c>
      <c r="G82" s="566">
        <v>39672.89</v>
      </c>
      <c r="H82" s="525"/>
      <c r="I82" s="685"/>
      <c r="J82" s="685"/>
      <c r="K82" s="685"/>
      <c r="L82" s="685"/>
      <c r="M82" s="522"/>
      <c r="N82" s="609"/>
      <c r="P82" s="409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1"/>
    </row>
    <row r="83" spans="2:29" s="642" customFormat="1" ht="23.1" customHeight="1">
      <c r="B83" s="611"/>
      <c r="C83" s="643" t="s">
        <v>639</v>
      </c>
      <c r="D83" s="644"/>
      <c r="E83" s="567"/>
      <c r="F83" s="567"/>
      <c r="G83" s="567"/>
      <c r="H83" s="523"/>
      <c r="I83" s="518"/>
      <c r="J83" s="518"/>
      <c r="K83" s="518"/>
      <c r="L83" s="518"/>
      <c r="M83" s="524"/>
      <c r="N83" s="609"/>
      <c r="P83" s="409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1"/>
    </row>
    <row r="84" spans="2:29" s="642" customFormat="1" ht="23.1" customHeight="1">
      <c r="B84" s="611"/>
      <c r="C84" s="659"/>
      <c r="D84" s="659"/>
      <c r="E84" s="660"/>
      <c r="F84" s="660"/>
      <c r="G84" s="660"/>
      <c r="H84" s="660"/>
      <c r="I84" s="660"/>
      <c r="J84" s="660"/>
      <c r="K84" s="660"/>
      <c r="L84" s="660"/>
      <c r="M84" s="660"/>
      <c r="N84" s="609"/>
      <c r="P84" s="409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1"/>
    </row>
    <row r="85" spans="2:29" s="642" customFormat="1" ht="23.1" customHeight="1">
      <c r="B85" s="611"/>
      <c r="C85" s="1515" t="s">
        <v>674</v>
      </c>
      <c r="D85" s="1516"/>
      <c r="E85" s="1517"/>
      <c r="F85" s="754" t="s">
        <v>411</v>
      </c>
      <c r="G85" s="661" t="s">
        <v>178</v>
      </c>
      <c r="H85" s="1513" t="s">
        <v>520</v>
      </c>
      <c r="I85" s="1513"/>
      <c r="J85" s="1513"/>
      <c r="K85" s="1513"/>
      <c r="L85" s="1513"/>
      <c r="M85" s="1513"/>
      <c r="N85" s="609"/>
      <c r="P85" s="409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1"/>
    </row>
    <row r="86" spans="2:29" s="642" customFormat="1" ht="42.95" customHeight="1">
      <c r="B86" s="611"/>
      <c r="C86" s="1518"/>
      <c r="D86" s="1519"/>
      <c r="E86" s="1520"/>
      <c r="F86" s="755" t="s">
        <v>675</v>
      </c>
      <c r="G86" s="662">
        <f>ejercicio</f>
        <v>2021</v>
      </c>
      <c r="H86" s="1514"/>
      <c r="I86" s="1514"/>
      <c r="J86" s="1514"/>
      <c r="K86" s="1514"/>
      <c r="L86" s="1514"/>
      <c r="M86" s="1514"/>
      <c r="N86" s="609"/>
      <c r="P86" s="409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1"/>
    </row>
    <row r="87" spans="2:29" s="642" customFormat="1" ht="23.1" customHeight="1" thickBot="1">
      <c r="B87" s="611"/>
      <c r="C87" s="654" t="s">
        <v>679</v>
      </c>
      <c r="D87" s="759"/>
      <c r="E87" s="760"/>
      <c r="F87" s="656"/>
      <c r="G87" s="656">
        <f>SUM(G88:G90)</f>
        <v>0</v>
      </c>
      <c r="H87" s="663"/>
      <c r="I87" s="664"/>
      <c r="J87" s="664"/>
      <c r="K87" s="664"/>
      <c r="L87" s="664"/>
      <c r="M87" s="665"/>
      <c r="N87" s="609"/>
      <c r="P87" s="409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1"/>
    </row>
    <row r="88" spans="2:29" s="642" customFormat="1" ht="23.1" customHeight="1">
      <c r="B88" s="611"/>
      <c r="C88" s="1521" t="s">
        <v>676</v>
      </c>
      <c r="D88" s="1522"/>
      <c r="E88" s="1523"/>
      <c r="F88" s="800"/>
      <c r="G88" s="500"/>
      <c r="H88" s="761"/>
      <c r="I88" s="517"/>
      <c r="J88" s="517"/>
      <c r="K88" s="517"/>
      <c r="L88" s="517"/>
      <c r="M88" s="697"/>
      <c r="N88" s="609"/>
      <c r="P88" s="409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1"/>
    </row>
    <row r="89" spans="2:29" s="642" customFormat="1" ht="23.1" customHeight="1">
      <c r="B89" s="611"/>
      <c r="C89" s="756" t="s">
        <v>677</v>
      </c>
      <c r="D89" s="757"/>
      <c r="E89" s="758"/>
      <c r="F89" s="800"/>
      <c r="G89" s="500"/>
      <c r="H89" s="696"/>
      <c r="I89" s="517"/>
      <c r="J89" s="517"/>
      <c r="K89" s="517"/>
      <c r="L89" s="517"/>
      <c r="M89" s="697"/>
      <c r="N89" s="609"/>
      <c r="P89" s="409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1"/>
    </row>
    <row r="90" spans="2:29" s="642" customFormat="1" ht="23.1" customHeight="1">
      <c r="B90" s="611"/>
      <c r="C90" s="1524" t="s">
        <v>678</v>
      </c>
      <c r="D90" s="1525"/>
      <c r="E90" s="1526"/>
      <c r="F90" s="801"/>
      <c r="G90" s="501"/>
      <c r="H90" s="698"/>
      <c r="I90" s="685"/>
      <c r="J90" s="685"/>
      <c r="K90" s="685"/>
      <c r="L90" s="685"/>
      <c r="M90" s="699"/>
      <c r="N90" s="609"/>
      <c r="P90" s="409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  <c r="AC90" s="411"/>
    </row>
    <row r="91" spans="2:29" s="642" customFormat="1" ht="23.1" customHeight="1">
      <c r="B91" s="611"/>
      <c r="C91" s="748"/>
      <c r="D91" s="659"/>
      <c r="E91" s="749"/>
      <c r="F91" s="749"/>
      <c r="G91" s="749"/>
      <c r="H91" s="750"/>
      <c r="I91" s="750"/>
      <c r="J91" s="750"/>
      <c r="K91" s="750"/>
      <c r="L91" s="750"/>
      <c r="M91" s="750"/>
      <c r="N91" s="609"/>
      <c r="P91" s="409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0"/>
      <c r="AC91" s="411"/>
    </row>
    <row r="92" spans="2:29" s="642" customFormat="1" ht="23.1" customHeight="1">
      <c r="B92" s="611"/>
      <c r="C92" s="751" t="s">
        <v>405</v>
      </c>
      <c r="D92" s="752"/>
      <c r="E92" s="660"/>
      <c r="F92" s="660"/>
      <c r="G92" s="660"/>
      <c r="H92" s="660"/>
      <c r="I92" s="660"/>
      <c r="J92" s="660"/>
      <c r="K92" s="660"/>
      <c r="L92" s="660"/>
      <c r="M92" s="660"/>
      <c r="N92" s="609"/>
      <c r="P92" s="409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1"/>
    </row>
    <row r="93" spans="2:29" s="642" customFormat="1" ht="23.1" customHeight="1">
      <c r="B93" s="611"/>
      <c r="C93" s="752" t="s">
        <v>852</v>
      </c>
      <c r="D93" s="752"/>
      <c r="E93" s="678"/>
      <c r="F93" s="678"/>
      <c r="G93" s="678"/>
      <c r="H93" s="678"/>
      <c r="I93" s="678"/>
      <c r="J93" s="678"/>
      <c r="K93" s="678"/>
      <c r="L93" s="678"/>
      <c r="M93" s="678"/>
      <c r="N93" s="609"/>
      <c r="P93" s="409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1"/>
    </row>
    <row r="94" spans="2:29" s="642" customFormat="1" ht="23.1" customHeight="1">
      <c r="B94" s="611"/>
      <c r="C94" s="753" t="s">
        <v>951</v>
      </c>
      <c r="D94" s="752"/>
      <c r="E94" s="678"/>
      <c r="F94" s="678"/>
      <c r="G94" s="678"/>
      <c r="H94" s="678"/>
      <c r="I94" s="678"/>
      <c r="J94" s="678"/>
      <c r="K94" s="678"/>
      <c r="L94" s="678"/>
      <c r="M94" s="678"/>
      <c r="N94" s="609"/>
      <c r="P94" s="409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1"/>
    </row>
    <row r="95" spans="2:29" s="642" customFormat="1" ht="23.1" customHeight="1">
      <c r="B95" s="611"/>
      <c r="C95" s="753" t="s">
        <v>718</v>
      </c>
      <c r="D95" s="752"/>
      <c r="E95" s="678"/>
      <c r="F95" s="678"/>
      <c r="G95" s="678"/>
      <c r="H95" s="678"/>
      <c r="I95" s="678"/>
      <c r="J95" s="678"/>
      <c r="K95" s="678"/>
      <c r="L95" s="678"/>
      <c r="M95" s="678"/>
      <c r="N95" s="609"/>
      <c r="P95" s="409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1"/>
    </row>
    <row r="96" spans="2:29" ht="23.1" customHeight="1" thickBot="1">
      <c r="B96" s="679"/>
      <c r="C96" s="1498"/>
      <c r="D96" s="1498"/>
      <c r="E96" s="1498"/>
      <c r="F96" s="1498"/>
      <c r="G96" s="680"/>
      <c r="H96" s="680"/>
      <c r="I96" s="680"/>
      <c r="J96" s="680"/>
      <c r="K96" s="680"/>
      <c r="L96" s="680"/>
      <c r="M96" s="680"/>
      <c r="N96" s="681"/>
      <c r="P96" s="412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4"/>
    </row>
    <row r="97" spans="3:15" ht="23.1" customHeight="1">
      <c r="C97" s="606"/>
      <c r="D97" s="606"/>
      <c r="E97" s="607"/>
      <c r="F97" s="607"/>
      <c r="G97" s="607"/>
      <c r="H97" s="607"/>
      <c r="I97" s="607"/>
      <c r="J97" s="607"/>
      <c r="K97" s="607"/>
      <c r="L97" s="607"/>
      <c r="M97" s="607"/>
      <c r="O97" s="597" t="s">
        <v>885</v>
      </c>
    </row>
    <row r="98" spans="3:15" ht="12.75">
      <c r="C98" s="682" t="s">
        <v>70</v>
      </c>
      <c r="D98" s="606"/>
      <c r="E98" s="607"/>
      <c r="F98" s="607"/>
      <c r="G98" s="607"/>
      <c r="H98" s="607"/>
      <c r="I98" s="607"/>
      <c r="J98" s="607"/>
      <c r="K98" s="607"/>
      <c r="L98" s="607"/>
      <c r="M98" s="683" t="s">
        <v>46</v>
      </c>
    </row>
    <row r="99" spans="3:15" ht="12.75">
      <c r="C99" s="684" t="s">
        <v>71</v>
      </c>
      <c r="D99" s="606"/>
      <c r="E99" s="607"/>
      <c r="F99" s="607"/>
      <c r="G99" s="607"/>
      <c r="H99" s="607"/>
      <c r="I99" s="607"/>
      <c r="J99" s="607"/>
      <c r="K99" s="607"/>
      <c r="L99" s="607"/>
      <c r="M99" s="607"/>
    </row>
    <row r="100" spans="3:15" ht="12.75">
      <c r="C100" s="684" t="s">
        <v>72</v>
      </c>
      <c r="D100" s="606"/>
      <c r="E100" s="607"/>
      <c r="F100" s="607"/>
      <c r="G100" s="607"/>
      <c r="H100" s="607"/>
      <c r="I100" s="607"/>
      <c r="J100" s="607"/>
      <c r="K100" s="607"/>
      <c r="L100" s="607"/>
      <c r="M100" s="607"/>
    </row>
    <row r="101" spans="3:15" ht="12.75">
      <c r="C101" s="684" t="s">
        <v>73</v>
      </c>
      <c r="D101" s="606"/>
      <c r="E101" s="607"/>
      <c r="F101" s="607"/>
      <c r="G101" s="607"/>
      <c r="H101" s="607"/>
      <c r="I101" s="607"/>
      <c r="J101" s="607"/>
      <c r="K101" s="607"/>
      <c r="L101" s="607"/>
      <c r="M101" s="607"/>
    </row>
    <row r="102" spans="3:15" ht="12.75">
      <c r="C102" s="684" t="s">
        <v>74</v>
      </c>
      <c r="D102" s="606"/>
      <c r="E102" s="607"/>
      <c r="F102" s="607"/>
      <c r="G102" s="607"/>
      <c r="H102" s="607"/>
      <c r="I102" s="607"/>
      <c r="J102" s="607"/>
      <c r="K102" s="607"/>
      <c r="L102" s="607"/>
      <c r="M102" s="607"/>
    </row>
    <row r="103" spans="3:15" ht="23.1" customHeight="1">
      <c r="C103" s="606"/>
      <c r="D103" s="606"/>
      <c r="E103" s="607"/>
      <c r="F103" s="607"/>
      <c r="G103" s="607"/>
      <c r="H103" s="607"/>
      <c r="I103" s="607"/>
      <c r="J103" s="607"/>
      <c r="K103" s="607"/>
      <c r="L103" s="607"/>
      <c r="M103" s="607"/>
    </row>
    <row r="104" spans="3:15" ht="23.1" customHeight="1">
      <c r="C104" s="606"/>
      <c r="D104" s="606"/>
      <c r="E104" s="607"/>
      <c r="F104" s="607"/>
      <c r="G104" s="607"/>
      <c r="H104" s="607"/>
      <c r="I104" s="607"/>
      <c r="J104" s="607"/>
      <c r="K104" s="607"/>
      <c r="L104" s="607"/>
      <c r="M104" s="607"/>
    </row>
    <row r="105" spans="3:15" ht="23.1" customHeight="1">
      <c r="C105" s="606"/>
      <c r="D105" s="606"/>
      <c r="E105" s="607"/>
      <c r="F105" s="607"/>
      <c r="G105" s="607"/>
      <c r="H105" s="607"/>
      <c r="I105" s="607"/>
      <c r="J105" s="607"/>
      <c r="K105" s="607"/>
      <c r="L105" s="607"/>
      <c r="M105" s="607"/>
    </row>
    <row r="106" spans="3:15" ht="23.1" customHeight="1">
      <c r="C106" s="606"/>
      <c r="D106" s="606"/>
      <c r="E106" s="607"/>
      <c r="F106" s="607"/>
      <c r="G106" s="607"/>
      <c r="H106" s="607"/>
      <c r="I106" s="607"/>
      <c r="J106" s="607"/>
      <c r="K106" s="607"/>
      <c r="L106" s="607"/>
      <c r="M106" s="607"/>
    </row>
    <row r="107" spans="3:15" ht="23.1" customHeight="1">
      <c r="F107" s="607"/>
      <c r="G107" s="607"/>
      <c r="H107" s="607"/>
      <c r="I107" s="607"/>
      <c r="J107" s="607"/>
      <c r="K107" s="607"/>
      <c r="L107" s="607"/>
      <c r="M107" s="607"/>
    </row>
  </sheetData>
  <sheetProtection algorithmName="SHA-512" hashValue="OVZiPpoUHnCnV5qW00V+5WRygYhSfHWJgf0Q4xulhCF06a9WVxf44wZWWIfa/dihYSxeGAKLkp0pv5H0MlcQwQ==" saltValue="C1sumFkqrFzPhog+2VvQOw==" spinCount="100000"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ignoredErrors>
    <ignoredError sqref="E48:G48 E57:G57 E52:G52 G49 F50:G50 F51:G51 E61:G61 G58 F59:G59 F60:G60" unlockedFormula="1"/>
  </ignoredErrors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W106"/>
  <sheetViews>
    <sheetView zoomScale="85" zoomScaleNormal="85" workbookViewId="0">
      <selection activeCell="K73" sqref="K73"/>
    </sheetView>
  </sheetViews>
  <sheetFormatPr baseColWidth="10" defaultColWidth="10.6640625" defaultRowHeight="23.1" customHeight="1"/>
  <cols>
    <col min="1" max="1" width="4.109375" style="41" bestFit="1" customWidth="1"/>
    <col min="2" max="2" width="3.109375" style="41" customWidth="1"/>
    <col min="3" max="3" width="13.5546875" style="41" customWidth="1"/>
    <col min="4" max="4" width="76.6640625" style="41" customWidth="1"/>
    <col min="5" max="7" width="18.33203125" style="41" customWidth="1"/>
    <col min="8" max="8" width="3.33203125" style="41" customWidth="1"/>
    <col min="9" max="16384" width="10.6640625" style="41"/>
  </cols>
  <sheetData>
    <row r="1" spans="1:23" ht="23.1" customHeight="1">
      <c r="D1" s="43"/>
    </row>
    <row r="2" spans="1:23" ht="23.1" customHeight="1">
      <c r="D2" s="298" t="str">
        <f>_GENERAL!D2</f>
        <v>Área de Presidencia, Hacienda y Modernización</v>
      </c>
    </row>
    <row r="3" spans="1:23" ht="23.1" customHeight="1">
      <c r="D3" s="298" t="str">
        <f>_GENERAL!D3</f>
        <v>Dirección Insular de Hacienda</v>
      </c>
    </row>
    <row r="4" spans="1:23" ht="23.1" customHeight="1" thickBot="1">
      <c r="A4" s="41" t="s">
        <v>884</v>
      </c>
    </row>
    <row r="5" spans="1:23" ht="9" customHeight="1">
      <c r="B5" s="44"/>
      <c r="C5" s="45"/>
      <c r="D5" s="45"/>
      <c r="E5" s="45"/>
      <c r="F5" s="45"/>
      <c r="G5" s="45"/>
      <c r="H5" s="46"/>
      <c r="J5" s="393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5"/>
    </row>
    <row r="6" spans="1:23" ht="30" customHeight="1">
      <c r="B6" s="47"/>
      <c r="C6" s="1" t="s">
        <v>0</v>
      </c>
      <c r="D6" s="43"/>
      <c r="E6" s="43"/>
      <c r="F6" s="43"/>
      <c r="G6" s="1489">
        <f>ejercicio</f>
        <v>2021</v>
      </c>
      <c r="H6" s="49"/>
      <c r="J6" s="396"/>
      <c r="K6" s="397" t="s">
        <v>628</v>
      </c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</row>
    <row r="7" spans="1:23" ht="30" customHeight="1">
      <c r="B7" s="47"/>
      <c r="C7" s="1" t="s">
        <v>1</v>
      </c>
      <c r="D7" s="43"/>
      <c r="E7" s="43"/>
      <c r="F7" s="43"/>
      <c r="G7" s="1489"/>
      <c r="H7" s="49"/>
      <c r="J7" s="396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</row>
    <row r="8" spans="1:23" ht="30" customHeight="1">
      <c r="B8" s="47"/>
      <c r="C8" s="48"/>
      <c r="D8" s="43"/>
      <c r="E8" s="43"/>
      <c r="F8" s="43"/>
      <c r="G8" s="50"/>
      <c r="H8" s="49"/>
      <c r="J8" s="396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s="59" customFormat="1" ht="30" customHeight="1">
      <c r="B9" s="57"/>
      <c r="C9" s="38" t="s">
        <v>2</v>
      </c>
      <c r="D9" s="1505" t="str">
        <f>Entidad</f>
        <v>Spet, turismo de Tenerife s.a</v>
      </c>
      <c r="E9" s="1505"/>
      <c r="F9" s="1505"/>
      <c r="G9" s="1505"/>
      <c r="H9" s="58"/>
      <c r="J9" s="400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2"/>
    </row>
    <row r="10" spans="1:23" ht="6.95" customHeight="1">
      <c r="B10" s="47"/>
      <c r="C10" s="43"/>
      <c r="D10" s="43"/>
      <c r="E10" s="43"/>
      <c r="F10" s="43"/>
      <c r="G10" s="43"/>
      <c r="H10" s="49"/>
      <c r="J10" s="396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9"/>
    </row>
    <row r="11" spans="1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03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5"/>
    </row>
    <row r="12" spans="1:23" s="61" customFormat="1" ht="30" customHeight="1">
      <c r="B12" s="23"/>
      <c r="C12" s="65"/>
      <c r="D12" s="65"/>
      <c r="E12" s="65"/>
      <c r="F12" s="65"/>
      <c r="G12" s="65"/>
      <c r="H12" s="60"/>
      <c r="J12" s="403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5"/>
    </row>
    <row r="13" spans="1:23" ht="23.1" customHeight="1">
      <c r="B13" s="47"/>
      <c r="C13" s="317"/>
      <c r="D13" s="318"/>
      <c r="E13" s="319" t="s">
        <v>176</v>
      </c>
      <c r="F13" s="320" t="s">
        <v>177</v>
      </c>
      <c r="G13" s="321" t="s">
        <v>178</v>
      </c>
      <c r="H13" s="49"/>
      <c r="J13" s="396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9"/>
    </row>
    <row r="14" spans="1:23" ht="23.1" customHeight="1">
      <c r="B14" s="47"/>
      <c r="C14" s="322" t="s">
        <v>243</v>
      </c>
      <c r="D14" s="67"/>
      <c r="E14" s="303">
        <f>ejercicio-2</f>
        <v>2019</v>
      </c>
      <c r="F14" s="310">
        <f>ejercicio-1</f>
        <v>2020</v>
      </c>
      <c r="G14" s="302">
        <f>ejercicio</f>
        <v>2021</v>
      </c>
      <c r="H14" s="49"/>
      <c r="J14" s="396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9"/>
    </row>
    <row r="15" spans="1:23" ht="23.1" customHeight="1">
      <c r="B15" s="47"/>
      <c r="C15" s="323"/>
      <c r="D15" s="85"/>
      <c r="E15" s="304"/>
      <c r="F15" s="311"/>
      <c r="G15" s="324"/>
      <c r="H15" s="49"/>
      <c r="J15" s="396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9"/>
    </row>
    <row r="16" spans="1:23" ht="23.1" customHeight="1">
      <c r="B16" s="47"/>
      <c r="C16" s="325" t="s">
        <v>180</v>
      </c>
      <c r="D16" s="83" t="s">
        <v>181</v>
      </c>
      <c r="E16" s="305">
        <f>E17+E26+E30+E33+E40+E47+E48</f>
        <v>4291087.75</v>
      </c>
      <c r="F16" s="312">
        <f>F17+F26+F30+F33+F40+F47+F48</f>
        <v>735608.25000000012</v>
      </c>
      <c r="G16" s="326">
        <f>G17+G26+G30+G33+G40+G47+G48</f>
        <v>682118.92</v>
      </c>
      <c r="H16" s="49"/>
      <c r="J16" s="396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9"/>
    </row>
    <row r="17" spans="2:23" ht="23.1" customHeight="1">
      <c r="B17" s="47"/>
      <c r="C17" s="327" t="s">
        <v>182</v>
      </c>
      <c r="D17" s="69" t="s">
        <v>183</v>
      </c>
      <c r="E17" s="306">
        <f>SUM(E18:E25)</f>
        <v>38420.800000000003</v>
      </c>
      <c r="F17" s="313">
        <f>SUM(F18:F25)</f>
        <v>30478.29</v>
      </c>
      <c r="G17" s="328">
        <f>SUM(G18:G25)</f>
        <v>17881.96</v>
      </c>
      <c r="H17" s="49"/>
      <c r="J17" s="1477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9"/>
    </row>
    <row r="18" spans="2:23" ht="23.1" customHeight="1">
      <c r="B18" s="47"/>
      <c r="C18" s="329" t="s">
        <v>81</v>
      </c>
      <c r="D18" s="70" t="s">
        <v>184</v>
      </c>
      <c r="E18" s="441"/>
      <c r="F18" s="442"/>
      <c r="G18" s="443"/>
      <c r="H18" s="49"/>
      <c r="J18" s="396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2:23" ht="23.1" customHeight="1">
      <c r="B19" s="47"/>
      <c r="C19" s="330" t="s">
        <v>88</v>
      </c>
      <c r="D19" s="71" t="s">
        <v>185</v>
      </c>
      <c r="E19" s="444"/>
      <c r="F19" s="445"/>
      <c r="G19" s="446"/>
      <c r="H19" s="49"/>
      <c r="J19" s="396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9"/>
    </row>
    <row r="20" spans="2:23" ht="23.1" customHeight="1">
      <c r="B20" s="47"/>
      <c r="C20" s="330" t="s">
        <v>90</v>
      </c>
      <c r="D20" s="71" t="s">
        <v>186</v>
      </c>
      <c r="E20" s="444"/>
      <c r="F20" s="445"/>
      <c r="G20" s="446"/>
      <c r="H20" s="49"/>
      <c r="J20" s="396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9"/>
    </row>
    <row r="21" spans="2:23" ht="23.1" customHeight="1">
      <c r="B21" s="47"/>
      <c r="C21" s="330" t="s">
        <v>92</v>
      </c>
      <c r="D21" s="71" t="s">
        <v>187</v>
      </c>
      <c r="E21" s="444"/>
      <c r="F21" s="445"/>
      <c r="G21" s="446"/>
      <c r="H21" s="49"/>
      <c r="J21" s="396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9"/>
    </row>
    <row r="22" spans="2:23" ht="23.1" customHeight="1">
      <c r="B22" s="47"/>
      <c r="C22" s="330" t="s">
        <v>188</v>
      </c>
      <c r="D22" s="71" t="s">
        <v>189</v>
      </c>
      <c r="E22" s="444">
        <v>8486.15</v>
      </c>
      <c r="F22" s="445">
        <v>6184.04</v>
      </c>
      <c r="G22" s="446">
        <v>3054.37</v>
      </c>
      <c r="H22" s="49"/>
      <c r="J22" s="396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9"/>
    </row>
    <row r="23" spans="2:23" ht="23.1" customHeight="1">
      <c r="B23" s="47"/>
      <c r="C23" s="330" t="s">
        <v>102</v>
      </c>
      <c r="D23" s="71" t="s">
        <v>190</v>
      </c>
      <c r="E23" s="444"/>
      <c r="F23" s="445"/>
      <c r="G23" s="446"/>
      <c r="H23" s="49"/>
      <c r="J23" s="396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9"/>
    </row>
    <row r="24" spans="2:23" ht="23.1" customHeight="1">
      <c r="B24" s="47"/>
      <c r="C24" s="330" t="s">
        <v>107</v>
      </c>
      <c r="D24" s="71" t="s">
        <v>242</v>
      </c>
      <c r="E24" s="444"/>
      <c r="F24" s="445"/>
      <c r="G24" s="446"/>
      <c r="H24" s="49"/>
      <c r="J24" s="396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9"/>
    </row>
    <row r="25" spans="2:23" ht="23.1" customHeight="1">
      <c r="B25" s="47"/>
      <c r="C25" s="330" t="s">
        <v>115</v>
      </c>
      <c r="D25" s="71" t="s">
        <v>191</v>
      </c>
      <c r="E25" s="444">
        <v>29934.65</v>
      </c>
      <c r="F25" s="445">
        <v>24294.25</v>
      </c>
      <c r="G25" s="446">
        <v>14827.59</v>
      </c>
      <c r="H25" s="49"/>
      <c r="J25" s="396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9"/>
    </row>
    <row r="26" spans="2:23" ht="23.1" customHeight="1">
      <c r="B26" s="47"/>
      <c r="C26" s="327" t="s">
        <v>192</v>
      </c>
      <c r="D26" s="69" t="s">
        <v>193</v>
      </c>
      <c r="E26" s="306">
        <f>SUM(E27:E29)</f>
        <v>734984.89</v>
      </c>
      <c r="F26" s="313">
        <f>SUM(F27:F29)</f>
        <v>702447.9</v>
      </c>
      <c r="G26" s="328">
        <f>SUM(G27:G29)</f>
        <v>661554.9</v>
      </c>
      <c r="H26" s="49"/>
      <c r="J26" s="1477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9"/>
    </row>
    <row r="27" spans="2:23" ht="23.1" customHeight="1">
      <c r="B27" s="47"/>
      <c r="C27" s="329" t="s">
        <v>81</v>
      </c>
      <c r="D27" s="70" t="s">
        <v>194</v>
      </c>
      <c r="E27" s="441"/>
      <c r="F27" s="442"/>
      <c r="G27" s="443"/>
      <c r="H27" s="49"/>
      <c r="J27" s="396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9"/>
    </row>
    <row r="28" spans="2:23" ht="23.1" customHeight="1">
      <c r="B28" s="47"/>
      <c r="C28" s="330" t="s">
        <v>88</v>
      </c>
      <c r="D28" s="71" t="s">
        <v>195</v>
      </c>
      <c r="E28" s="444">
        <v>734984.89</v>
      </c>
      <c r="F28" s="445">
        <v>702447.9</v>
      </c>
      <c r="G28" s="446">
        <v>661554.9</v>
      </c>
      <c r="H28" s="49"/>
      <c r="J28" s="396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9"/>
    </row>
    <row r="29" spans="2:23" ht="23.1" customHeight="1">
      <c r="B29" s="47"/>
      <c r="C29" s="330" t="s">
        <v>90</v>
      </c>
      <c r="D29" s="71" t="s">
        <v>196</v>
      </c>
      <c r="E29" s="444"/>
      <c r="F29" s="445"/>
      <c r="G29" s="446"/>
      <c r="H29" s="49"/>
      <c r="J29" s="396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9"/>
    </row>
    <row r="30" spans="2:23" ht="23.1" customHeight="1">
      <c r="B30" s="47"/>
      <c r="C30" s="327" t="s">
        <v>197</v>
      </c>
      <c r="D30" s="69" t="s">
        <v>198</v>
      </c>
      <c r="E30" s="306">
        <f>SUM(E31:E32)</f>
        <v>0</v>
      </c>
      <c r="F30" s="313">
        <f>SUM(F31:F32)</f>
        <v>0</v>
      </c>
      <c r="G30" s="328">
        <f>SUM(G31:G32)</f>
        <v>0</v>
      </c>
      <c r="H30" s="49"/>
      <c r="J30" s="406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3.1" customHeight="1">
      <c r="B31" s="47"/>
      <c r="C31" s="329" t="s">
        <v>81</v>
      </c>
      <c r="D31" s="70" t="s">
        <v>199</v>
      </c>
      <c r="E31" s="441"/>
      <c r="F31" s="442"/>
      <c r="G31" s="443"/>
      <c r="H31" s="49"/>
      <c r="J31" s="406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3.1" customHeight="1">
      <c r="B32" s="47"/>
      <c r="C32" s="330" t="s">
        <v>88</v>
      </c>
      <c r="D32" s="71" t="s">
        <v>200</v>
      </c>
      <c r="E32" s="444"/>
      <c r="F32" s="445"/>
      <c r="G32" s="446"/>
      <c r="H32" s="49"/>
      <c r="J32" s="396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9"/>
    </row>
    <row r="33" spans="2:23" ht="23.1" customHeight="1">
      <c r="B33" s="47"/>
      <c r="C33" s="327" t="s">
        <v>201</v>
      </c>
      <c r="D33" s="69" t="s">
        <v>202</v>
      </c>
      <c r="E33" s="306">
        <f>SUM(E34:E39)</f>
        <v>0</v>
      </c>
      <c r="F33" s="313">
        <f>SUM(F34:F39)</f>
        <v>0</v>
      </c>
      <c r="G33" s="328">
        <f>SUM(G34:G39)</f>
        <v>0</v>
      </c>
      <c r="H33" s="49"/>
      <c r="J33" s="396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</row>
    <row r="34" spans="2:23" ht="23.1" customHeight="1">
      <c r="B34" s="47"/>
      <c r="C34" s="329" t="s">
        <v>81</v>
      </c>
      <c r="D34" s="70" t="s">
        <v>203</v>
      </c>
      <c r="E34" s="441"/>
      <c r="F34" s="442"/>
      <c r="G34" s="443"/>
      <c r="H34" s="49"/>
      <c r="J34" s="396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9"/>
    </row>
    <row r="35" spans="2:23" ht="23.1" customHeight="1">
      <c r="B35" s="47"/>
      <c r="C35" s="330" t="s">
        <v>88</v>
      </c>
      <c r="D35" s="71" t="s">
        <v>204</v>
      </c>
      <c r="E35" s="444"/>
      <c r="F35" s="445"/>
      <c r="G35" s="446"/>
      <c r="H35" s="49"/>
      <c r="J35" s="396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9"/>
    </row>
    <row r="36" spans="2:23" ht="23.1" customHeight="1">
      <c r="B36" s="47"/>
      <c r="C36" s="330" t="s">
        <v>90</v>
      </c>
      <c r="D36" s="71" t="s">
        <v>205</v>
      </c>
      <c r="E36" s="444"/>
      <c r="F36" s="445"/>
      <c r="G36" s="446"/>
      <c r="H36" s="49"/>
      <c r="J36" s="409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</row>
    <row r="37" spans="2:23" ht="23.1" customHeight="1">
      <c r="B37" s="47"/>
      <c r="C37" s="330" t="s">
        <v>92</v>
      </c>
      <c r="D37" s="71" t="s">
        <v>206</v>
      </c>
      <c r="E37" s="444"/>
      <c r="F37" s="445"/>
      <c r="G37" s="446"/>
      <c r="H37" s="49"/>
      <c r="J37" s="409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</row>
    <row r="38" spans="2:23" ht="23.1" customHeight="1">
      <c r="B38" s="47"/>
      <c r="C38" s="330" t="s">
        <v>188</v>
      </c>
      <c r="D38" s="71" t="s">
        <v>207</v>
      </c>
      <c r="E38" s="444"/>
      <c r="F38" s="445"/>
      <c r="G38" s="446"/>
      <c r="H38" s="49"/>
      <c r="J38" s="409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</row>
    <row r="39" spans="2:23" ht="23.1" customHeight="1">
      <c r="B39" s="47"/>
      <c r="C39" s="330" t="s">
        <v>102</v>
      </c>
      <c r="D39" s="71" t="s">
        <v>208</v>
      </c>
      <c r="E39" s="444"/>
      <c r="F39" s="445"/>
      <c r="G39" s="446"/>
      <c r="H39" s="49"/>
      <c r="J39" s="409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1"/>
    </row>
    <row r="40" spans="2:23" ht="23.1" customHeight="1">
      <c r="B40" s="47"/>
      <c r="C40" s="327" t="s">
        <v>209</v>
      </c>
      <c r="D40" s="69" t="s">
        <v>210</v>
      </c>
      <c r="E40" s="306">
        <f>SUM(E41:E46)</f>
        <v>3517682.06</v>
      </c>
      <c r="F40" s="313">
        <f>SUM(F41:F46)</f>
        <v>2682.06</v>
      </c>
      <c r="G40" s="328">
        <f>SUM(G41:G46)</f>
        <v>2682.06</v>
      </c>
      <c r="H40" s="49"/>
      <c r="J40" s="409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1"/>
    </row>
    <row r="41" spans="2:23" ht="23.1" customHeight="1">
      <c r="B41" s="47"/>
      <c r="C41" s="329" t="s">
        <v>81</v>
      </c>
      <c r="D41" s="70" t="s">
        <v>203</v>
      </c>
      <c r="E41" s="441"/>
      <c r="F41" s="442"/>
      <c r="G41" s="443"/>
      <c r="H41" s="49"/>
      <c r="J41" s="409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1"/>
    </row>
    <row r="42" spans="2:23" ht="23.1" customHeight="1">
      <c r="B42" s="47"/>
      <c r="C42" s="330" t="s">
        <v>88</v>
      </c>
      <c r="D42" s="71" t="s">
        <v>211</v>
      </c>
      <c r="E42" s="444"/>
      <c r="F42" s="445"/>
      <c r="G42" s="446"/>
      <c r="H42" s="49"/>
      <c r="J42" s="1203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1"/>
    </row>
    <row r="43" spans="2:23" ht="23.1" customHeight="1">
      <c r="B43" s="47"/>
      <c r="C43" s="330" t="s">
        <v>90</v>
      </c>
      <c r="D43" s="71" t="s">
        <v>205</v>
      </c>
      <c r="E43" s="444"/>
      <c r="F43" s="445"/>
      <c r="G43" s="446"/>
      <c r="H43" s="49"/>
      <c r="J43" s="409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</row>
    <row r="44" spans="2:23" ht="23.1" customHeight="1">
      <c r="B44" s="47"/>
      <c r="C44" s="330" t="s">
        <v>92</v>
      </c>
      <c r="D44" s="71" t="s">
        <v>206</v>
      </c>
      <c r="E44" s="444"/>
      <c r="F44" s="445"/>
      <c r="G44" s="446"/>
      <c r="H44" s="49"/>
      <c r="J44" s="409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1"/>
    </row>
    <row r="45" spans="2:23" ht="23.1" customHeight="1">
      <c r="B45" s="47"/>
      <c r="C45" s="330" t="s">
        <v>188</v>
      </c>
      <c r="D45" s="71" t="s">
        <v>207</v>
      </c>
      <c r="E45" s="444"/>
      <c r="F45" s="445"/>
      <c r="G45" s="446"/>
      <c r="H45" s="49"/>
      <c r="J45" s="409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1"/>
    </row>
    <row r="46" spans="2:23" ht="23.1" customHeight="1">
      <c r="B46" s="47"/>
      <c r="C46" s="330" t="s">
        <v>102</v>
      </c>
      <c r="D46" s="71" t="s">
        <v>208</v>
      </c>
      <c r="E46" s="444">
        <v>3517682.06</v>
      </c>
      <c r="F46" s="445">
        <v>2682.06</v>
      </c>
      <c r="G46" s="445">
        <v>2682.06</v>
      </c>
      <c r="H46" s="49"/>
      <c r="J46" s="409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1"/>
    </row>
    <row r="47" spans="2:23" ht="23.1" customHeight="1">
      <c r="B47" s="47"/>
      <c r="C47" s="327" t="s">
        <v>212</v>
      </c>
      <c r="D47" s="69" t="s">
        <v>213</v>
      </c>
      <c r="E47" s="447"/>
      <c r="F47" s="448"/>
      <c r="G47" s="449"/>
      <c r="H47" s="49"/>
      <c r="J47" s="409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1"/>
    </row>
    <row r="48" spans="2:23" ht="23.1" customHeight="1">
      <c r="B48" s="47"/>
      <c r="C48" s="327" t="s">
        <v>214</v>
      </c>
      <c r="D48" s="69" t="s">
        <v>215</v>
      </c>
      <c r="E48" s="447">
        <v>0</v>
      </c>
      <c r="F48" s="448">
        <v>0</v>
      </c>
      <c r="G48" s="449">
        <v>0</v>
      </c>
      <c r="H48" s="49"/>
      <c r="J48" s="409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1"/>
    </row>
    <row r="49" spans="2:23" ht="23.1" customHeight="1">
      <c r="B49" s="47"/>
      <c r="C49" s="332"/>
      <c r="D49" s="63"/>
      <c r="E49" s="304"/>
      <c r="F49" s="311"/>
      <c r="G49" s="324"/>
      <c r="H49" s="49"/>
      <c r="J49" s="409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1"/>
    </row>
    <row r="50" spans="2:23" s="74" customFormat="1" ht="23.1" customHeight="1">
      <c r="B50" s="23"/>
      <c r="C50" s="325" t="s">
        <v>170</v>
      </c>
      <c r="D50" s="83" t="s">
        <v>216</v>
      </c>
      <c r="E50" s="305">
        <f>E51+E52+E65+E75+E82+E89+E90</f>
        <v>9684402.2699999996</v>
      </c>
      <c r="F50" s="312">
        <f>F51+F52+F65+F75+F82+F89+F90</f>
        <v>5932520.6400000006</v>
      </c>
      <c r="G50" s="326">
        <f>G51+G52+G65+G75+G82+G89+G90</f>
        <v>4390413.28</v>
      </c>
      <c r="H50" s="60"/>
      <c r="J50" s="409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1"/>
    </row>
    <row r="51" spans="2:23" ht="23.1" customHeight="1">
      <c r="B51" s="47"/>
      <c r="C51" s="327" t="s">
        <v>182</v>
      </c>
      <c r="D51" s="69" t="s">
        <v>217</v>
      </c>
      <c r="E51" s="447"/>
      <c r="F51" s="448"/>
      <c r="G51" s="449"/>
      <c r="H51" s="49"/>
      <c r="J51" s="409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1"/>
    </row>
    <row r="52" spans="2:23" ht="23.1" customHeight="1">
      <c r="B52" s="47"/>
      <c r="C52" s="327" t="s">
        <v>192</v>
      </c>
      <c r="D52" s="69" t="s">
        <v>218</v>
      </c>
      <c r="E52" s="306">
        <f>E53+E54+E57+E60+E63+E64</f>
        <v>46329.84</v>
      </c>
      <c r="F52" s="313">
        <f t="shared" ref="F52:G52" si="0">F53+F54+F57+F60+F63+F64</f>
        <v>49969.85</v>
      </c>
      <c r="G52" s="328">
        <f t="shared" si="0"/>
        <v>49969.85</v>
      </c>
      <c r="H52" s="49"/>
      <c r="J52" s="409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1"/>
    </row>
    <row r="53" spans="2:23" ht="23.1" customHeight="1">
      <c r="B53" s="47"/>
      <c r="C53" s="330" t="s">
        <v>81</v>
      </c>
      <c r="D53" s="71" t="s">
        <v>219</v>
      </c>
      <c r="E53" s="444"/>
      <c r="F53" s="445"/>
      <c r="G53" s="446"/>
      <c r="H53" s="49"/>
      <c r="J53" s="409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1"/>
    </row>
    <row r="54" spans="2:23" ht="23.1" customHeight="1">
      <c r="B54" s="47"/>
      <c r="C54" s="330" t="s">
        <v>88</v>
      </c>
      <c r="D54" s="71" t="s">
        <v>220</v>
      </c>
      <c r="E54" s="307">
        <f>E55+E56</f>
        <v>46329.84</v>
      </c>
      <c r="F54" s="314">
        <f t="shared" ref="F54:G54" si="1">F55+F56</f>
        <v>49969.85</v>
      </c>
      <c r="G54" s="331">
        <f t="shared" si="1"/>
        <v>49969.85</v>
      </c>
      <c r="H54" s="49"/>
      <c r="J54" s="409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1"/>
    </row>
    <row r="55" spans="2:23" ht="23.1" customHeight="1">
      <c r="B55" s="47"/>
      <c r="C55" s="333" t="s">
        <v>82</v>
      </c>
      <c r="D55" s="86" t="s">
        <v>244</v>
      </c>
      <c r="E55" s="690"/>
      <c r="F55" s="691"/>
      <c r="G55" s="692"/>
      <c r="H55" s="49"/>
      <c r="J55" s="409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1"/>
    </row>
    <row r="56" spans="2:23" ht="23.1" customHeight="1">
      <c r="B56" s="47"/>
      <c r="C56" s="333" t="s">
        <v>84</v>
      </c>
      <c r="D56" s="86" t="s">
        <v>245</v>
      </c>
      <c r="E56" s="690">
        <v>46329.84</v>
      </c>
      <c r="F56" s="691">
        <v>49969.85</v>
      </c>
      <c r="G56" s="691">
        <v>49969.85</v>
      </c>
      <c r="H56" s="49"/>
      <c r="J56" s="409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1"/>
    </row>
    <row r="57" spans="2:23" ht="23.1" customHeight="1">
      <c r="B57" s="47"/>
      <c r="C57" s="330" t="s">
        <v>90</v>
      </c>
      <c r="D57" s="71" t="s">
        <v>221</v>
      </c>
      <c r="E57" s="307">
        <f>E58+E59</f>
        <v>0</v>
      </c>
      <c r="F57" s="314">
        <f t="shared" ref="F57:G57" si="2">F58+F59</f>
        <v>0</v>
      </c>
      <c r="G57" s="331">
        <f t="shared" si="2"/>
        <v>0</v>
      </c>
      <c r="H57" s="49"/>
      <c r="J57" s="409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1"/>
    </row>
    <row r="58" spans="2:23" ht="23.1" customHeight="1">
      <c r="B58" s="47"/>
      <c r="C58" s="333" t="s">
        <v>82</v>
      </c>
      <c r="D58" s="86" t="s">
        <v>222</v>
      </c>
      <c r="E58" s="690"/>
      <c r="F58" s="691"/>
      <c r="G58" s="692"/>
      <c r="H58" s="49"/>
      <c r="J58" s="409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1"/>
    </row>
    <row r="59" spans="2:23" ht="23.1" customHeight="1">
      <c r="B59" s="47"/>
      <c r="C59" s="333" t="s">
        <v>84</v>
      </c>
      <c r="D59" s="86" t="s">
        <v>223</v>
      </c>
      <c r="E59" s="690"/>
      <c r="F59" s="691"/>
      <c r="G59" s="692"/>
      <c r="H59" s="49"/>
      <c r="J59" s="409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1"/>
    </row>
    <row r="60" spans="2:23" ht="23.1" customHeight="1">
      <c r="B60" s="47"/>
      <c r="C60" s="330" t="s">
        <v>92</v>
      </c>
      <c r="D60" s="71" t="s">
        <v>224</v>
      </c>
      <c r="E60" s="307">
        <f>E61+E62</f>
        <v>0</v>
      </c>
      <c r="F60" s="314">
        <f t="shared" ref="F60:G60" si="3">F61+F62</f>
        <v>0</v>
      </c>
      <c r="G60" s="331">
        <f t="shared" si="3"/>
        <v>0</v>
      </c>
      <c r="H60" s="49"/>
      <c r="J60" s="409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1"/>
    </row>
    <row r="61" spans="2:23" ht="23.1" customHeight="1">
      <c r="B61" s="47"/>
      <c r="C61" s="333" t="s">
        <v>82</v>
      </c>
      <c r="D61" s="86" t="s">
        <v>222</v>
      </c>
      <c r="E61" s="690"/>
      <c r="F61" s="691"/>
      <c r="G61" s="692"/>
      <c r="H61" s="49"/>
      <c r="J61" s="409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1"/>
    </row>
    <row r="62" spans="2:23" ht="23.1" customHeight="1">
      <c r="B62" s="47"/>
      <c r="C62" s="333" t="s">
        <v>84</v>
      </c>
      <c r="D62" s="86" t="s">
        <v>223</v>
      </c>
      <c r="E62" s="690"/>
      <c r="F62" s="691"/>
      <c r="G62" s="692"/>
      <c r="H62" s="49"/>
      <c r="J62" s="409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1"/>
    </row>
    <row r="63" spans="2:23" ht="23.1" customHeight="1">
      <c r="B63" s="47"/>
      <c r="C63" s="330" t="s">
        <v>188</v>
      </c>
      <c r="D63" s="71" t="s">
        <v>225</v>
      </c>
      <c r="E63" s="444"/>
      <c r="F63" s="445"/>
      <c r="G63" s="446"/>
      <c r="H63" s="49"/>
      <c r="J63" s="409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1"/>
    </row>
    <row r="64" spans="2:23" ht="23.1" customHeight="1">
      <c r="B64" s="47"/>
      <c r="C64" s="330" t="s">
        <v>102</v>
      </c>
      <c r="D64" s="71" t="s">
        <v>226</v>
      </c>
      <c r="E64" s="444"/>
      <c r="F64" s="445"/>
      <c r="G64" s="446"/>
      <c r="H64" s="49"/>
      <c r="J64" s="409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1"/>
    </row>
    <row r="65" spans="2:23" ht="23.1" customHeight="1">
      <c r="B65" s="47"/>
      <c r="C65" s="327" t="s">
        <v>197</v>
      </c>
      <c r="D65" s="69" t="s">
        <v>227</v>
      </c>
      <c r="E65" s="306">
        <f>E66+SUM(E69:E74)</f>
        <v>4115236.22</v>
      </c>
      <c r="F65" s="313">
        <f t="shared" ref="F65:G65" si="4">F66+SUM(F69:F74)</f>
        <v>3574684.86</v>
      </c>
      <c r="G65" s="328">
        <f t="shared" si="4"/>
        <v>61582.05</v>
      </c>
      <c r="H65" s="49"/>
      <c r="J65" s="1203">
        <f>(E65-F65)</f>
        <v>540551.36000000034</v>
      </c>
      <c r="K65" s="1204">
        <f>(F65-G65)</f>
        <v>3513102.81</v>
      </c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1"/>
    </row>
    <row r="66" spans="2:23" ht="23.1" customHeight="1">
      <c r="B66" s="47"/>
      <c r="C66" s="330" t="s">
        <v>81</v>
      </c>
      <c r="D66" s="71" t="s">
        <v>228</v>
      </c>
      <c r="E66" s="307">
        <f>E67+E68</f>
        <v>121071.67999999999</v>
      </c>
      <c r="F66" s="314">
        <f t="shared" ref="F66:G66" si="5">F67+F68</f>
        <v>58102.81</v>
      </c>
      <c r="G66" s="331">
        <f t="shared" si="5"/>
        <v>60000</v>
      </c>
      <c r="H66" s="49"/>
      <c r="J66" s="409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1"/>
    </row>
    <row r="67" spans="2:23" ht="23.1" customHeight="1">
      <c r="B67" s="47"/>
      <c r="C67" s="333" t="s">
        <v>82</v>
      </c>
      <c r="D67" s="86" t="s">
        <v>229</v>
      </c>
      <c r="E67" s="690"/>
      <c r="F67" s="691"/>
      <c r="G67" s="692"/>
      <c r="H67" s="49"/>
      <c r="J67" s="409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1"/>
    </row>
    <row r="68" spans="2:23" ht="23.1" customHeight="1">
      <c r="B68" s="47"/>
      <c r="C68" s="333" t="s">
        <v>84</v>
      </c>
      <c r="D68" s="86" t="s">
        <v>230</v>
      </c>
      <c r="E68" s="690">
        <v>121071.67999999999</v>
      </c>
      <c r="F68" s="691">
        <v>58102.81</v>
      </c>
      <c r="G68" s="692">
        <v>60000</v>
      </c>
      <c r="H68" s="49"/>
      <c r="J68" s="409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1"/>
    </row>
    <row r="69" spans="2:23" ht="23.1" customHeight="1">
      <c r="B69" s="47"/>
      <c r="C69" s="330" t="s">
        <v>88</v>
      </c>
      <c r="D69" s="71" t="s">
        <v>231</v>
      </c>
      <c r="E69" s="444">
        <v>15810.88</v>
      </c>
      <c r="F69" s="445">
        <v>0</v>
      </c>
      <c r="G69" s="446">
        <v>0</v>
      </c>
      <c r="H69" s="49"/>
      <c r="J69" s="409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1"/>
    </row>
    <row r="70" spans="2:23" ht="23.1" customHeight="1">
      <c r="B70" s="47"/>
      <c r="C70" s="330" t="s">
        <v>90</v>
      </c>
      <c r="D70" s="71" t="s">
        <v>232</v>
      </c>
      <c r="E70" s="444"/>
      <c r="F70" s="445"/>
      <c r="G70" s="446"/>
      <c r="H70" s="49"/>
      <c r="J70" s="409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1"/>
    </row>
    <row r="71" spans="2:23" ht="23.1" customHeight="1">
      <c r="B71" s="47"/>
      <c r="C71" s="330" t="s">
        <v>92</v>
      </c>
      <c r="D71" s="71" t="s">
        <v>61</v>
      </c>
      <c r="E71" s="444">
        <v>62596.25</v>
      </c>
      <c r="F71" s="445">
        <v>0</v>
      </c>
      <c r="G71" s="446">
        <v>0</v>
      </c>
      <c r="H71" s="49"/>
      <c r="J71" s="409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1"/>
    </row>
    <row r="72" spans="2:23" ht="23.1" customHeight="1">
      <c r="B72" s="47"/>
      <c r="C72" s="330" t="s">
        <v>188</v>
      </c>
      <c r="D72" s="71" t="s">
        <v>233</v>
      </c>
      <c r="E72" s="444"/>
      <c r="F72" s="445"/>
      <c r="G72" s="446"/>
      <c r="H72" s="49"/>
      <c r="J72" s="409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1"/>
    </row>
    <row r="73" spans="2:23" ht="23.1" customHeight="1">
      <c r="B73" s="47"/>
      <c r="C73" s="330" t="s">
        <v>102</v>
      </c>
      <c r="D73" s="71" t="s">
        <v>234</v>
      </c>
      <c r="E73" s="444">
        <v>3915757.41</v>
      </c>
      <c r="F73" s="445">
        <v>3516582.05</v>
      </c>
      <c r="G73" s="446">
        <v>1582.05</v>
      </c>
      <c r="H73" s="49"/>
      <c r="J73" s="1203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1"/>
    </row>
    <row r="74" spans="2:23" ht="23.1" customHeight="1">
      <c r="B74" s="47"/>
      <c r="C74" s="330" t="s">
        <v>107</v>
      </c>
      <c r="D74" s="71" t="s">
        <v>235</v>
      </c>
      <c r="E74" s="444"/>
      <c r="F74" s="445"/>
      <c r="G74" s="446"/>
      <c r="H74" s="49"/>
      <c r="J74" s="409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1"/>
    </row>
    <row r="75" spans="2:23" ht="23.1" customHeight="1">
      <c r="B75" s="47"/>
      <c r="C75" s="327" t="s">
        <v>201</v>
      </c>
      <c r="D75" s="69" t="s">
        <v>236</v>
      </c>
      <c r="E75" s="306">
        <f>SUM(E76:E81)</f>
        <v>0</v>
      </c>
      <c r="F75" s="313">
        <f t="shared" ref="F75:G75" si="6">SUM(F76:F81)</f>
        <v>0</v>
      </c>
      <c r="G75" s="328">
        <f t="shared" si="6"/>
        <v>0</v>
      </c>
      <c r="H75" s="49"/>
      <c r="J75" s="409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1"/>
    </row>
    <row r="76" spans="2:23" ht="23.1" customHeight="1">
      <c r="B76" s="47"/>
      <c r="C76" s="330" t="s">
        <v>81</v>
      </c>
      <c r="D76" s="71" t="s">
        <v>203</v>
      </c>
      <c r="E76" s="444"/>
      <c r="F76" s="445"/>
      <c r="G76" s="446"/>
      <c r="H76" s="49"/>
      <c r="J76" s="409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1"/>
    </row>
    <row r="77" spans="2:23" ht="23.1" customHeight="1">
      <c r="B77" s="47"/>
      <c r="C77" s="330" t="s">
        <v>88</v>
      </c>
      <c r="D77" s="71" t="s">
        <v>204</v>
      </c>
      <c r="E77" s="444"/>
      <c r="F77" s="445"/>
      <c r="G77" s="446"/>
      <c r="H77" s="49"/>
      <c r="J77" s="409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1"/>
    </row>
    <row r="78" spans="2:23" ht="23.1" customHeight="1">
      <c r="B78" s="47"/>
      <c r="C78" s="330" t="s">
        <v>90</v>
      </c>
      <c r="D78" s="71" t="s">
        <v>205</v>
      </c>
      <c r="E78" s="444"/>
      <c r="F78" s="445"/>
      <c r="G78" s="446"/>
      <c r="H78" s="49"/>
      <c r="J78" s="409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1"/>
    </row>
    <row r="79" spans="2:23" ht="23.1" customHeight="1">
      <c r="B79" s="47"/>
      <c r="C79" s="330" t="s">
        <v>92</v>
      </c>
      <c r="D79" s="71" t="s">
        <v>206</v>
      </c>
      <c r="E79" s="444"/>
      <c r="F79" s="445"/>
      <c r="G79" s="446"/>
      <c r="H79" s="49"/>
      <c r="J79" s="409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1"/>
    </row>
    <row r="80" spans="2:23" ht="23.1" customHeight="1">
      <c r="B80" s="47"/>
      <c r="C80" s="330" t="s">
        <v>188</v>
      </c>
      <c r="D80" s="71" t="s">
        <v>207</v>
      </c>
      <c r="E80" s="444"/>
      <c r="F80" s="445"/>
      <c r="G80" s="446"/>
      <c r="H80" s="49"/>
      <c r="J80" s="409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1"/>
    </row>
    <row r="81" spans="2:23" ht="23.1" customHeight="1">
      <c r="B81" s="47"/>
      <c r="C81" s="330" t="s">
        <v>102</v>
      </c>
      <c r="D81" s="71" t="s">
        <v>208</v>
      </c>
      <c r="E81" s="444"/>
      <c r="F81" s="445"/>
      <c r="G81" s="446"/>
      <c r="H81" s="49"/>
      <c r="J81" s="409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1"/>
    </row>
    <row r="82" spans="2:23" ht="23.1" customHeight="1">
      <c r="B82" s="47"/>
      <c r="C82" s="327" t="s">
        <v>209</v>
      </c>
      <c r="D82" s="69" t="s">
        <v>237</v>
      </c>
      <c r="E82" s="306">
        <f>SUM(E83:E88)</f>
        <v>0</v>
      </c>
      <c r="F82" s="313">
        <f t="shared" ref="F82:G82" si="7">SUM(F83:F88)</f>
        <v>0</v>
      </c>
      <c r="G82" s="328">
        <f t="shared" si="7"/>
        <v>0</v>
      </c>
      <c r="H82" s="49"/>
      <c r="J82" s="409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1"/>
    </row>
    <row r="83" spans="2:23" ht="23.1" customHeight="1">
      <c r="B83" s="47"/>
      <c r="C83" s="330" t="s">
        <v>81</v>
      </c>
      <c r="D83" s="71" t="s">
        <v>203</v>
      </c>
      <c r="E83" s="444"/>
      <c r="F83" s="445"/>
      <c r="G83" s="446"/>
      <c r="H83" s="49"/>
      <c r="J83" s="409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1"/>
    </row>
    <row r="84" spans="2:23" ht="23.1" customHeight="1">
      <c r="B84" s="47"/>
      <c r="C84" s="330" t="s">
        <v>88</v>
      </c>
      <c r="D84" s="71" t="s">
        <v>204</v>
      </c>
      <c r="E84" s="444"/>
      <c r="F84" s="445"/>
      <c r="G84" s="446"/>
      <c r="H84" s="49"/>
      <c r="J84" s="409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1"/>
    </row>
    <row r="85" spans="2:23" ht="23.1" customHeight="1">
      <c r="B85" s="47"/>
      <c r="C85" s="330" t="s">
        <v>90</v>
      </c>
      <c r="D85" s="71" t="s">
        <v>205</v>
      </c>
      <c r="E85" s="444"/>
      <c r="F85" s="445"/>
      <c r="G85" s="446"/>
      <c r="H85" s="49"/>
      <c r="J85" s="409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</row>
    <row r="86" spans="2:23" ht="23.1" customHeight="1">
      <c r="B86" s="47"/>
      <c r="C86" s="330" t="s">
        <v>92</v>
      </c>
      <c r="D86" s="71" t="s">
        <v>206</v>
      </c>
      <c r="E86" s="444"/>
      <c r="F86" s="445"/>
      <c r="G86" s="446"/>
      <c r="H86" s="49"/>
      <c r="J86" s="409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1"/>
    </row>
    <row r="87" spans="2:23" ht="23.1" customHeight="1">
      <c r="B87" s="47"/>
      <c r="C87" s="330" t="s">
        <v>188</v>
      </c>
      <c r="D87" s="71" t="s">
        <v>207</v>
      </c>
      <c r="E87" s="444"/>
      <c r="F87" s="445"/>
      <c r="G87" s="446"/>
      <c r="H87" s="49"/>
      <c r="J87" s="409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</row>
    <row r="88" spans="2:23" ht="23.1" customHeight="1">
      <c r="B88" s="47"/>
      <c r="C88" s="330" t="s">
        <v>102</v>
      </c>
      <c r="D88" s="71" t="s">
        <v>208</v>
      </c>
      <c r="E88" s="444"/>
      <c r="F88" s="445"/>
      <c r="G88" s="446"/>
      <c r="H88" s="49"/>
      <c r="J88" s="409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</row>
    <row r="89" spans="2:23" s="74" customFormat="1" ht="23.1" customHeight="1">
      <c r="B89" s="23"/>
      <c r="C89" s="327" t="s">
        <v>212</v>
      </c>
      <c r="D89" s="69" t="s">
        <v>238</v>
      </c>
      <c r="E89" s="447">
        <v>73400.81</v>
      </c>
      <c r="F89" s="448">
        <v>45000</v>
      </c>
      <c r="G89" s="449">
        <v>45000</v>
      </c>
      <c r="H89" s="60"/>
      <c r="J89" s="1203"/>
      <c r="K89" s="1204"/>
      <c r="L89" s="1204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1"/>
    </row>
    <row r="90" spans="2:23" ht="23.1" customHeight="1">
      <c r="B90" s="47"/>
      <c r="C90" s="327" t="s">
        <v>214</v>
      </c>
      <c r="D90" s="69" t="s">
        <v>239</v>
      </c>
      <c r="E90" s="306">
        <f>SUM(E91:E92)</f>
        <v>5449435.4000000004</v>
      </c>
      <c r="F90" s="313">
        <f t="shared" ref="F90:G90" si="8">SUM(F91:F92)</f>
        <v>2262865.9300000002</v>
      </c>
      <c r="G90" s="328">
        <f t="shared" si="8"/>
        <v>4233861.38</v>
      </c>
      <c r="H90" s="49"/>
      <c r="J90" s="409"/>
      <c r="K90" s="1204"/>
      <c r="L90" s="1204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1"/>
    </row>
    <row r="91" spans="2:23" ht="23.1" customHeight="1">
      <c r="B91" s="47"/>
      <c r="C91" s="330" t="s">
        <v>81</v>
      </c>
      <c r="D91" s="71" t="s">
        <v>240</v>
      </c>
      <c r="E91" s="444">
        <v>5449435.4000000004</v>
      </c>
      <c r="F91" s="445">
        <v>2262865.9300000002</v>
      </c>
      <c r="G91" s="446">
        <v>4233861.38</v>
      </c>
      <c r="H91" s="49"/>
      <c r="J91" s="409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1"/>
    </row>
    <row r="92" spans="2:23" ht="23.1" customHeight="1">
      <c r="B92" s="47"/>
      <c r="C92" s="334" t="s">
        <v>88</v>
      </c>
      <c r="D92" s="335" t="s">
        <v>241</v>
      </c>
      <c r="E92" s="450"/>
      <c r="F92" s="451"/>
      <c r="G92" s="452"/>
      <c r="H92" s="49"/>
      <c r="J92" s="409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1"/>
    </row>
    <row r="93" spans="2:23" ht="23.1" customHeight="1">
      <c r="B93" s="47"/>
      <c r="C93" s="299"/>
      <c r="D93" s="63"/>
      <c r="E93" s="308"/>
      <c r="F93" s="315"/>
      <c r="G93" s="300"/>
      <c r="H93" s="49"/>
      <c r="J93" s="409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1"/>
    </row>
    <row r="94" spans="2:23" s="81" customFormat="1" ht="23.1" customHeight="1" thickBot="1">
      <c r="B94" s="79"/>
      <c r="C94" s="149" t="s">
        <v>246</v>
      </c>
      <c r="D94" s="78"/>
      <c r="E94" s="309">
        <f>E50+E16</f>
        <v>13975490.02</v>
      </c>
      <c r="F94" s="316">
        <f t="shared" ref="F94:G94" si="9">F50+F16</f>
        <v>6668128.8900000006</v>
      </c>
      <c r="G94" s="301">
        <f t="shared" si="9"/>
        <v>5072532.2</v>
      </c>
      <c r="H94" s="80"/>
      <c r="J94" s="409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1"/>
    </row>
    <row r="95" spans="2:23" ht="23.1" customHeight="1" thickBot="1">
      <c r="B95" s="51"/>
      <c r="C95" s="1504"/>
      <c r="D95" s="1504"/>
      <c r="E95" s="1504"/>
      <c r="F95" s="1504"/>
      <c r="G95" s="53"/>
      <c r="H95" s="54"/>
      <c r="J95" s="412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4"/>
    </row>
    <row r="96" spans="2:23" ht="23.1" customHeight="1">
      <c r="C96" s="43"/>
      <c r="D96" s="43"/>
      <c r="E96" s="43"/>
      <c r="F96" s="43"/>
      <c r="G96" s="43"/>
      <c r="I96" s="41" t="s">
        <v>885</v>
      </c>
    </row>
    <row r="97" spans="3:7" ht="12.75">
      <c r="C97" s="36" t="s">
        <v>70</v>
      </c>
      <c r="D97" s="43"/>
      <c r="E97" s="43"/>
      <c r="F97" s="43"/>
      <c r="G97" s="40" t="s">
        <v>626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00"/>
      <c r="F102" s="694"/>
      <c r="G102" s="694"/>
    </row>
    <row r="103" spans="3:7" ht="23.1" customHeight="1">
      <c r="C103" s="43"/>
      <c r="D103" s="43"/>
      <c r="E103" s="43"/>
      <c r="F103" s="43"/>
      <c r="G103" s="43"/>
    </row>
    <row r="104" spans="3:7" ht="23.1" customHeight="1">
      <c r="C104" s="43"/>
      <c r="D104" s="43"/>
      <c r="E104" s="43"/>
      <c r="F104" s="43"/>
      <c r="G104" s="43"/>
    </row>
    <row r="105" spans="3:7" ht="23.1" customHeight="1">
      <c r="C105" s="43"/>
      <c r="D105" s="43"/>
      <c r="E105" s="43"/>
      <c r="F105" s="43"/>
      <c r="G105" s="43"/>
    </row>
    <row r="106" spans="3:7" ht="23.1" customHeight="1">
      <c r="F106" s="43"/>
      <c r="G106" s="43"/>
    </row>
  </sheetData>
  <sheetProtection algorithmName="SHA-512" hashValue="74LBsc++8rHErygk/mJh3bdX5dxOn0E6M1WmpEpB/qfwEMsKUtIfHxWN5tJF8/lazk/lYqa0Vk6Ccf92rwiURw==" saltValue="CFv3xuFC02KGDAqpHhQWag==" spinCount="100000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W98"/>
  <sheetViews>
    <sheetView topLeftCell="A12" zoomScale="85" zoomScaleNormal="85" workbookViewId="0">
      <selection activeCell="J78" sqref="J78"/>
    </sheetView>
  </sheetViews>
  <sheetFormatPr baseColWidth="10" defaultColWidth="10.6640625" defaultRowHeight="23.1" customHeight="1"/>
  <cols>
    <col min="1" max="1" width="4.109375" style="41" bestFit="1" customWidth="1"/>
    <col min="2" max="2" width="3.109375" style="41" customWidth="1"/>
    <col min="3" max="3" width="13.5546875" style="41" customWidth="1"/>
    <col min="4" max="4" width="76.6640625" style="41" customWidth="1"/>
    <col min="5" max="7" width="18.33203125" style="41" customWidth="1"/>
    <col min="8" max="8" width="3.33203125" style="41" customWidth="1"/>
    <col min="9" max="16384" width="10.6640625" style="41"/>
  </cols>
  <sheetData>
    <row r="1" spans="1:23" ht="23.1" customHeight="1">
      <c r="D1" s="43"/>
    </row>
    <row r="2" spans="1:23" ht="23.1" customHeight="1">
      <c r="D2" s="298" t="str">
        <f>_GENERAL!D2</f>
        <v>Área de Presidencia, Hacienda y Modernización</v>
      </c>
    </row>
    <row r="3" spans="1:23" ht="23.1" customHeight="1">
      <c r="D3" s="298" t="str">
        <f>_GENERAL!D3</f>
        <v>Dirección Insular de Hacienda</v>
      </c>
    </row>
    <row r="4" spans="1:23" ht="23.1" customHeight="1" thickBot="1">
      <c r="A4" s="41" t="s">
        <v>884</v>
      </c>
    </row>
    <row r="5" spans="1:23" ht="9" customHeight="1">
      <c r="B5" s="44"/>
      <c r="C5" s="45"/>
      <c r="D5" s="45"/>
      <c r="E5" s="45"/>
      <c r="F5" s="45"/>
      <c r="G5" s="45"/>
      <c r="H5" s="46"/>
      <c r="J5" s="393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5"/>
    </row>
    <row r="6" spans="1:23" ht="30" customHeight="1">
      <c r="B6" s="47"/>
      <c r="C6" s="1" t="s">
        <v>0</v>
      </c>
      <c r="D6" s="43"/>
      <c r="E6" s="43"/>
      <c r="F6" s="43"/>
      <c r="G6" s="1489">
        <f>ejercicio</f>
        <v>2021</v>
      </c>
      <c r="H6" s="49"/>
      <c r="J6" s="396"/>
      <c r="K6" s="397" t="s">
        <v>628</v>
      </c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</row>
    <row r="7" spans="1:23" ht="30" customHeight="1">
      <c r="B7" s="47"/>
      <c r="C7" s="1" t="s">
        <v>1</v>
      </c>
      <c r="D7" s="43"/>
      <c r="E7" s="43"/>
      <c r="F7" s="43"/>
      <c r="G7" s="1489"/>
      <c r="H7" s="49"/>
      <c r="J7" s="396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</row>
    <row r="8" spans="1:23" ht="30" customHeight="1">
      <c r="B8" s="47"/>
      <c r="C8" s="48"/>
      <c r="D8" s="43"/>
      <c r="E8" s="43"/>
      <c r="F8" s="43"/>
      <c r="G8" s="50"/>
      <c r="H8" s="49"/>
      <c r="J8" s="396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s="59" customFormat="1" ht="30" customHeight="1">
      <c r="B9" s="57"/>
      <c r="C9" s="38" t="s">
        <v>2</v>
      </c>
      <c r="D9" s="1505" t="str">
        <f>Entidad</f>
        <v>Spet, turismo de Tenerife s.a</v>
      </c>
      <c r="E9" s="1505"/>
      <c r="F9" s="1505"/>
      <c r="G9" s="1505"/>
      <c r="H9" s="58"/>
      <c r="J9" s="400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2"/>
    </row>
    <row r="10" spans="1:23" ht="6.95" customHeight="1">
      <c r="B10" s="47"/>
      <c r="C10" s="43"/>
      <c r="D10" s="43"/>
      <c r="E10" s="43"/>
      <c r="F10" s="43"/>
      <c r="G10" s="43"/>
      <c r="H10" s="49"/>
      <c r="J10" s="396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9"/>
    </row>
    <row r="11" spans="1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03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5"/>
    </row>
    <row r="12" spans="1:23" s="61" customFormat="1" ht="30" customHeight="1">
      <c r="B12" s="23"/>
      <c r="C12" s="65"/>
      <c r="D12" s="65"/>
      <c r="E12" s="65"/>
      <c r="F12" s="65"/>
      <c r="G12" s="65"/>
      <c r="H12" s="60"/>
      <c r="J12" s="403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5"/>
    </row>
    <row r="13" spans="1:23" ht="23.1" customHeight="1">
      <c r="B13" s="47"/>
      <c r="C13" s="207"/>
      <c r="D13" s="208"/>
      <c r="E13" s="209" t="s">
        <v>176</v>
      </c>
      <c r="F13" s="209" t="s">
        <v>177</v>
      </c>
      <c r="G13" s="210" t="s">
        <v>178</v>
      </c>
      <c r="H13" s="49"/>
      <c r="J13" s="396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9"/>
    </row>
    <row r="14" spans="1:23" ht="23.1" customHeight="1">
      <c r="B14" s="47"/>
      <c r="C14" s="211" t="s">
        <v>385</v>
      </c>
      <c r="D14" s="67"/>
      <c r="E14" s="212">
        <f>ejercicio-2</f>
        <v>2019</v>
      </c>
      <c r="F14" s="212">
        <f>ejercicio-1</f>
        <v>2020</v>
      </c>
      <c r="G14" s="213">
        <f>ejercicio</f>
        <v>2021</v>
      </c>
      <c r="H14" s="49"/>
      <c r="J14" s="396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9"/>
    </row>
    <row r="15" spans="1:23" ht="23.1" customHeight="1">
      <c r="B15" s="47"/>
      <c r="C15" s="136"/>
      <c r="D15" s="85"/>
      <c r="E15" s="129"/>
      <c r="F15" s="129"/>
      <c r="G15" s="137"/>
      <c r="H15" s="49"/>
      <c r="J15" s="396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9"/>
    </row>
    <row r="16" spans="1:23" ht="23.1" customHeight="1">
      <c r="B16" s="47"/>
      <c r="C16" s="138" t="s">
        <v>79</v>
      </c>
      <c r="D16" s="83" t="s">
        <v>249</v>
      </c>
      <c r="E16" s="130">
        <f>E17+E35+E41</f>
        <v>1043037.1099999999</v>
      </c>
      <c r="F16" s="130">
        <f>F17+F35+F41</f>
        <v>1038668.71</v>
      </c>
      <c r="G16" s="139">
        <f>G17+G35+G41</f>
        <v>1034300.3099999999</v>
      </c>
      <c r="H16" s="49"/>
      <c r="J16" s="396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9"/>
    </row>
    <row r="17" spans="2:23" ht="23.1" customHeight="1">
      <c r="B17" s="47"/>
      <c r="C17" s="140" t="s">
        <v>129</v>
      </c>
      <c r="D17" s="69" t="s">
        <v>250</v>
      </c>
      <c r="E17" s="131">
        <f>+E18+E21+E22+E27+E28+E31+E32+E33+E34</f>
        <v>915917.16999999993</v>
      </c>
      <c r="F17" s="131">
        <f>+F18+F21+F22+F27+F28+F31+F32+F33+F34</f>
        <v>915917.16999999993</v>
      </c>
      <c r="G17" s="141">
        <f>+G18+G21+G22+G27+G28+G31+G32+G33+G34</f>
        <v>915917.16999999993</v>
      </c>
      <c r="H17" s="49"/>
      <c r="J17" s="396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9"/>
    </row>
    <row r="18" spans="2:23" ht="23.1" customHeight="1">
      <c r="B18" s="47"/>
      <c r="C18" s="140" t="s">
        <v>182</v>
      </c>
      <c r="D18" s="69" t="s">
        <v>251</v>
      </c>
      <c r="E18" s="131">
        <f>SUM(E19:E20)</f>
        <v>691163.8</v>
      </c>
      <c r="F18" s="131">
        <f>SUM(F19:F20)</f>
        <v>691163.8</v>
      </c>
      <c r="G18" s="141">
        <f>SUM(G19:G20)</f>
        <v>691163.8</v>
      </c>
      <c r="H18" s="49"/>
      <c r="J18" s="396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2:23" ht="23.1" customHeight="1">
      <c r="B19" s="47"/>
      <c r="C19" s="142" t="s">
        <v>81</v>
      </c>
      <c r="D19" s="70" t="s">
        <v>252</v>
      </c>
      <c r="E19" s="437">
        <v>691163.8</v>
      </c>
      <c r="F19" s="437">
        <v>691163.8</v>
      </c>
      <c r="G19" s="437">
        <v>691163.8</v>
      </c>
      <c r="H19" s="49"/>
      <c r="J19" s="396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9"/>
    </row>
    <row r="20" spans="2:23" ht="23.1" customHeight="1">
      <c r="B20" s="47"/>
      <c r="C20" s="143" t="s">
        <v>88</v>
      </c>
      <c r="D20" s="71" t="s">
        <v>253</v>
      </c>
      <c r="E20" s="438"/>
      <c r="F20" s="438"/>
      <c r="G20" s="454"/>
      <c r="H20" s="49"/>
      <c r="J20" s="396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9"/>
    </row>
    <row r="21" spans="2:23" ht="23.1" customHeight="1">
      <c r="B21" s="47"/>
      <c r="C21" s="140" t="s">
        <v>192</v>
      </c>
      <c r="D21" s="69" t="s">
        <v>254</v>
      </c>
      <c r="E21" s="439"/>
      <c r="F21" s="439"/>
      <c r="G21" s="455"/>
      <c r="H21" s="49"/>
      <c r="J21" s="396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9"/>
    </row>
    <row r="22" spans="2:23" ht="23.1" customHeight="1">
      <c r="B22" s="47"/>
      <c r="C22" s="140" t="s">
        <v>197</v>
      </c>
      <c r="D22" s="69" t="s">
        <v>255</v>
      </c>
      <c r="E22" s="131">
        <f>SUM(E23:E26)</f>
        <v>215715.43</v>
      </c>
      <c r="F22" s="131">
        <f>SUM(F23:F26)</f>
        <v>224753.37</v>
      </c>
      <c r="G22" s="141">
        <f>SUM(G23:G26)</f>
        <v>224753.37</v>
      </c>
      <c r="H22" s="49"/>
      <c r="J22" s="396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9"/>
    </row>
    <row r="23" spans="2:23" ht="23.1" customHeight="1">
      <c r="B23" s="47"/>
      <c r="C23" s="142" t="s">
        <v>81</v>
      </c>
      <c r="D23" s="70" t="s">
        <v>256</v>
      </c>
      <c r="E23" s="437">
        <v>61201.17</v>
      </c>
      <c r="F23" s="437">
        <v>61201.17</v>
      </c>
      <c r="G23" s="437">
        <v>61201.17</v>
      </c>
      <c r="H23" s="49"/>
      <c r="J23" s="396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9"/>
    </row>
    <row r="24" spans="2:23" ht="23.1" customHeight="1">
      <c r="B24" s="47"/>
      <c r="C24" s="143" t="s">
        <v>88</v>
      </c>
      <c r="D24" s="71" t="s">
        <v>257</v>
      </c>
      <c r="E24" s="438">
        <v>154514.26</v>
      </c>
      <c r="F24" s="438">
        <v>163552.20000000001</v>
      </c>
      <c r="G24" s="438">
        <v>163552.20000000001</v>
      </c>
      <c r="H24" s="49"/>
      <c r="J24" s="1477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9"/>
    </row>
    <row r="25" spans="2:23" ht="23.1" customHeight="1">
      <c r="B25" s="47"/>
      <c r="C25" s="143" t="s">
        <v>90</v>
      </c>
      <c r="D25" s="71" t="s">
        <v>258</v>
      </c>
      <c r="E25" s="438"/>
      <c r="F25" s="438"/>
      <c r="G25" s="454"/>
      <c r="H25" s="49"/>
      <c r="J25" s="396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9"/>
    </row>
    <row r="26" spans="2:23" ht="23.1" customHeight="1">
      <c r="B26" s="47"/>
      <c r="C26" s="143" t="s">
        <v>92</v>
      </c>
      <c r="D26" s="71" t="s">
        <v>313</v>
      </c>
      <c r="E26" s="438"/>
      <c r="F26" s="438"/>
      <c r="G26" s="454"/>
      <c r="H26" s="49"/>
      <c r="J26" s="396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9"/>
    </row>
    <row r="27" spans="2:23" ht="23.1" customHeight="1">
      <c r="B27" s="47"/>
      <c r="C27" s="140" t="s">
        <v>201</v>
      </c>
      <c r="D27" s="69" t="s">
        <v>259</v>
      </c>
      <c r="E27" s="439"/>
      <c r="F27" s="439"/>
      <c r="G27" s="455"/>
      <c r="H27" s="49"/>
      <c r="J27" s="396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9"/>
    </row>
    <row r="28" spans="2:23" ht="23.1" customHeight="1">
      <c r="B28" s="47"/>
      <c r="C28" s="140" t="s">
        <v>209</v>
      </c>
      <c r="D28" s="69" t="s">
        <v>260</v>
      </c>
      <c r="E28" s="131">
        <f>SUM(E29:E30)</f>
        <v>0</v>
      </c>
      <c r="F28" s="131">
        <f>SUM(F29:F30)</f>
        <v>0</v>
      </c>
      <c r="G28" s="141">
        <f>SUM(G29:G30)</f>
        <v>0</v>
      </c>
      <c r="H28" s="49"/>
      <c r="J28" s="396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9"/>
    </row>
    <row r="29" spans="2:23" ht="23.1" customHeight="1">
      <c r="B29" s="47"/>
      <c r="C29" s="142" t="s">
        <v>81</v>
      </c>
      <c r="D29" s="70" t="s">
        <v>261</v>
      </c>
      <c r="E29" s="437"/>
      <c r="F29" s="437"/>
      <c r="G29" s="453"/>
      <c r="H29" s="49"/>
      <c r="J29" s="396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9"/>
    </row>
    <row r="30" spans="2:23" ht="23.1" customHeight="1">
      <c r="B30" s="47"/>
      <c r="C30" s="143" t="s">
        <v>88</v>
      </c>
      <c r="D30" s="71" t="s">
        <v>262</v>
      </c>
      <c r="E30" s="438"/>
      <c r="F30" s="438"/>
      <c r="G30" s="454"/>
      <c r="H30" s="49"/>
      <c r="J30" s="396"/>
      <c r="K30" s="398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3.1" customHeight="1">
      <c r="B31" s="47"/>
      <c r="C31" s="140" t="s">
        <v>212</v>
      </c>
      <c r="D31" s="69" t="s">
        <v>263</v>
      </c>
      <c r="E31" s="439">
        <v>2211511.52</v>
      </c>
      <c r="F31" s="455">
        <v>2019110.02</v>
      </c>
      <c r="G31" s="455">
        <v>2019110.02</v>
      </c>
      <c r="H31" s="49"/>
      <c r="J31" s="396"/>
      <c r="K31" s="398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3.1" customHeight="1">
      <c r="B32" s="47"/>
      <c r="C32" s="140" t="s">
        <v>214</v>
      </c>
      <c r="D32" s="69" t="s">
        <v>264</v>
      </c>
      <c r="E32" s="439">
        <v>-2202473.58</v>
      </c>
      <c r="F32" s="455">
        <v>-2019110.02</v>
      </c>
      <c r="G32" s="455">
        <v>-2019110.02</v>
      </c>
      <c r="H32" s="49"/>
      <c r="J32" s="396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9"/>
    </row>
    <row r="33" spans="2:23" ht="23.1" customHeight="1">
      <c r="B33" s="47"/>
      <c r="C33" s="140" t="s">
        <v>265</v>
      </c>
      <c r="D33" s="69" t="s">
        <v>266</v>
      </c>
      <c r="E33" s="439"/>
      <c r="F33" s="439"/>
      <c r="G33" s="455"/>
      <c r="H33" s="49"/>
      <c r="J33" s="396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</row>
    <row r="34" spans="2:23" ht="23.1" customHeight="1">
      <c r="B34" s="47"/>
      <c r="C34" s="140" t="s">
        <v>267</v>
      </c>
      <c r="D34" s="69" t="s">
        <v>268</v>
      </c>
      <c r="E34" s="439"/>
      <c r="F34" s="439"/>
      <c r="G34" s="455"/>
      <c r="H34" s="49"/>
      <c r="J34" s="396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9"/>
    </row>
    <row r="35" spans="2:23" ht="23.1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396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9"/>
    </row>
    <row r="36" spans="2:23" ht="23.1" customHeight="1">
      <c r="B36" s="47"/>
      <c r="C36" s="140" t="s">
        <v>182</v>
      </c>
      <c r="D36" s="69" t="s">
        <v>270</v>
      </c>
      <c r="E36" s="439"/>
      <c r="F36" s="439"/>
      <c r="G36" s="455"/>
      <c r="H36" s="49"/>
      <c r="J36" s="409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</row>
    <row r="37" spans="2:23" ht="23.1" customHeight="1">
      <c r="B37" s="47"/>
      <c r="C37" s="140" t="s">
        <v>192</v>
      </c>
      <c r="D37" s="69" t="s">
        <v>271</v>
      </c>
      <c r="E37" s="439"/>
      <c r="F37" s="439"/>
      <c r="G37" s="455"/>
      <c r="H37" s="49"/>
      <c r="J37" s="409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</row>
    <row r="38" spans="2:23" ht="23.1" customHeight="1">
      <c r="B38" s="47"/>
      <c r="C38" s="140" t="s">
        <v>197</v>
      </c>
      <c r="D38" s="69" t="s">
        <v>272</v>
      </c>
      <c r="E38" s="439"/>
      <c r="F38" s="439"/>
      <c r="G38" s="455"/>
      <c r="H38" s="49"/>
      <c r="J38" s="409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</row>
    <row r="39" spans="2:23" ht="23.1" customHeight="1">
      <c r="B39" s="47"/>
      <c r="C39" s="140" t="s">
        <v>201</v>
      </c>
      <c r="D39" s="69" t="s">
        <v>273</v>
      </c>
      <c r="E39" s="439"/>
      <c r="F39" s="439"/>
      <c r="G39" s="455"/>
      <c r="H39" s="49"/>
      <c r="J39" s="409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1"/>
    </row>
    <row r="40" spans="2:23" ht="23.1" customHeight="1">
      <c r="B40" s="47"/>
      <c r="C40" s="140" t="s">
        <v>209</v>
      </c>
      <c r="D40" s="69" t="s">
        <v>274</v>
      </c>
      <c r="E40" s="439"/>
      <c r="F40" s="439"/>
      <c r="G40" s="455"/>
      <c r="H40" s="49"/>
      <c r="J40" s="409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1"/>
    </row>
    <row r="41" spans="2:23" ht="23.1" customHeight="1">
      <c r="B41" s="47"/>
      <c r="C41" s="140" t="s">
        <v>165</v>
      </c>
      <c r="D41" s="69" t="s">
        <v>275</v>
      </c>
      <c r="E41" s="439">
        <v>127119.94</v>
      </c>
      <c r="F41" s="439">
        <v>122751.54</v>
      </c>
      <c r="G41" s="455">
        <v>118383.14</v>
      </c>
      <c r="H41" s="49"/>
      <c r="J41" s="1203"/>
      <c r="K41" s="1204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1"/>
    </row>
    <row r="42" spans="2:23" ht="23.1" customHeight="1">
      <c r="B42" s="47"/>
      <c r="C42" s="145"/>
      <c r="D42" s="63"/>
      <c r="E42" s="134"/>
      <c r="F42" s="134"/>
      <c r="G42" s="146"/>
      <c r="H42" s="49"/>
      <c r="J42" s="409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1"/>
    </row>
    <row r="43" spans="2:23" ht="23.1" customHeight="1">
      <c r="B43" s="47"/>
      <c r="C43" s="138" t="s">
        <v>276</v>
      </c>
      <c r="D43" s="83" t="s">
        <v>277</v>
      </c>
      <c r="E43" s="130">
        <f>E44+E49+SUM(E55:E59)</f>
        <v>3575338.41</v>
      </c>
      <c r="F43" s="130">
        <f>F44+F49+SUM(F55:F59)</f>
        <v>60464.33</v>
      </c>
      <c r="G43" s="139">
        <f>G44+G49+SUM(G55:G59)</f>
        <v>59008.200000000004</v>
      </c>
      <c r="H43" s="49"/>
      <c r="J43" s="409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</row>
    <row r="44" spans="2:23" ht="23.1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09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1"/>
    </row>
    <row r="45" spans="2:23" ht="23.1" customHeight="1">
      <c r="B45" s="47"/>
      <c r="C45" s="142" t="s">
        <v>81</v>
      </c>
      <c r="D45" s="70" t="s">
        <v>279</v>
      </c>
      <c r="E45" s="437"/>
      <c r="F45" s="437"/>
      <c r="G45" s="453"/>
      <c r="H45" s="49"/>
      <c r="J45" s="409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1"/>
    </row>
    <row r="46" spans="2:23" ht="23.1" customHeight="1">
      <c r="B46" s="47"/>
      <c r="C46" s="143" t="s">
        <v>88</v>
      </c>
      <c r="D46" s="71" t="s">
        <v>280</v>
      </c>
      <c r="E46" s="438"/>
      <c r="F46" s="438"/>
      <c r="G46" s="454"/>
      <c r="H46" s="49"/>
      <c r="J46" s="409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1"/>
    </row>
    <row r="47" spans="2:23" ht="23.1" customHeight="1">
      <c r="B47" s="47"/>
      <c r="C47" s="143" t="s">
        <v>90</v>
      </c>
      <c r="D47" s="71" t="s">
        <v>281</v>
      </c>
      <c r="E47" s="438"/>
      <c r="F47" s="438"/>
      <c r="G47" s="454"/>
      <c r="H47" s="49"/>
      <c r="J47" s="409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1"/>
    </row>
    <row r="48" spans="2:23" ht="23.1" customHeight="1">
      <c r="B48" s="47"/>
      <c r="C48" s="143" t="s">
        <v>92</v>
      </c>
      <c r="D48" s="71" t="s">
        <v>282</v>
      </c>
      <c r="E48" s="438"/>
      <c r="F48" s="438"/>
      <c r="G48" s="454"/>
      <c r="H48" s="49"/>
      <c r="J48" s="409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1"/>
    </row>
    <row r="49" spans="2:23" ht="23.1" customHeight="1">
      <c r="B49" s="47"/>
      <c r="C49" s="140" t="s">
        <v>192</v>
      </c>
      <c r="D49" s="69" t="s">
        <v>283</v>
      </c>
      <c r="E49" s="131">
        <f>SUM(E50:E54)</f>
        <v>3515000</v>
      </c>
      <c r="F49" s="131">
        <f>SUM(F50:F54)</f>
        <v>1582.05</v>
      </c>
      <c r="G49" s="141">
        <f>SUM(G50:G54)</f>
        <v>1582.05</v>
      </c>
      <c r="H49" s="49"/>
      <c r="J49" s="409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1"/>
    </row>
    <row r="50" spans="2:23" ht="23.1" customHeight="1">
      <c r="B50" s="47"/>
      <c r="C50" s="142" t="s">
        <v>81</v>
      </c>
      <c r="D50" s="70" t="s">
        <v>284</v>
      </c>
      <c r="E50" s="437"/>
      <c r="F50" s="437"/>
      <c r="G50" s="453"/>
      <c r="H50" s="49"/>
      <c r="J50" s="409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1"/>
    </row>
    <row r="51" spans="2:23" s="74" customFormat="1" ht="23.1" customHeight="1">
      <c r="B51" s="23"/>
      <c r="C51" s="143" t="s">
        <v>88</v>
      </c>
      <c r="D51" s="71" t="s">
        <v>285</v>
      </c>
      <c r="E51" s="438"/>
      <c r="F51" s="438"/>
      <c r="G51" s="454"/>
      <c r="H51" s="60"/>
      <c r="J51" s="409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1"/>
    </row>
    <row r="52" spans="2:23" ht="23.1" customHeight="1">
      <c r="B52" s="47"/>
      <c r="C52" s="143" t="s">
        <v>90</v>
      </c>
      <c r="D52" s="71" t="s">
        <v>286</v>
      </c>
      <c r="E52" s="438"/>
      <c r="F52" s="438"/>
      <c r="G52" s="454"/>
      <c r="H52" s="49"/>
      <c r="J52" s="409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1"/>
    </row>
    <row r="53" spans="2:23" ht="23.1" customHeight="1">
      <c r="B53" s="47"/>
      <c r="C53" s="143" t="s">
        <v>92</v>
      </c>
      <c r="D53" s="71" t="s">
        <v>206</v>
      </c>
      <c r="E53" s="438"/>
      <c r="F53" s="438"/>
      <c r="G53" s="454"/>
      <c r="H53" s="49"/>
      <c r="J53" s="409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1"/>
    </row>
    <row r="54" spans="2:23" ht="23.1" customHeight="1">
      <c r="B54" s="47"/>
      <c r="C54" s="143" t="s">
        <v>188</v>
      </c>
      <c r="D54" s="71" t="s">
        <v>287</v>
      </c>
      <c r="E54" s="438">
        <v>3515000</v>
      </c>
      <c r="F54" s="438">
        <v>1582.05</v>
      </c>
      <c r="G54" s="438">
        <v>1582.05</v>
      </c>
      <c r="H54" s="49"/>
      <c r="J54" s="409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1"/>
    </row>
    <row r="55" spans="2:23" ht="23.1" customHeight="1">
      <c r="B55" s="47"/>
      <c r="C55" s="140" t="s">
        <v>197</v>
      </c>
      <c r="D55" s="69" t="s">
        <v>288</v>
      </c>
      <c r="E55" s="439"/>
      <c r="F55" s="439"/>
      <c r="G55" s="455"/>
      <c r="H55" s="49"/>
      <c r="J55" s="409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1"/>
    </row>
    <row r="56" spans="2:23" ht="23.1" customHeight="1">
      <c r="B56" s="47"/>
      <c r="C56" s="140" t="s">
        <v>201</v>
      </c>
      <c r="D56" s="69" t="s">
        <v>289</v>
      </c>
      <c r="E56" s="439">
        <v>60338.41</v>
      </c>
      <c r="F56" s="439">
        <v>58882.28</v>
      </c>
      <c r="G56" s="455">
        <v>57426.15</v>
      </c>
      <c r="H56" s="49"/>
      <c r="J56" s="1203"/>
      <c r="K56" s="1204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1"/>
    </row>
    <row r="57" spans="2:23" ht="23.1" customHeight="1">
      <c r="B57" s="47"/>
      <c r="C57" s="140" t="s">
        <v>209</v>
      </c>
      <c r="D57" s="69" t="s">
        <v>290</v>
      </c>
      <c r="E57" s="439"/>
      <c r="F57" s="439"/>
      <c r="G57" s="455"/>
      <c r="H57" s="49"/>
      <c r="J57" s="409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1"/>
    </row>
    <row r="58" spans="2:23" ht="23.1" customHeight="1">
      <c r="B58" s="47"/>
      <c r="C58" s="140" t="s">
        <v>212</v>
      </c>
      <c r="D58" s="69" t="s">
        <v>291</v>
      </c>
      <c r="E58" s="439"/>
      <c r="F58" s="439"/>
      <c r="G58" s="455"/>
      <c r="H58" s="49"/>
      <c r="J58" s="409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1"/>
    </row>
    <row r="59" spans="2:23" ht="23.1" customHeight="1">
      <c r="B59" s="47"/>
      <c r="C59" s="140" t="s">
        <v>214</v>
      </c>
      <c r="D59" s="69" t="s">
        <v>292</v>
      </c>
      <c r="E59" s="439"/>
      <c r="F59" s="439"/>
      <c r="G59" s="455"/>
      <c r="H59" s="49"/>
      <c r="J59" s="409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1"/>
    </row>
    <row r="60" spans="2:23" ht="23.1" customHeight="1">
      <c r="B60" s="47"/>
      <c r="C60" s="147"/>
      <c r="D60" s="1"/>
      <c r="E60" s="134"/>
      <c r="F60" s="134"/>
      <c r="G60" s="146"/>
      <c r="H60" s="49"/>
      <c r="J60" s="409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1"/>
    </row>
    <row r="61" spans="2:23" ht="23.1" customHeight="1">
      <c r="B61" s="47"/>
      <c r="C61" s="138" t="s">
        <v>293</v>
      </c>
      <c r="D61" s="83" t="s">
        <v>294</v>
      </c>
      <c r="E61" s="130">
        <f>E62+E63+E66+E72+E73+E83+E84</f>
        <v>9357114.5</v>
      </c>
      <c r="F61" s="130">
        <f>F62+F63+F66+F72+F73+F83+F84</f>
        <v>5568995.8499999996</v>
      </c>
      <c r="G61" s="139">
        <f>G62+G63+G66+G72+G73+G83+G84</f>
        <v>3979223.69</v>
      </c>
      <c r="H61" s="49"/>
      <c r="J61" s="409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1"/>
    </row>
    <row r="62" spans="2:23" ht="23.1" customHeight="1">
      <c r="B62" s="47"/>
      <c r="C62" s="140" t="s">
        <v>182</v>
      </c>
      <c r="D62" s="69" t="s">
        <v>295</v>
      </c>
      <c r="E62" s="439"/>
      <c r="F62" s="439"/>
      <c r="G62" s="455"/>
      <c r="H62" s="49"/>
      <c r="J62" s="409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1"/>
    </row>
    <row r="63" spans="2:23" ht="23.1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09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1"/>
    </row>
    <row r="64" spans="2:23" ht="23.1" customHeight="1">
      <c r="B64" s="47"/>
      <c r="C64" s="142" t="s">
        <v>81</v>
      </c>
      <c r="D64" s="70" t="s">
        <v>297</v>
      </c>
      <c r="E64" s="437"/>
      <c r="F64" s="437"/>
      <c r="G64" s="453"/>
      <c r="H64" s="49"/>
      <c r="J64" s="409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1"/>
    </row>
    <row r="65" spans="2:23" ht="23.1" customHeight="1">
      <c r="B65" s="47"/>
      <c r="C65" s="143" t="s">
        <v>88</v>
      </c>
      <c r="D65" s="71" t="s">
        <v>282</v>
      </c>
      <c r="E65" s="438"/>
      <c r="F65" s="438"/>
      <c r="G65" s="454"/>
      <c r="H65" s="49"/>
      <c r="J65" s="409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1"/>
    </row>
    <row r="66" spans="2:23" ht="23.1" customHeight="1">
      <c r="B66" s="47"/>
      <c r="C66" s="140" t="s">
        <v>197</v>
      </c>
      <c r="D66" s="69" t="s">
        <v>298</v>
      </c>
      <c r="E66" s="131">
        <f>SUM(E67:E71)</f>
        <v>6159791.3200000003</v>
      </c>
      <c r="F66" s="131">
        <f>SUM(F67:F71)</f>
        <v>3515000</v>
      </c>
      <c r="G66" s="141">
        <f>SUM(G67:G71)</f>
        <v>0</v>
      </c>
      <c r="H66" s="49"/>
      <c r="J66" s="409"/>
      <c r="K66" s="1204">
        <f>(E66+E73)</f>
        <v>9357114.5</v>
      </c>
      <c r="L66" s="1204">
        <f>(F66+F73)</f>
        <v>5568995.8499999996</v>
      </c>
      <c r="M66" s="1204">
        <f>(K66-L66)</f>
        <v>3788118.6500000004</v>
      </c>
      <c r="N66" s="410"/>
      <c r="O66" s="410"/>
      <c r="P66" s="410"/>
      <c r="Q66" s="410"/>
      <c r="R66" s="410"/>
      <c r="S66" s="410"/>
      <c r="T66" s="410"/>
      <c r="U66" s="410"/>
      <c r="V66" s="410"/>
      <c r="W66" s="411"/>
    </row>
    <row r="67" spans="2:23" ht="23.1" customHeight="1">
      <c r="B67" s="47"/>
      <c r="C67" s="142" t="s">
        <v>81</v>
      </c>
      <c r="D67" s="70" t="s">
        <v>299</v>
      </c>
      <c r="E67" s="437"/>
      <c r="F67" s="437"/>
      <c r="G67" s="453"/>
      <c r="H67" s="49"/>
      <c r="J67" s="409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1"/>
    </row>
    <row r="68" spans="2:23" ht="23.1" customHeight="1">
      <c r="B68" s="47"/>
      <c r="C68" s="143" t="s">
        <v>88</v>
      </c>
      <c r="D68" s="71" t="s">
        <v>285</v>
      </c>
      <c r="E68" s="438">
        <v>3555.2</v>
      </c>
      <c r="F68" s="438">
        <v>0</v>
      </c>
      <c r="G68" s="454">
        <v>0</v>
      </c>
      <c r="H68" s="49"/>
      <c r="J68" s="409"/>
      <c r="K68" s="1204">
        <f>(F66+F73)</f>
        <v>5568995.8499999996</v>
      </c>
      <c r="L68" s="1204">
        <f>(G66+G73)</f>
        <v>3979223.69</v>
      </c>
      <c r="M68" s="1204">
        <f>(K68-L68)</f>
        <v>1589772.1599999997</v>
      </c>
      <c r="N68" s="410"/>
      <c r="O68" s="410"/>
      <c r="P68" s="410"/>
      <c r="Q68" s="410"/>
      <c r="R68" s="410"/>
      <c r="S68" s="410"/>
      <c r="T68" s="410"/>
      <c r="U68" s="410"/>
      <c r="V68" s="410"/>
      <c r="W68" s="411"/>
    </row>
    <row r="69" spans="2:23" ht="23.1" customHeight="1">
      <c r="B69" s="47"/>
      <c r="C69" s="143" t="s">
        <v>90</v>
      </c>
      <c r="D69" s="71" t="s">
        <v>286</v>
      </c>
      <c r="E69" s="438"/>
      <c r="F69" s="438"/>
      <c r="G69" s="454"/>
      <c r="H69" s="49"/>
      <c r="J69" s="409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1"/>
    </row>
    <row r="70" spans="2:23" ht="23.1" customHeight="1">
      <c r="B70" s="47"/>
      <c r="C70" s="143" t="s">
        <v>92</v>
      </c>
      <c r="D70" s="71" t="s">
        <v>206</v>
      </c>
      <c r="E70" s="438"/>
      <c r="F70" s="438"/>
      <c r="G70" s="454"/>
      <c r="H70" s="49"/>
      <c r="J70" s="409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1"/>
    </row>
    <row r="71" spans="2:23" ht="23.1" customHeight="1">
      <c r="B71" s="47"/>
      <c r="C71" s="143" t="s">
        <v>188</v>
      </c>
      <c r="D71" s="71" t="s">
        <v>287</v>
      </c>
      <c r="E71" s="438">
        <v>6156236.1200000001</v>
      </c>
      <c r="F71" s="569">
        <v>3515000</v>
      </c>
      <c r="G71" s="454">
        <v>0</v>
      </c>
      <c r="H71" s="49"/>
      <c r="J71" s="409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1"/>
    </row>
    <row r="72" spans="2:23" ht="23.1" customHeight="1">
      <c r="B72" s="47"/>
      <c r="C72" s="140" t="s">
        <v>201</v>
      </c>
      <c r="D72" s="69" t="s">
        <v>300</v>
      </c>
      <c r="E72" s="439"/>
      <c r="F72" s="439"/>
      <c r="G72" s="455"/>
      <c r="H72" s="49"/>
      <c r="J72" s="409"/>
      <c r="K72" s="1204"/>
      <c r="L72" s="1204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1"/>
    </row>
    <row r="73" spans="2:23" ht="23.1" customHeight="1">
      <c r="B73" s="47"/>
      <c r="C73" s="140" t="s">
        <v>209</v>
      </c>
      <c r="D73" s="69" t="s">
        <v>301</v>
      </c>
      <c r="E73" s="131">
        <f>E74+SUM(E77:E82)</f>
        <v>3197323.18</v>
      </c>
      <c r="F73" s="131">
        <f>F74+SUM(F77:F82)</f>
        <v>2053995.85</v>
      </c>
      <c r="G73" s="141">
        <f>G74+SUM(G77:G82)</f>
        <v>3979223.69</v>
      </c>
      <c r="H73" s="49"/>
      <c r="J73" s="409"/>
      <c r="K73" s="1204"/>
      <c r="L73" s="1204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1"/>
    </row>
    <row r="74" spans="2:23" ht="23.1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09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1"/>
    </row>
    <row r="75" spans="2:23" ht="23.1" customHeight="1">
      <c r="B75" s="47"/>
      <c r="C75" s="148" t="s">
        <v>82</v>
      </c>
      <c r="D75" s="86" t="s">
        <v>303</v>
      </c>
      <c r="E75" s="456"/>
      <c r="F75" s="456"/>
      <c r="G75" s="457"/>
      <c r="H75" s="49"/>
      <c r="J75" s="409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1"/>
    </row>
    <row r="76" spans="2:23" ht="23.1" customHeight="1">
      <c r="B76" s="47"/>
      <c r="C76" s="148" t="s">
        <v>84</v>
      </c>
      <c r="D76" s="86" t="s">
        <v>304</v>
      </c>
      <c r="E76" s="456"/>
      <c r="F76" s="456"/>
      <c r="G76" s="457"/>
      <c r="H76" s="49"/>
      <c r="J76" s="409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1"/>
    </row>
    <row r="77" spans="2:23" ht="23.1" customHeight="1">
      <c r="B77" s="47"/>
      <c r="C77" s="143" t="s">
        <v>88</v>
      </c>
      <c r="D77" s="71" t="s">
        <v>305</v>
      </c>
      <c r="E77" s="438"/>
      <c r="F77" s="438"/>
      <c r="G77" s="454"/>
      <c r="H77" s="49"/>
      <c r="J77" s="409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1"/>
    </row>
    <row r="78" spans="2:23" ht="23.1" customHeight="1">
      <c r="B78" s="47"/>
      <c r="C78" s="143" t="s">
        <v>90</v>
      </c>
      <c r="D78" s="71" t="s">
        <v>306</v>
      </c>
      <c r="E78" s="438">
        <v>3197323.18</v>
      </c>
      <c r="F78" s="438">
        <f>2063033.79-9037.94</f>
        <v>2053995.85</v>
      </c>
      <c r="G78" s="454">
        <v>3979223.69</v>
      </c>
      <c r="H78" s="49"/>
      <c r="J78" s="409" t="s">
        <v>1216</v>
      </c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1"/>
    </row>
    <row r="79" spans="2:23" ht="23.1" customHeight="1">
      <c r="B79" s="47"/>
      <c r="C79" s="143" t="s">
        <v>92</v>
      </c>
      <c r="D79" s="71" t="s">
        <v>307</v>
      </c>
      <c r="E79" s="438"/>
      <c r="F79" s="438"/>
      <c r="G79" s="454"/>
      <c r="H79" s="49"/>
      <c r="J79" s="409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1"/>
    </row>
    <row r="80" spans="2:23" ht="23.1" customHeight="1">
      <c r="B80" s="47"/>
      <c r="C80" s="143" t="s">
        <v>188</v>
      </c>
      <c r="D80" s="71" t="s">
        <v>308</v>
      </c>
      <c r="E80" s="438"/>
      <c r="F80" s="438"/>
      <c r="G80" s="454"/>
      <c r="H80" s="49"/>
      <c r="J80" s="409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1"/>
    </row>
    <row r="81" spans="2:23" ht="23.1" customHeight="1">
      <c r="B81" s="47"/>
      <c r="C81" s="143" t="s">
        <v>102</v>
      </c>
      <c r="D81" s="71" t="s">
        <v>309</v>
      </c>
      <c r="E81" s="438"/>
      <c r="F81" s="438"/>
      <c r="G81" s="454"/>
      <c r="H81" s="49"/>
      <c r="J81" s="409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1"/>
    </row>
    <row r="82" spans="2:23" ht="23.1" customHeight="1">
      <c r="B82" s="47"/>
      <c r="C82" s="143" t="s">
        <v>107</v>
      </c>
      <c r="D82" s="71" t="s">
        <v>310</v>
      </c>
      <c r="E82" s="438"/>
      <c r="F82" s="438"/>
      <c r="G82" s="454"/>
      <c r="H82" s="49"/>
      <c r="J82" s="409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1"/>
    </row>
    <row r="83" spans="2:23" ht="23.1" customHeight="1">
      <c r="B83" s="47"/>
      <c r="C83" s="140" t="s">
        <v>212</v>
      </c>
      <c r="D83" s="69" t="s">
        <v>238</v>
      </c>
      <c r="E83" s="439"/>
      <c r="F83" s="439"/>
      <c r="G83" s="455"/>
      <c r="H83" s="49"/>
      <c r="J83" s="409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1"/>
    </row>
    <row r="84" spans="2:23" ht="23.1" customHeight="1">
      <c r="B84" s="47"/>
      <c r="C84" s="140" t="s">
        <v>214</v>
      </c>
      <c r="D84" s="69" t="s">
        <v>311</v>
      </c>
      <c r="E84" s="439"/>
      <c r="F84" s="439"/>
      <c r="G84" s="455"/>
      <c r="H84" s="49"/>
      <c r="J84" s="409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1"/>
    </row>
    <row r="85" spans="2:23" ht="23.1" customHeight="1">
      <c r="B85" s="47"/>
      <c r="C85" s="136"/>
      <c r="D85" s="85"/>
      <c r="E85" s="134"/>
      <c r="F85" s="134"/>
      <c r="G85" s="146"/>
      <c r="H85" s="49"/>
      <c r="J85" s="409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</row>
    <row r="86" spans="2:23" ht="23.1" customHeight="1" thickBot="1">
      <c r="B86" s="47"/>
      <c r="C86" s="149" t="s">
        <v>312</v>
      </c>
      <c r="D86" s="78"/>
      <c r="E86" s="135">
        <f>E16+E43+E61</f>
        <v>13975490.02</v>
      </c>
      <c r="F86" s="135">
        <f>F16+F43+F61</f>
        <v>6668128.8899999997</v>
      </c>
      <c r="G86" s="150">
        <f>G16+G43+G61</f>
        <v>5072532.2</v>
      </c>
      <c r="H86" s="49"/>
      <c r="J86" s="409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1"/>
    </row>
    <row r="87" spans="2:23" ht="23.1" customHeight="1" thickBot="1">
      <c r="B87" s="51"/>
      <c r="C87" s="1504"/>
      <c r="D87" s="1504"/>
      <c r="E87" s="1504"/>
      <c r="F87" s="1504"/>
      <c r="G87" s="53"/>
      <c r="H87" s="54"/>
      <c r="J87" s="412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4"/>
    </row>
    <row r="88" spans="2:23" ht="23.1" customHeight="1">
      <c r="C88" s="43"/>
      <c r="D88" s="43"/>
      <c r="E88" s="43"/>
      <c r="F88" s="43"/>
      <c r="G88" s="43"/>
      <c r="I88" s="41" t="s">
        <v>885</v>
      </c>
    </row>
    <row r="89" spans="2:23" ht="12.75">
      <c r="C89" s="36" t="s">
        <v>70</v>
      </c>
      <c r="D89" s="43"/>
      <c r="E89" s="43"/>
      <c r="F89" s="43"/>
      <c r="G89" s="40" t="s">
        <v>627</v>
      </c>
    </row>
    <row r="90" spans="2:23" ht="12.75">
      <c r="C90" s="37" t="s">
        <v>71</v>
      </c>
      <c r="D90" s="43"/>
      <c r="E90" s="43"/>
      <c r="F90" s="43"/>
      <c r="G90" s="43"/>
    </row>
    <row r="91" spans="2:23" ht="12.75">
      <c r="C91" s="37" t="s">
        <v>72</v>
      </c>
      <c r="D91" s="43"/>
      <c r="E91" s="43"/>
      <c r="F91" s="43"/>
      <c r="G91" s="43"/>
    </row>
    <row r="92" spans="2:23" ht="12.75">
      <c r="C92" s="37" t="s">
        <v>73</v>
      </c>
      <c r="D92" s="43"/>
      <c r="E92" s="43"/>
      <c r="F92" s="43"/>
      <c r="G92" s="43"/>
    </row>
    <row r="93" spans="2:23" ht="12.75">
      <c r="C93" s="37" t="s">
        <v>74</v>
      </c>
      <c r="D93" s="43"/>
      <c r="E93" s="43"/>
      <c r="F93" s="43"/>
      <c r="G93" s="43"/>
    </row>
    <row r="94" spans="2:23" ht="23.1" customHeight="1">
      <c r="C94" s="43"/>
      <c r="D94" s="43"/>
      <c r="E94" s="694" t="str">
        <f>IF(_CHECK_LIST!J15&gt;0,"Revisa","")</f>
        <v/>
      </c>
      <c r="F94" s="694" t="str">
        <f>IF(_CHECK_LIST!K15&gt;0,"Revisa","")</f>
        <v/>
      </c>
      <c r="G94" s="694" t="str">
        <f>IF(_CHECK_LIST!L15&gt;0,"Revisa","")</f>
        <v/>
      </c>
    </row>
    <row r="95" spans="2:23" ht="23.1" customHeight="1">
      <c r="C95" s="43"/>
      <c r="D95" s="43"/>
      <c r="E95" s="43"/>
      <c r="F95" s="43"/>
      <c r="G95" s="43"/>
    </row>
    <row r="96" spans="2:23" ht="23.1" customHeight="1">
      <c r="C96" s="43"/>
      <c r="D96" s="43"/>
      <c r="E96" s="43"/>
      <c r="F96" s="43"/>
      <c r="G96" s="43"/>
    </row>
    <row r="97" spans="3:7" ht="23.1" customHeight="1">
      <c r="C97" s="43"/>
      <c r="D97" s="43"/>
      <c r="E97" s="43"/>
      <c r="F97" s="43"/>
      <c r="G97" s="43"/>
    </row>
    <row r="98" spans="3:7" ht="23.1" customHeight="1">
      <c r="F98" s="43"/>
      <c r="G98" s="43"/>
    </row>
  </sheetData>
  <sheetProtection algorithmName="SHA-512" hashValue="n3QmQeHtz8WmLJCqIQTk5A21MY+s5n6QqQ9GfTu3DoMvFH/0MylA0+OVzRgyDoDs3yKkfyp+gvfiEuD37iOzWA==" saltValue="KONnBT11neAhy5vVSauJog==" spinCount="100000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AF69"/>
  <sheetViews>
    <sheetView zoomScale="48" zoomScaleNormal="70" workbookViewId="0">
      <selection activeCell="I23" sqref="I23"/>
    </sheetView>
  </sheetViews>
  <sheetFormatPr baseColWidth="10" defaultColWidth="10.6640625" defaultRowHeight="23.1" customHeight="1"/>
  <cols>
    <col min="1" max="1" width="4.109375" style="704" bestFit="1" customWidth="1"/>
    <col min="2" max="2" width="3.109375" style="704" customWidth="1"/>
    <col min="3" max="3" width="13.5546875" style="704" customWidth="1"/>
    <col min="4" max="4" width="76.6640625" style="704" customWidth="1"/>
    <col min="5" max="16" width="18.33203125" style="704" customWidth="1"/>
    <col min="17" max="17" width="3.33203125" style="704" customWidth="1"/>
    <col min="18" max="16384" width="10.6640625" style="704"/>
  </cols>
  <sheetData>
    <row r="1" spans="1:32" ht="23.1" customHeight="1">
      <c r="D1" s="705"/>
    </row>
    <row r="2" spans="1:32" ht="23.1" customHeight="1">
      <c r="D2" s="298" t="str">
        <f>_GENERAL!D2</f>
        <v>Área de Presidencia, Hacienda y Modernización</v>
      </c>
    </row>
    <row r="3" spans="1:32" ht="23.1" customHeight="1">
      <c r="D3" s="298" t="str">
        <f>_GENERAL!D3</f>
        <v>Dirección Insular de Hacienda</v>
      </c>
    </row>
    <row r="4" spans="1:32" ht="23.1" customHeight="1" thickBot="1">
      <c r="A4" s="704" t="s">
        <v>884</v>
      </c>
    </row>
    <row r="5" spans="1:32" ht="9" customHeight="1">
      <c r="B5" s="706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8"/>
      <c r="S5" s="393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5"/>
    </row>
    <row r="6" spans="1:32" ht="30" customHeight="1">
      <c r="B6" s="709"/>
      <c r="C6" s="710" t="s">
        <v>0</v>
      </c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1497">
        <f>ejercicio</f>
        <v>2021</v>
      </c>
      <c r="Q6" s="711"/>
      <c r="S6" s="396"/>
      <c r="T6" s="397" t="s">
        <v>628</v>
      </c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9"/>
    </row>
    <row r="7" spans="1:32" ht="30" customHeight="1">
      <c r="B7" s="709"/>
      <c r="C7" s="710" t="s">
        <v>1</v>
      </c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1497"/>
      <c r="Q7" s="711"/>
      <c r="S7" s="396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9"/>
    </row>
    <row r="8" spans="1:32" ht="30" customHeight="1">
      <c r="B8" s="709"/>
      <c r="C8" s="713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14"/>
      <c r="Q8" s="711"/>
      <c r="S8" s="396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9"/>
    </row>
    <row r="9" spans="1:32" s="718" customFormat="1" ht="30" customHeight="1">
      <c r="B9" s="715"/>
      <c r="C9" s="716" t="s">
        <v>2</v>
      </c>
      <c r="D9" s="1499" t="str">
        <f>Entidad</f>
        <v>Spet, turismo de Tenerife s.a</v>
      </c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717"/>
      <c r="S9" s="400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2"/>
    </row>
    <row r="10" spans="1:32" ht="6.95" customHeight="1">
      <c r="B10" s="709"/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11"/>
      <c r="S10" s="396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9"/>
    </row>
    <row r="11" spans="1:32" s="722" customFormat="1" ht="30" customHeight="1">
      <c r="B11" s="719"/>
      <c r="C11" s="720" t="s">
        <v>906</v>
      </c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1"/>
      <c r="S11" s="403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5"/>
    </row>
    <row r="12" spans="1:32" s="722" customFormat="1" ht="30" customHeight="1">
      <c r="B12" s="719"/>
      <c r="C12" s="959"/>
      <c r="D12" s="959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959"/>
      <c r="Q12" s="721"/>
      <c r="S12" s="403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5"/>
    </row>
    <row r="13" spans="1:32" ht="23.1" customHeight="1">
      <c r="B13" s="709"/>
      <c r="C13" s="1551">
        <f>ejercicio-1</f>
        <v>2020</v>
      </c>
      <c r="D13" s="1553" t="s">
        <v>914</v>
      </c>
      <c r="E13" s="1161" t="s">
        <v>618</v>
      </c>
      <c r="F13" s="1161" t="s">
        <v>907</v>
      </c>
      <c r="G13" s="1161" t="s">
        <v>908</v>
      </c>
      <c r="H13" s="1161" t="s">
        <v>907</v>
      </c>
      <c r="I13" s="1162" t="s">
        <v>911</v>
      </c>
      <c r="J13" s="1162" t="s">
        <v>912</v>
      </c>
      <c r="K13" s="1162" t="s">
        <v>934</v>
      </c>
      <c r="L13" s="1161" t="s">
        <v>913</v>
      </c>
      <c r="M13" s="1530"/>
      <c r="N13" s="1531"/>
      <c r="O13" s="1531"/>
      <c r="P13" s="1532"/>
      <c r="Q13" s="711"/>
      <c r="S13" s="396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9"/>
    </row>
    <row r="14" spans="1:32" ht="23.1" customHeight="1">
      <c r="B14" s="709"/>
      <c r="C14" s="1552"/>
      <c r="D14" s="1554"/>
      <c r="E14" s="1163">
        <f>ejercicio-2</f>
        <v>2019</v>
      </c>
      <c r="F14" s="1164" t="s">
        <v>251</v>
      </c>
      <c r="G14" s="1164" t="s">
        <v>251</v>
      </c>
      <c r="H14" s="1164" t="s">
        <v>910</v>
      </c>
      <c r="I14" s="1165" t="s">
        <v>909</v>
      </c>
      <c r="J14" s="1166" t="s">
        <v>916</v>
      </c>
      <c r="K14" s="1165" t="s">
        <v>935</v>
      </c>
      <c r="L14" s="1163">
        <f>ejercicio-1</f>
        <v>2020</v>
      </c>
      <c r="M14" s="1527" t="s">
        <v>936</v>
      </c>
      <c r="N14" s="1528"/>
      <c r="O14" s="1528"/>
      <c r="P14" s="1529"/>
      <c r="Q14" s="711"/>
      <c r="S14" s="396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9"/>
    </row>
    <row r="15" spans="1:32" ht="23.1" customHeight="1">
      <c r="B15" s="709"/>
      <c r="C15" s="1167"/>
      <c r="D15" s="1168"/>
      <c r="E15" s="1169"/>
      <c r="F15" s="1169"/>
      <c r="G15" s="1169"/>
      <c r="H15" s="1169"/>
      <c r="I15" s="1169"/>
      <c r="J15" s="1169"/>
      <c r="K15" s="1169"/>
      <c r="L15" s="1169"/>
      <c r="M15" s="1533"/>
      <c r="N15" s="1534"/>
      <c r="O15" s="1534"/>
      <c r="P15" s="1535"/>
      <c r="Q15" s="711"/>
      <c r="S15" s="396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9"/>
    </row>
    <row r="16" spans="1:32" s="1170" customFormat="1" ht="27" customHeight="1">
      <c r="B16" s="719"/>
      <c r="C16" s="1171" t="s">
        <v>129</v>
      </c>
      <c r="D16" s="1172" t="s">
        <v>250</v>
      </c>
      <c r="E16" s="1173">
        <f t="shared" ref="E16:L16" si="0">+E17+E20+E21+E26+E27+E30+E31+E32+E33</f>
        <v>915917.16999999993</v>
      </c>
      <c r="F16" s="1173">
        <f t="shared" si="0"/>
        <v>0</v>
      </c>
      <c r="G16" s="1173">
        <f t="shared" si="0"/>
        <v>0</v>
      </c>
      <c r="H16" s="1173">
        <f t="shared" si="0"/>
        <v>2019110.02</v>
      </c>
      <c r="I16" s="1173">
        <f t="shared" si="0"/>
        <v>0</v>
      </c>
      <c r="J16" s="1173">
        <f t="shared" si="0"/>
        <v>0</v>
      </c>
      <c r="K16" s="1173">
        <f t="shared" si="0"/>
        <v>-2019110.02</v>
      </c>
      <c r="L16" s="1173">
        <f t="shared" si="0"/>
        <v>915917.16999999993</v>
      </c>
      <c r="M16" s="1536"/>
      <c r="N16" s="1537"/>
      <c r="O16" s="1537"/>
      <c r="P16" s="1538"/>
      <c r="Q16" s="721"/>
      <c r="S16" s="1158"/>
      <c r="T16" s="1159"/>
      <c r="U16" s="1159"/>
      <c r="V16" s="1159"/>
      <c r="W16" s="1159"/>
      <c r="X16" s="1159"/>
      <c r="Y16" s="1159"/>
      <c r="Z16" s="1159"/>
      <c r="AA16" s="1159"/>
      <c r="AB16" s="1159"/>
      <c r="AC16" s="1159"/>
      <c r="AD16" s="1159"/>
      <c r="AE16" s="1159"/>
      <c r="AF16" s="1160"/>
    </row>
    <row r="17" spans="2:32" ht="27" customHeight="1">
      <c r="B17" s="709"/>
      <c r="C17" s="1174" t="s">
        <v>182</v>
      </c>
      <c r="D17" s="1175" t="s">
        <v>251</v>
      </c>
      <c r="E17" s="1176">
        <f t="shared" ref="E17:L17" si="1">SUM(E18:E19)</f>
        <v>691163.8</v>
      </c>
      <c r="F17" s="1176">
        <f t="shared" si="1"/>
        <v>0</v>
      </c>
      <c r="G17" s="1176">
        <f t="shared" si="1"/>
        <v>0</v>
      </c>
      <c r="H17" s="1176">
        <f t="shared" si="1"/>
        <v>0</v>
      </c>
      <c r="I17" s="1176">
        <f t="shared" si="1"/>
        <v>0</v>
      </c>
      <c r="J17" s="1176">
        <f t="shared" si="1"/>
        <v>0</v>
      </c>
      <c r="K17" s="1176">
        <f t="shared" si="1"/>
        <v>0</v>
      </c>
      <c r="L17" s="1176">
        <f t="shared" si="1"/>
        <v>691163.8</v>
      </c>
      <c r="M17" s="1539"/>
      <c r="N17" s="1540"/>
      <c r="O17" s="1540"/>
      <c r="P17" s="1541"/>
      <c r="Q17" s="711"/>
      <c r="S17" s="396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9"/>
    </row>
    <row r="18" spans="2:32" ht="27" customHeight="1">
      <c r="B18" s="709"/>
      <c r="C18" s="1177" t="s">
        <v>81</v>
      </c>
      <c r="D18" s="1178" t="s">
        <v>252</v>
      </c>
      <c r="E18" s="1179">
        <f>'FC-4_PASIVO'!E19</f>
        <v>691163.8</v>
      </c>
      <c r="F18" s="437"/>
      <c r="G18" s="437"/>
      <c r="H18" s="437"/>
      <c r="I18" s="437"/>
      <c r="J18" s="437"/>
      <c r="K18" s="437"/>
      <c r="L18" s="1179">
        <f>SUM(E18:K18)</f>
        <v>691163.8</v>
      </c>
      <c r="M18" s="1542"/>
      <c r="N18" s="1543"/>
      <c r="O18" s="1543"/>
      <c r="P18" s="1544"/>
      <c r="Q18" s="711"/>
      <c r="S18" s="396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9"/>
    </row>
    <row r="19" spans="2:32" ht="27" customHeight="1">
      <c r="B19" s="709"/>
      <c r="C19" s="1180" t="s">
        <v>88</v>
      </c>
      <c r="D19" s="1181" t="s">
        <v>253</v>
      </c>
      <c r="E19" s="1182">
        <f>'FC-4_PASIVO'!E20</f>
        <v>0</v>
      </c>
      <c r="F19" s="438"/>
      <c r="G19" s="438"/>
      <c r="H19" s="438"/>
      <c r="I19" s="438"/>
      <c r="J19" s="438"/>
      <c r="K19" s="438"/>
      <c r="L19" s="1182">
        <f>SUM(E19:K19)</f>
        <v>0</v>
      </c>
      <c r="M19" s="1545"/>
      <c r="N19" s="1546"/>
      <c r="O19" s="1546"/>
      <c r="P19" s="1547"/>
      <c r="Q19" s="711"/>
      <c r="S19" s="396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9"/>
    </row>
    <row r="20" spans="2:32" ht="27" customHeight="1">
      <c r="B20" s="709"/>
      <c r="C20" s="1174" t="s">
        <v>192</v>
      </c>
      <c r="D20" s="1175" t="s">
        <v>254</v>
      </c>
      <c r="E20" s="1176">
        <f>'FC-4_PASIVO'!E21</f>
        <v>0</v>
      </c>
      <c r="F20" s="439"/>
      <c r="G20" s="439"/>
      <c r="H20" s="439"/>
      <c r="I20" s="439"/>
      <c r="J20" s="439"/>
      <c r="K20" s="439"/>
      <c r="L20" s="1176">
        <f>SUM(E20:K20)</f>
        <v>0</v>
      </c>
      <c r="M20" s="1548"/>
      <c r="N20" s="1549"/>
      <c r="O20" s="1549"/>
      <c r="P20" s="1550"/>
      <c r="Q20" s="711"/>
      <c r="S20" s="396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9"/>
    </row>
    <row r="21" spans="2:32" ht="27" customHeight="1">
      <c r="B21" s="709"/>
      <c r="C21" s="1174" t="s">
        <v>197</v>
      </c>
      <c r="D21" s="1175" t="s">
        <v>255</v>
      </c>
      <c r="E21" s="1176">
        <f t="shared" ref="E21:L21" si="2">SUM(E22:E25)</f>
        <v>215715.43</v>
      </c>
      <c r="F21" s="1176">
        <f t="shared" si="2"/>
        <v>0</v>
      </c>
      <c r="G21" s="1176">
        <f t="shared" si="2"/>
        <v>0</v>
      </c>
      <c r="H21" s="1176">
        <f t="shared" si="2"/>
        <v>0</v>
      </c>
      <c r="I21" s="1176">
        <f t="shared" si="2"/>
        <v>9037.94</v>
      </c>
      <c r="J21" s="1176">
        <f t="shared" si="2"/>
        <v>0</v>
      </c>
      <c r="K21" s="1176">
        <f t="shared" si="2"/>
        <v>0</v>
      </c>
      <c r="L21" s="1176">
        <f t="shared" si="2"/>
        <v>224753.37</v>
      </c>
      <c r="M21" s="1539"/>
      <c r="N21" s="1540"/>
      <c r="O21" s="1540"/>
      <c r="P21" s="1541"/>
      <c r="Q21" s="711"/>
      <c r="S21" s="396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9"/>
    </row>
    <row r="22" spans="2:32" ht="27" customHeight="1">
      <c r="B22" s="709"/>
      <c r="C22" s="1177" t="s">
        <v>81</v>
      </c>
      <c r="D22" s="1178" t="s">
        <v>256</v>
      </c>
      <c r="E22" s="1179">
        <f>'FC-4_PASIVO'!E23</f>
        <v>61201.17</v>
      </c>
      <c r="F22" s="437"/>
      <c r="G22" s="437"/>
      <c r="H22" s="437"/>
      <c r="I22" s="437"/>
      <c r="J22" s="437"/>
      <c r="K22" s="437"/>
      <c r="L22" s="1179">
        <f>SUM(E22:K22)</f>
        <v>61201.17</v>
      </c>
      <c r="M22" s="1542"/>
      <c r="N22" s="1543"/>
      <c r="O22" s="1543"/>
      <c r="P22" s="1544"/>
      <c r="Q22" s="711"/>
      <c r="S22" s="396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9"/>
    </row>
    <row r="23" spans="2:32" ht="27" customHeight="1">
      <c r="B23" s="709"/>
      <c r="C23" s="1180" t="s">
        <v>88</v>
      </c>
      <c r="D23" s="1181" t="s">
        <v>257</v>
      </c>
      <c r="E23" s="1182">
        <f>'FC-4_PASIVO'!E24</f>
        <v>154514.26</v>
      </c>
      <c r="F23" s="438"/>
      <c r="G23" s="438"/>
      <c r="H23" s="438"/>
      <c r="I23" s="438">
        <v>9037.94</v>
      </c>
      <c r="J23" s="438"/>
      <c r="K23" s="438"/>
      <c r="L23" s="1182">
        <f>SUM(E23:K23)</f>
        <v>163552.20000000001</v>
      </c>
      <c r="M23" s="1545"/>
      <c r="N23" s="1546"/>
      <c r="O23" s="1546"/>
      <c r="P23" s="1547"/>
      <c r="Q23" s="711"/>
      <c r="S23" s="396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9"/>
    </row>
    <row r="24" spans="2:32" ht="27" customHeight="1">
      <c r="B24" s="709"/>
      <c r="C24" s="1180" t="s">
        <v>90</v>
      </c>
      <c r="D24" s="1181" t="s">
        <v>258</v>
      </c>
      <c r="E24" s="1182">
        <f>'FC-4_PASIVO'!E25</f>
        <v>0</v>
      </c>
      <c r="F24" s="438"/>
      <c r="G24" s="438"/>
      <c r="H24" s="438"/>
      <c r="I24" s="438"/>
      <c r="J24" s="438"/>
      <c r="K24" s="438"/>
      <c r="L24" s="1182">
        <f>SUM(E24:K24)</f>
        <v>0</v>
      </c>
      <c r="M24" s="1545"/>
      <c r="N24" s="1546"/>
      <c r="O24" s="1546"/>
      <c r="P24" s="1547"/>
      <c r="Q24" s="711"/>
      <c r="S24" s="396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9"/>
    </row>
    <row r="25" spans="2:32" ht="27" customHeight="1">
      <c r="B25" s="709"/>
      <c r="C25" s="1180" t="s">
        <v>92</v>
      </c>
      <c r="D25" s="1181" t="s">
        <v>313</v>
      </c>
      <c r="E25" s="1182">
        <f>'FC-4_PASIVO'!E26</f>
        <v>0</v>
      </c>
      <c r="F25" s="438"/>
      <c r="G25" s="438"/>
      <c r="H25" s="438"/>
      <c r="I25" s="438"/>
      <c r="J25" s="438"/>
      <c r="K25" s="438"/>
      <c r="L25" s="1182">
        <f>SUM(E25:K25)</f>
        <v>0</v>
      </c>
      <c r="M25" s="1545"/>
      <c r="N25" s="1546"/>
      <c r="O25" s="1546"/>
      <c r="P25" s="1547"/>
      <c r="Q25" s="711"/>
      <c r="S25" s="396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9"/>
    </row>
    <row r="26" spans="2:32" ht="27" customHeight="1">
      <c r="B26" s="709"/>
      <c r="C26" s="1174" t="s">
        <v>201</v>
      </c>
      <c r="D26" s="1175" t="s">
        <v>259</v>
      </c>
      <c r="E26" s="1176">
        <f>'FC-4_PASIVO'!E27</f>
        <v>0</v>
      </c>
      <c r="F26" s="439"/>
      <c r="G26" s="439"/>
      <c r="H26" s="439"/>
      <c r="I26" s="439"/>
      <c r="J26" s="439"/>
      <c r="K26" s="439"/>
      <c r="L26" s="1176">
        <f>SUM(E26:K26)</f>
        <v>0</v>
      </c>
      <c r="M26" s="1548"/>
      <c r="N26" s="1549"/>
      <c r="O26" s="1549"/>
      <c r="P26" s="1550"/>
      <c r="Q26" s="711"/>
      <c r="S26" s="396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9"/>
    </row>
    <row r="27" spans="2:32" ht="27" customHeight="1">
      <c r="B27" s="709"/>
      <c r="C27" s="1174" t="s">
        <v>209</v>
      </c>
      <c r="D27" s="1175" t="s">
        <v>260</v>
      </c>
      <c r="E27" s="1176">
        <f t="shared" ref="E27:L27" si="3">SUM(E28:E29)</f>
        <v>0</v>
      </c>
      <c r="F27" s="1176">
        <f t="shared" si="3"/>
        <v>0</v>
      </c>
      <c r="G27" s="1176">
        <f t="shared" si="3"/>
        <v>0</v>
      </c>
      <c r="H27" s="1176">
        <f t="shared" si="3"/>
        <v>0</v>
      </c>
      <c r="I27" s="1176">
        <f t="shared" si="3"/>
        <v>0</v>
      </c>
      <c r="J27" s="1176">
        <f t="shared" si="3"/>
        <v>0</v>
      </c>
      <c r="K27" s="1176">
        <f t="shared" si="3"/>
        <v>0</v>
      </c>
      <c r="L27" s="1176">
        <f t="shared" si="3"/>
        <v>0</v>
      </c>
      <c r="M27" s="1539"/>
      <c r="N27" s="1540"/>
      <c r="O27" s="1540"/>
      <c r="P27" s="1541"/>
      <c r="Q27" s="711"/>
      <c r="S27" s="396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9"/>
    </row>
    <row r="28" spans="2:32" ht="27" customHeight="1">
      <c r="B28" s="709"/>
      <c r="C28" s="1177" t="s">
        <v>81</v>
      </c>
      <c r="D28" s="1178" t="s">
        <v>261</v>
      </c>
      <c r="E28" s="1179">
        <f>'FC-4_PASIVO'!E29</f>
        <v>0</v>
      </c>
      <c r="F28" s="437"/>
      <c r="G28" s="437"/>
      <c r="H28" s="437"/>
      <c r="I28" s="437"/>
      <c r="J28" s="437"/>
      <c r="K28" s="437"/>
      <c r="L28" s="1179">
        <f t="shared" ref="L28:L33" si="4">SUM(E28:K28)</f>
        <v>0</v>
      </c>
      <c r="M28" s="1542"/>
      <c r="N28" s="1543"/>
      <c r="O28" s="1543"/>
      <c r="P28" s="1544"/>
      <c r="Q28" s="711"/>
      <c r="S28" s="396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9"/>
    </row>
    <row r="29" spans="2:32" ht="27" customHeight="1">
      <c r="B29" s="709"/>
      <c r="C29" s="1180" t="s">
        <v>88</v>
      </c>
      <c r="D29" s="1181" t="s">
        <v>262</v>
      </c>
      <c r="E29" s="1182">
        <f>'FC-4_PASIVO'!E30</f>
        <v>0</v>
      </c>
      <c r="F29" s="438"/>
      <c r="G29" s="438"/>
      <c r="H29" s="438"/>
      <c r="I29" s="438"/>
      <c r="J29" s="438"/>
      <c r="K29" s="438"/>
      <c r="L29" s="1182">
        <f t="shared" si="4"/>
        <v>0</v>
      </c>
      <c r="M29" s="1545"/>
      <c r="N29" s="1546"/>
      <c r="O29" s="1546"/>
      <c r="P29" s="1547"/>
      <c r="Q29" s="711"/>
      <c r="S29" s="406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8"/>
    </row>
    <row r="30" spans="2:32" ht="27" customHeight="1">
      <c r="B30" s="709"/>
      <c r="C30" s="1174" t="s">
        <v>212</v>
      </c>
      <c r="D30" s="1175" t="s">
        <v>263</v>
      </c>
      <c r="E30" s="1176">
        <f>'FC-4_PASIVO'!E31</f>
        <v>2211511.52</v>
      </c>
      <c r="F30" s="439"/>
      <c r="G30" s="439"/>
      <c r="H30" s="439">
        <v>2019110.02</v>
      </c>
      <c r="I30" s="439">
        <v>-2211511.52</v>
      </c>
      <c r="J30" s="439"/>
      <c r="K30" s="439"/>
      <c r="L30" s="1176">
        <f t="shared" si="4"/>
        <v>2019110.02</v>
      </c>
      <c r="M30" s="1548"/>
      <c r="N30" s="1549"/>
      <c r="O30" s="1549"/>
      <c r="P30" s="1550"/>
      <c r="Q30" s="711"/>
      <c r="S30" s="406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8"/>
    </row>
    <row r="31" spans="2:32" ht="27" customHeight="1">
      <c r="B31" s="709"/>
      <c r="C31" s="1174" t="s">
        <v>214</v>
      </c>
      <c r="D31" s="1175" t="s">
        <v>264</v>
      </c>
      <c r="E31" s="1176">
        <f>'FC-4_PASIVO'!E32</f>
        <v>-2202473.58</v>
      </c>
      <c r="F31" s="439"/>
      <c r="G31" s="439"/>
      <c r="H31" s="439"/>
      <c r="I31" s="439">
        <v>2202473.58</v>
      </c>
      <c r="J31" s="439"/>
      <c r="K31" s="439">
        <v>-2019110.02</v>
      </c>
      <c r="L31" s="1176">
        <f t="shared" si="4"/>
        <v>-2019110.02</v>
      </c>
      <c r="M31" s="1539"/>
      <c r="N31" s="1540"/>
      <c r="O31" s="1540"/>
      <c r="P31" s="1541"/>
      <c r="Q31" s="711"/>
      <c r="S31" s="396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9"/>
    </row>
    <row r="32" spans="2:32" ht="27" customHeight="1">
      <c r="B32" s="709"/>
      <c r="C32" s="1174" t="s">
        <v>265</v>
      </c>
      <c r="D32" s="1175" t="s">
        <v>266</v>
      </c>
      <c r="E32" s="1176">
        <f>'FC-4_PASIVO'!E33</f>
        <v>0</v>
      </c>
      <c r="F32" s="439"/>
      <c r="G32" s="439"/>
      <c r="H32" s="439"/>
      <c r="I32" s="439"/>
      <c r="J32" s="439"/>
      <c r="K32" s="439"/>
      <c r="L32" s="1176">
        <f t="shared" si="4"/>
        <v>0</v>
      </c>
      <c r="M32" s="1539"/>
      <c r="N32" s="1540"/>
      <c r="O32" s="1540"/>
      <c r="P32" s="1541"/>
      <c r="Q32" s="711"/>
      <c r="S32" s="396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9"/>
    </row>
    <row r="33" spans="2:32" ht="27" customHeight="1">
      <c r="B33" s="709"/>
      <c r="C33" s="1174" t="s">
        <v>267</v>
      </c>
      <c r="D33" s="1175" t="s">
        <v>268</v>
      </c>
      <c r="E33" s="1176">
        <f>'FC-4_PASIVO'!E34</f>
        <v>0</v>
      </c>
      <c r="F33" s="439"/>
      <c r="G33" s="439"/>
      <c r="H33" s="439"/>
      <c r="I33" s="439"/>
      <c r="J33" s="439"/>
      <c r="K33" s="439"/>
      <c r="L33" s="1176">
        <f t="shared" si="4"/>
        <v>0</v>
      </c>
      <c r="M33" s="1539"/>
      <c r="N33" s="1540"/>
      <c r="O33" s="1540"/>
      <c r="P33" s="1541"/>
      <c r="Q33" s="711"/>
      <c r="S33" s="396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9"/>
    </row>
    <row r="34" spans="2:32" ht="27" customHeight="1">
      <c r="B34" s="709"/>
      <c r="C34" s="1183"/>
      <c r="D34" s="710"/>
      <c r="E34" s="1184"/>
      <c r="F34" s="1184"/>
      <c r="G34" s="1184"/>
      <c r="H34" s="1184"/>
      <c r="I34" s="1184"/>
      <c r="J34" s="1184"/>
      <c r="K34" s="1184"/>
      <c r="L34" s="1184"/>
      <c r="M34" s="1184"/>
      <c r="N34" s="1184"/>
      <c r="O34" s="1184"/>
      <c r="P34" s="1185"/>
      <c r="Q34" s="711"/>
      <c r="S34" s="396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9"/>
    </row>
    <row r="35" spans="2:32" ht="27" customHeight="1">
      <c r="B35" s="709"/>
      <c r="C35" s="1551">
        <f>ejercicio</f>
        <v>2021</v>
      </c>
      <c r="D35" s="1553" t="s">
        <v>914</v>
      </c>
      <c r="E35" s="1161" t="str">
        <f>+L13</f>
        <v>Saldo final 31-12</v>
      </c>
      <c r="F35" s="1161" t="s">
        <v>907</v>
      </c>
      <c r="G35" s="1161" t="s">
        <v>908</v>
      </c>
      <c r="H35" s="1161" t="s">
        <v>907</v>
      </c>
      <c r="I35" s="1162" t="s">
        <v>911</v>
      </c>
      <c r="J35" s="1162" t="s">
        <v>912</v>
      </c>
      <c r="K35" s="1205" t="s">
        <v>934</v>
      </c>
      <c r="L35" s="1161" t="s">
        <v>913</v>
      </c>
      <c r="M35" s="1530"/>
      <c r="N35" s="1531"/>
      <c r="O35" s="1531"/>
      <c r="P35" s="1532"/>
      <c r="Q35" s="711"/>
      <c r="S35" s="396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9"/>
    </row>
    <row r="36" spans="2:32" ht="27" customHeight="1">
      <c r="B36" s="709"/>
      <c r="C36" s="1552"/>
      <c r="D36" s="1554"/>
      <c r="E36" s="1163">
        <f>+L14</f>
        <v>2020</v>
      </c>
      <c r="F36" s="1164" t="s">
        <v>251</v>
      </c>
      <c r="G36" s="1164" t="s">
        <v>251</v>
      </c>
      <c r="H36" s="1164" t="s">
        <v>910</v>
      </c>
      <c r="I36" s="1165" t="s">
        <v>909</v>
      </c>
      <c r="J36" s="1166" t="s">
        <v>916</v>
      </c>
      <c r="K36" s="1165" t="s">
        <v>935</v>
      </c>
      <c r="L36" s="1163">
        <f>ejercicio</f>
        <v>2021</v>
      </c>
      <c r="M36" s="1527" t="s">
        <v>936</v>
      </c>
      <c r="N36" s="1528"/>
      <c r="O36" s="1528"/>
      <c r="P36" s="1529"/>
      <c r="Q36" s="711"/>
      <c r="S36" s="396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9"/>
    </row>
    <row r="37" spans="2:32" ht="27" customHeight="1">
      <c r="B37" s="709"/>
      <c r="C37" s="1167"/>
      <c r="D37" s="1168"/>
      <c r="E37" s="1169"/>
      <c r="F37" s="1169"/>
      <c r="G37" s="1169"/>
      <c r="H37" s="1169"/>
      <c r="I37" s="1169"/>
      <c r="J37" s="1169"/>
      <c r="K37" s="1169"/>
      <c r="L37" s="1169"/>
      <c r="M37" s="1533"/>
      <c r="N37" s="1534"/>
      <c r="O37" s="1534"/>
      <c r="P37" s="1535"/>
      <c r="Q37" s="711"/>
      <c r="S37" s="396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9"/>
    </row>
    <row r="38" spans="2:32" ht="27" customHeight="1">
      <c r="B38" s="709"/>
      <c r="C38" s="1171" t="s">
        <v>129</v>
      </c>
      <c r="D38" s="1172" t="s">
        <v>250</v>
      </c>
      <c r="E38" s="1173">
        <f t="shared" ref="E38:L38" si="5">+E39+E42+E43+E48+E49+E52+E53+E54+E55</f>
        <v>915917.16999999993</v>
      </c>
      <c r="F38" s="1173">
        <f t="shared" si="5"/>
        <v>0</v>
      </c>
      <c r="G38" s="1173">
        <f t="shared" si="5"/>
        <v>0</v>
      </c>
      <c r="H38" s="1173">
        <f t="shared" si="5"/>
        <v>2019110.02</v>
      </c>
      <c r="I38" s="1173">
        <f t="shared" si="5"/>
        <v>0</v>
      </c>
      <c r="J38" s="1173">
        <f t="shared" si="5"/>
        <v>0</v>
      </c>
      <c r="K38" s="1173">
        <f t="shared" si="5"/>
        <v>-2019110.02</v>
      </c>
      <c r="L38" s="1173">
        <f t="shared" si="5"/>
        <v>915917.16999999993</v>
      </c>
      <c r="M38" s="1536"/>
      <c r="N38" s="1537"/>
      <c r="O38" s="1537"/>
      <c r="P38" s="1538"/>
      <c r="Q38" s="711"/>
      <c r="S38" s="396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9"/>
    </row>
    <row r="39" spans="2:32" ht="27" customHeight="1">
      <c r="B39" s="709"/>
      <c r="C39" s="1174" t="s">
        <v>182</v>
      </c>
      <c r="D39" s="1175" t="s">
        <v>251</v>
      </c>
      <c r="E39" s="1176">
        <f t="shared" ref="E39:L39" si="6">SUM(E40:E41)</f>
        <v>691163.8</v>
      </c>
      <c r="F39" s="1176">
        <f t="shared" si="6"/>
        <v>0</v>
      </c>
      <c r="G39" s="1176">
        <f t="shared" si="6"/>
        <v>0</v>
      </c>
      <c r="H39" s="1176">
        <f t="shared" si="6"/>
        <v>0</v>
      </c>
      <c r="I39" s="1176">
        <f t="shared" si="6"/>
        <v>0</v>
      </c>
      <c r="J39" s="1176">
        <f t="shared" si="6"/>
        <v>0</v>
      </c>
      <c r="K39" s="1176">
        <f t="shared" si="6"/>
        <v>0</v>
      </c>
      <c r="L39" s="1176">
        <f t="shared" si="6"/>
        <v>691163.8</v>
      </c>
      <c r="M39" s="1539"/>
      <c r="N39" s="1540"/>
      <c r="O39" s="1540"/>
      <c r="P39" s="1541"/>
      <c r="Q39" s="711"/>
      <c r="S39" s="396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9"/>
    </row>
    <row r="40" spans="2:32" ht="27" customHeight="1">
      <c r="B40" s="709"/>
      <c r="C40" s="1177" t="s">
        <v>81</v>
      </c>
      <c r="D40" s="1178" t="s">
        <v>252</v>
      </c>
      <c r="E40" s="1179">
        <f>+L18</f>
        <v>691163.8</v>
      </c>
      <c r="F40" s="437"/>
      <c r="G40" s="437"/>
      <c r="H40" s="437"/>
      <c r="I40" s="437"/>
      <c r="J40" s="437"/>
      <c r="K40" s="437"/>
      <c r="L40" s="1179">
        <f>SUM(E40:K40)</f>
        <v>691163.8</v>
      </c>
      <c r="M40" s="1542"/>
      <c r="N40" s="1543"/>
      <c r="O40" s="1543"/>
      <c r="P40" s="1544"/>
      <c r="Q40" s="711"/>
      <c r="S40" s="396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9"/>
    </row>
    <row r="41" spans="2:32" ht="27" customHeight="1">
      <c r="B41" s="709"/>
      <c r="C41" s="1180" t="s">
        <v>88</v>
      </c>
      <c r="D41" s="1181" t="s">
        <v>253</v>
      </c>
      <c r="E41" s="1182">
        <f>+L19</f>
        <v>0</v>
      </c>
      <c r="F41" s="438"/>
      <c r="G41" s="438"/>
      <c r="H41" s="438"/>
      <c r="I41" s="438"/>
      <c r="J41" s="438"/>
      <c r="K41" s="438"/>
      <c r="L41" s="1182">
        <f>SUM(E41:K41)</f>
        <v>0</v>
      </c>
      <c r="M41" s="1545"/>
      <c r="N41" s="1546"/>
      <c r="O41" s="1546"/>
      <c r="P41" s="1547"/>
      <c r="Q41" s="711"/>
      <c r="S41" s="396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9"/>
    </row>
    <row r="42" spans="2:32" ht="27" customHeight="1">
      <c r="B42" s="709"/>
      <c r="C42" s="1174" t="s">
        <v>192</v>
      </c>
      <c r="D42" s="1175" t="s">
        <v>254</v>
      </c>
      <c r="E42" s="1176">
        <f>+L20</f>
        <v>0</v>
      </c>
      <c r="F42" s="439"/>
      <c r="G42" s="439"/>
      <c r="H42" s="439"/>
      <c r="I42" s="439"/>
      <c r="J42" s="439"/>
      <c r="K42" s="439"/>
      <c r="L42" s="1176">
        <f>SUM(E42:K42)</f>
        <v>0</v>
      </c>
      <c r="M42" s="1548"/>
      <c r="N42" s="1549"/>
      <c r="O42" s="1549"/>
      <c r="P42" s="1550"/>
      <c r="Q42" s="711"/>
      <c r="S42" s="396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9"/>
    </row>
    <row r="43" spans="2:32" ht="27" customHeight="1">
      <c r="B43" s="709"/>
      <c r="C43" s="1174" t="s">
        <v>197</v>
      </c>
      <c r="D43" s="1175" t="s">
        <v>255</v>
      </c>
      <c r="E43" s="1176">
        <f t="shared" ref="E43:L43" si="7">SUM(E44:E47)</f>
        <v>224753.37</v>
      </c>
      <c r="F43" s="1176">
        <f t="shared" si="7"/>
        <v>0</v>
      </c>
      <c r="G43" s="1176">
        <f t="shared" si="7"/>
        <v>0</v>
      </c>
      <c r="H43" s="1176">
        <f t="shared" si="7"/>
        <v>0</v>
      </c>
      <c r="I43" s="1176">
        <f t="shared" si="7"/>
        <v>0</v>
      </c>
      <c r="J43" s="1176">
        <f t="shared" si="7"/>
        <v>0</v>
      </c>
      <c r="K43" s="1176">
        <f t="shared" si="7"/>
        <v>0</v>
      </c>
      <c r="L43" s="1176">
        <f t="shared" si="7"/>
        <v>224753.37</v>
      </c>
      <c r="M43" s="1539"/>
      <c r="N43" s="1540"/>
      <c r="O43" s="1540"/>
      <c r="P43" s="1541"/>
      <c r="Q43" s="711"/>
      <c r="S43" s="396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9"/>
    </row>
    <row r="44" spans="2:32" ht="27" customHeight="1">
      <c r="B44" s="709"/>
      <c r="C44" s="1177" t="s">
        <v>81</v>
      </c>
      <c r="D44" s="1178" t="s">
        <v>256</v>
      </c>
      <c r="E44" s="1179">
        <f>+L22</f>
        <v>61201.17</v>
      </c>
      <c r="F44" s="437"/>
      <c r="G44" s="437"/>
      <c r="H44" s="437"/>
      <c r="I44" s="437"/>
      <c r="J44" s="437"/>
      <c r="K44" s="437"/>
      <c r="L44" s="1179">
        <f>SUM(E44:K44)</f>
        <v>61201.17</v>
      </c>
      <c r="M44" s="1542"/>
      <c r="N44" s="1543"/>
      <c r="O44" s="1543"/>
      <c r="P44" s="1544"/>
      <c r="Q44" s="711"/>
      <c r="S44" s="396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9"/>
    </row>
    <row r="45" spans="2:32" ht="27" customHeight="1">
      <c r="B45" s="709"/>
      <c r="C45" s="1180" t="s">
        <v>88</v>
      </c>
      <c r="D45" s="1181" t="s">
        <v>257</v>
      </c>
      <c r="E45" s="1182">
        <f>+L23</f>
        <v>163552.20000000001</v>
      </c>
      <c r="F45" s="438"/>
      <c r="G45" s="438"/>
      <c r="H45" s="438"/>
      <c r="I45" s="438"/>
      <c r="J45" s="438"/>
      <c r="K45" s="438"/>
      <c r="L45" s="1182">
        <f>SUM(E45:K45)</f>
        <v>163552.20000000001</v>
      </c>
      <c r="M45" s="1545"/>
      <c r="N45" s="1546"/>
      <c r="O45" s="1546"/>
      <c r="P45" s="1547"/>
      <c r="Q45" s="711"/>
      <c r="S45" s="396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9"/>
    </row>
    <row r="46" spans="2:32" ht="27" customHeight="1">
      <c r="B46" s="709"/>
      <c r="C46" s="1180" t="s">
        <v>90</v>
      </c>
      <c r="D46" s="1181" t="s">
        <v>258</v>
      </c>
      <c r="E46" s="1182">
        <f>+L24</f>
        <v>0</v>
      </c>
      <c r="F46" s="438"/>
      <c r="G46" s="438"/>
      <c r="H46" s="438"/>
      <c r="I46" s="438"/>
      <c r="J46" s="438"/>
      <c r="K46" s="438"/>
      <c r="L46" s="1182">
        <f>SUM(E46:K46)</f>
        <v>0</v>
      </c>
      <c r="M46" s="1545"/>
      <c r="N46" s="1546"/>
      <c r="O46" s="1546"/>
      <c r="P46" s="1547"/>
      <c r="Q46" s="711"/>
      <c r="S46" s="396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9"/>
    </row>
    <row r="47" spans="2:32" ht="27" customHeight="1">
      <c r="B47" s="709"/>
      <c r="C47" s="1180" t="s">
        <v>92</v>
      </c>
      <c r="D47" s="1181" t="s">
        <v>313</v>
      </c>
      <c r="E47" s="1182">
        <f>+L25</f>
        <v>0</v>
      </c>
      <c r="F47" s="438"/>
      <c r="G47" s="438"/>
      <c r="H47" s="438"/>
      <c r="I47" s="438"/>
      <c r="J47" s="438"/>
      <c r="K47" s="438"/>
      <c r="L47" s="1182">
        <f>SUM(E47:K47)</f>
        <v>0</v>
      </c>
      <c r="M47" s="1545"/>
      <c r="N47" s="1546"/>
      <c r="O47" s="1546"/>
      <c r="P47" s="1547"/>
      <c r="Q47" s="711"/>
      <c r="S47" s="396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9"/>
    </row>
    <row r="48" spans="2:32" ht="27" customHeight="1">
      <c r="B48" s="709"/>
      <c r="C48" s="1174" t="s">
        <v>201</v>
      </c>
      <c r="D48" s="1175" t="s">
        <v>259</v>
      </c>
      <c r="E48" s="1176">
        <f>+L26</f>
        <v>0</v>
      </c>
      <c r="F48" s="439"/>
      <c r="G48" s="439"/>
      <c r="H48" s="439"/>
      <c r="I48" s="439"/>
      <c r="J48" s="439"/>
      <c r="K48" s="439"/>
      <c r="L48" s="1176">
        <f>SUM(E48:K48)</f>
        <v>0</v>
      </c>
      <c r="M48" s="1548"/>
      <c r="N48" s="1549"/>
      <c r="O48" s="1549"/>
      <c r="P48" s="1550"/>
      <c r="Q48" s="711"/>
      <c r="S48" s="396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9"/>
    </row>
    <row r="49" spans="2:32" ht="27" customHeight="1">
      <c r="B49" s="709"/>
      <c r="C49" s="1174" t="s">
        <v>209</v>
      </c>
      <c r="D49" s="1175" t="s">
        <v>260</v>
      </c>
      <c r="E49" s="1176">
        <f t="shared" ref="E49:L49" si="8">SUM(E50:E51)</f>
        <v>0</v>
      </c>
      <c r="F49" s="1176">
        <f t="shared" si="8"/>
        <v>0</v>
      </c>
      <c r="G49" s="1176">
        <f t="shared" si="8"/>
        <v>0</v>
      </c>
      <c r="H49" s="1176">
        <f t="shared" si="8"/>
        <v>0</v>
      </c>
      <c r="I49" s="1176">
        <f t="shared" si="8"/>
        <v>0</v>
      </c>
      <c r="J49" s="1176">
        <f t="shared" si="8"/>
        <v>0</v>
      </c>
      <c r="K49" s="1176">
        <f t="shared" si="8"/>
        <v>0</v>
      </c>
      <c r="L49" s="1176">
        <f t="shared" si="8"/>
        <v>0</v>
      </c>
      <c r="M49" s="1539"/>
      <c r="N49" s="1540"/>
      <c r="O49" s="1540"/>
      <c r="P49" s="1541"/>
      <c r="Q49" s="711"/>
      <c r="S49" s="396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9"/>
    </row>
    <row r="50" spans="2:32" ht="27" customHeight="1">
      <c r="B50" s="709"/>
      <c r="C50" s="1177" t="s">
        <v>81</v>
      </c>
      <c r="D50" s="1178" t="s">
        <v>261</v>
      </c>
      <c r="E50" s="1179">
        <f t="shared" ref="E50:E55" si="9">+L28</f>
        <v>0</v>
      </c>
      <c r="F50" s="437"/>
      <c r="G50" s="437"/>
      <c r="H50" s="437"/>
      <c r="I50" s="437"/>
      <c r="J50" s="437"/>
      <c r="K50" s="437"/>
      <c r="L50" s="1179">
        <f t="shared" ref="L50:L55" si="10">SUM(E50:K50)</f>
        <v>0</v>
      </c>
      <c r="M50" s="1542"/>
      <c r="N50" s="1543"/>
      <c r="O50" s="1543"/>
      <c r="P50" s="1544"/>
      <c r="Q50" s="711"/>
      <c r="S50" s="396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9"/>
    </row>
    <row r="51" spans="2:32" ht="27" customHeight="1">
      <c r="B51" s="709"/>
      <c r="C51" s="1180" t="s">
        <v>88</v>
      </c>
      <c r="D51" s="1181" t="s">
        <v>262</v>
      </c>
      <c r="E51" s="1182">
        <f t="shared" si="9"/>
        <v>0</v>
      </c>
      <c r="F51" s="438"/>
      <c r="G51" s="438"/>
      <c r="H51" s="438"/>
      <c r="I51" s="438"/>
      <c r="J51" s="438"/>
      <c r="K51" s="438"/>
      <c r="L51" s="1182">
        <f t="shared" si="10"/>
        <v>0</v>
      </c>
      <c r="M51" s="1545"/>
      <c r="N51" s="1546"/>
      <c r="O51" s="1546"/>
      <c r="P51" s="1547"/>
      <c r="Q51" s="711"/>
      <c r="S51" s="396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9"/>
    </row>
    <row r="52" spans="2:32" ht="27" customHeight="1">
      <c r="B52" s="709"/>
      <c r="C52" s="1174" t="s">
        <v>212</v>
      </c>
      <c r="D52" s="1175" t="s">
        <v>263</v>
      </c>
      <c r="E52" s="1176">
        <f t="shared" si="9"/>
        <v>2019110.02</v>
      </c>
      <c r="F52" s="439"/>
      <c r="G52" s="439"/>
      <c r="H52" s="439">
        <v>2019110.02</v>
      </c>
      <c r="I52" s="439">
        <v>-2019110.02</v>
      </c>
      <c r="J52" s="439"/>
      <c r="K52" s="439"/>
      <c r="L52" s="1176">
        <f t="shared" si="10"/>
        <v>2019110.02</v>
      </c>
      <c r="M52" s="1548"/>
      <c r="N52" s="1549"/>
      <c r="O52" s="1549"/>
      <c r="P52" s="1550"/>
      <c r="Q52" s="711"/>
      <c r="S52" s="396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9"/>
    </row>
    <row r="53" spans="2:32" ht="27" customHeight="1">
      <c r="B53" s="709"/>
      <c r="C53" s="1174" t="s">
        <v>214</v>
      </c>
      <c r="D53" s="1175" t="s">
        <v>264</v>
      </c>
      <c r="E53" s="1176">
        <f t="shared" si="9"/>
        <v>-2019110.02</v>
      </c>
      <c r="F53" s="439"/>
      <c r="G53" s="439"/>
      <c r="H53" s="439"/>
      <c r="I53" s="439">
        <v>2019110.02</v>
      </c>
      <c r="J53" s="439"/>
      <c r="K53" s="439">
        <v>-2019110.02</v>
      </c>
      <c r="L53" s="1176">
        <f t="shared" si="10"/>
        <v>-2019110.02</v>
      </c>
      <c r="M53" s="1539"/>
      <c r="N53" s="1540"/>
      <c r="O53" s="1540"/>
      <c r="P53" s="1541"/>
      <c r="Q53" s="711"/>
      <c r="S53" s="396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9"/>
    </row>
    <row r="54" spans="2:32" ht="27" customHeight="1">
      <c r="B54" s="709"/>
      <c r="C54" s="1174" t="s">
        <v>265</v>
      </c>
      <c r="D54" s="1175" t="s">
        <v>266</v>
      </c>
      <c r="E54" s="1176">
        <f t="shared" si="9"/>
        <v>0</v>
      </c>
      <c r="F54" s="439"/>
      <c r="G54" s="439"/>
      <c r="H54" s="439"/>
      <c r="I54" s="439"/>
      <c r="J54" s="439"/>
      <c r="K54" s="439"/>
      <c r="L54" s="1176">
        <f t="shared" si="10"/>
        <v>0</v>
      </c>
      <c r="M54" s="1539"/>
      <c r="N54" s="1540"/>
      <c r="O54" s="1540"/>
      <c r="P54" s="1541"/>
      <c r="Q54" s="711"/>
      <c r="S54" s="396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9"/>
    </row>
    <row r="55" spans="2:32" ht="27" customHeight="1">
      <c r="B55" s="709"/>
      <c r="C55" s="1174" t="s">
        <v>267</v>
      </c>
      <c r="D55" s="1175" t="s">
        <v>268</v>
      </c>
      <c r="E55" s="1176">
        <f t="shared" si="9"/>
        <v>0</v>
      </c>
      <c r="F55" s="439"/>
      <c r="G55" s="439"/>
      <c r="H55" s="439"/>
      <c r="I55" s="439"/>
      <c r="J55" s="439"/>
      <c r="K55" s="439"/>
      <c r="L55" s="1176">
        <f t="shared" si="10"/>
        <v>0</v>
      </c>
      <c r="M55" s="1539"/>
      <c r="N55" s="1540"/>
      <c r="O55" s="1540"/>
      <c r="P55" s="1541"/>
      <c r="Q55" s="711"/>
      <c r="S55" s="396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9"/>
    </row>
    <row r="56" spans="2:32" ht="27" customHeight="1">
      <c r="B56" s="709"/>
      <c r="C56" s="1183"/>
      <c r="D56" s="710"/>
      <c r="E56" s="1184"/>
      <c r="F56" s="1184"/>
      <c r="G56" s="1184"/>
      <c r="H56" s="1184"/>
      <c r="I56" s="1184"/>
      <c r="J56" s="1184"/>
      <c r="K56" s="1184"/>
      <c r="L56" s="1184"/>
      <c r="M56" s="1184"/>
      <c r="N56" s="1184"/>
      <c r="O56" s="1184"/>
      <c r="P56" s="1185"/>
      <c r="Q56" s="711"/>
      <c r="S56" s="396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9"/>
    </row>
    <row r="57" spans="2:32" ht="23.1" customHeight="1" thickBot="1">
      <c r="B57" s="709"/>
      <c r="C57" s="1186"/>
      <c r="D57" s="1187"/>
      <c r="E57" s="1188"/>
      <c r="F57" s="1188"/>
      <c r="G57" s="1188"/>
      <c r="H57" s="1188"/>
      <c r="I57" s="1188"/>
      <c r="J57" s="1188"/>
      <c r="K57" s="1188"/>
      <c r="L57" s="1188"/>
      <c r="M57" s="1188"/>
      <c r="N57" s="1188"/>
      <c r="O57" s="1188"/>
      <c r="P57" s="1189"/>
      <c r="Q57" s="711"/>
      <c r="S57" s="409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1"/>
    </row>
    <row r="58" spans="2:32" ht="23.1" customHeight="1" thickBot="1">
      <c r="B58" s="739"/>
      <c r="C58" s="1498"/>
      <c r="D58" s="1498"/>
      <c r="E58" s="1498"/>
      <c r="F58" s="1498"/>
      <c r="G58" s="1498"/>
      <c r="H58" s="1498"/>
      <c r="I58" s="1498"/>
      <c r="J58" s="1498"/>
      <c r="K58" s="1498"/>
      <c r="L58" s="1498"/>
      <c r="M58" s="1498"/>
      <c r="N58" s="1498"/>
      <c r="O58" s="1498"/>
      <c r="P58" s="740"/>
      <c r="Q58" s="741"/>
      <c r="S58" s="412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F58" s="414"/>
    </row>
    <row r="59" spans="2:32" ht="23.1" customHeight="1"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R59" s="704" t="s">
        <v>885</v>
      </c>
    </row>
    <row r="60" spans="2:32" ht="12.75">
      <c r="C60" s="742" t="s">
        <v>70</v>
      </c>
      <c r="D60" s="705"/>
      <c r="E60" s="705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683" t="s">
        <v>915</v>
      </c>
    </row>
    <row r="61" spans="2:32" ht="12.75">
      <c r="C61" s="743" t="s">
        <v>71</v>
      </c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</row>
    <row r="62" spans="2:32" ht="12.75">
      <c r="C62" s="743" t="s">
        <v>72</v>
      </c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</row>
    <row r="63" spans="2:32" ht="12.75">
      <c r="C63" s="743" t="s">
        <v>73</v>
      </c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</row>
    <row r="64" spans="2:32" ht="12.75">
      <c r="C64" s="743" t="s">
        <v>74</v>
      </c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</row>
    <row r="65" spans="3:16" ht="23.1" customHeight="1">
      <c r="C65" s="705"/>
      <c r="D65" s="705"/>
      <c r="E65" s="1190"/>
      <c r="F65" s="1190"/>
      <c r="G65" s="1190"/>
      <c r="H65" s="1190"/>
      <c r="I65" s="1190"/>
      <c r="J65" s="1190"/>
      <c r="K65" s="1190"/>
      <c r="L65" s="1190"/>
      <c r="M65" s="1190"/>
      <c r="N65" s="1190"/>
      <c r="O65" s="1190" t="str">
        <f>IF(_CHECK_LIST!K15&gt;0,"Revisa","")</f>
        <v/>
      </c>
      <c r="P65" s="1190" t="str">
        <f>IF(_CHECK_LIST!L15&gt;0,"Revisa","")</f>
        <v/>
      </c>
    </row>
    <row r="66" spans="3:16" ht="23.1" customHeight="1">
      <c r="C66" s="705"/>
      <c r="D66" s="705"/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</row>
    <row r="67" spans="3:16" ht="23.1" customHeight="1"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</row>
    <row r="68" spans="3:16" ht="12.75"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5"/>
      <c r="N68" s="705"/>
      <c r="O68" s="705"/>
      <c r="P68" s="705"/>
    </row>
    <row r="69" spans="3:16" ht="12.75">
      <c r="O69" s="705"/>
      <c r="P69" s="705"/>
    </row>
  </sheetData>
  <sheetProtection algorithmName="SHA-512" hashValue="wBmJdluysaxH39JRe0P+sjoFem9mxTgsecVZoBzmkVMkyXahm5Nx+m3e8oCX/hi9ZNvZHze8dDewsqw5eelhhw==" saltValue="mQWbgg/Beid6pPlS2Bay3w==" spinCount="100000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671DA0BFC7C648ABECC1FF189449F0" ma:contentTypeVersion="12" ma:contentTypeDescription="Crear nuevo documento." ma:contentTypeScope="" ma:versionID="7beb4c5d2c9240e817df27f2b5a02f87">
  <xsd:schema xmlns:xsd="http://www.w3.org/2001/XMLSchema" xmlns:xs="http://www.w3.org/2001/XMLSchema" xmlns:p="http://schemas.microsoft.com/office/2006/metadata/properties" xmlns:ns2="cb4efc23-cbea-429c-95ad-f66483036327" xmlns:ns3="d0d1bc6d-f048-4684-a59c-1a2d756c80be" targetNamespace="http://schemas.microsoft.com/office/2006/metadata/properties" ma:root="true" ma:fieldsID="afb5ad23552bcb31afc653fc75a33441" ns2:_="" ns3:_="">
    <xsd:import namespace="cb4efc23-cbea-429c-95ad-f66483036327"/>
    <xsd:import namespace="d0d1bc6d-f048-4684-a59c-1a2d756c8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efc23-cbea-429c-95ad-f66483036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1bc6d-f048-4684-a59c-1a2d756c8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4ACB8A-8DE3-49E9-BC0F-A3402FBE9C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C9D518-AC7A-4219-BB59-F1A5EE636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4efc23-cbea-429c-95ad-f66483036327"/>
    <ds:schemaRef ds:uri="d0d1bc6d-f048-4684-a59c-1a2d756c8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10B546-1629-4899-A319-76E9467FB8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FC-15_ENCARGOS</vt:lpstr>
      <vt:lpstr>_FC-16_ESTAB_PRESUP</vt:lpstr>
      <vt:lpstr>FC-16_1_ INF_ADIC_ESTAB_PRESUP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'FC-15_ENCARGOS'!Área_de_impresión</vt:lpstr>
      <vt:lpstr>'FC-16_1_ INF_ADIC_ESTAB_PRESUP'!Área_de_impresión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Manuela Rabaneda Cárdenas</cp:lastModifiedBy>
  <cp:lastPrinted>2020-10-14T10:31:34Z</cp:lastPrinted>
  <dcterms:created xsi:type="dcterms:W3CDTF">2017-09-18T15:25:23Z</dcterms:created>
  <dcterms:modified xsi:type="dcterms:W3CDTF">2022-06-09T08:39:26Z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0x010100F3671DA0BFC7C648ABECC1FF189449F0</vt:lpwstr>
  </property>
</Properties>
</file>