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ismodetenerife.sharepoint.com/sites/JURIDICO/Documentos compartidos/General/1.- Comisionado Transparencia/Evaluación TDT 2021/8 Económico-Financiero/"/>
    </mc:Choice>
  </mc:AlternateContent>
  <xr:revisionPtr revIDLastSave="11" documentId="13_ncr:1_{7B571785-9EC6-4055-A594-348AF06C05BC}" xr6:coauthVersionLast="47" xr6:coauthVersionMax="47" xr10:uidLastSave="{46E1EE9A-A4D5-4DC2-BC49-95A5FADAF80A}"/>
  <bookViews>
    <workbookView xWindow="-120" yWindow="-120" windowWidth="29040" windowHeight="15720" xr2:uid="{96CDE773-7768-4D94-B158-78DDC43D4370}"/>
  </bookViews>
  <sheets>
    <sheet name="Presupuesto 2021" sheetId="1" r:id="rId1"/>
  </sheets>
  <externalReferences>
    <externalReference r:id="rId2"/>
  </externalReferences>
  <definedNames>
    <definedName name="_xlnm.Print_Area" localSheetId="0">'Presupuesto 2021'!$A$1:$M$161</definedName>
    <definedName name="_xlnm.Print_Titles" localSheetId="0">'Presupuesto 2021'!$1:$9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7" i="1" l="1"/>
  <c r="M157" i="1" s="1"/>
  <c r="K155" i="1"/>
  <c r="J155" i="1"/>
  <c r="I155" i="1"/>
  <c r="H155" i="1"/>
  <c r="G155" i="1"/>
  <c r="F155" i="1"/>
  <c r="E155" i="1"/>
  <c r="D155" i="1"/>
  <c r="C155" i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K146" i="1"/>
  <c r="J146" i="1"/>
  <c r="I146" i="1"/>
  <c r="H146" i="1"/>
  <c r="G146" i="1"/>
  <c r="E146" i="1"/>
  <c r="D146" i="1"/>
  <c r="D159" i="1" s="1"/>
  <c r="C146" i="1"/>
  <c r="L145" i="1"/>
  <c r="M145" i="1" s="1"/>
  <c r="M144" i="1"/>
  <c r="L144" i="1"/>
  <c r="L143" i="1"/>
  <c r="M143" i="1" s="1"/>
  <c r="L142" i="1"/>
  <c r="L141" i="1"/>
  <c r="M141" i="1" s="1"/>
  <c r="C141" i="1"/>
  <c r="M140" i="1"/>
  <c r="L140" i="1"/>
  <c r="L139" i="1"/>
  <c r="M139" i="1" s="1"/>
  <c r="C139" i="1"/>
  <c r="C159" i="1" s="1"/>
  <c r="L138" i="1"/>
  <c r="M138" i="1" s="1"/>
  <c r="L137" i="1"/>
  <c r="M137" i="1" s="1"/>
  <c r="L136" i="1"/>
  <c r="M136" i="1" s="1"/>
  <c r="L135" i="1"/>
  <c r="M135" i="1" s="1"/>
  <c r="L134" i="1"/>
  <c r="M134" i="1" s="1"/>
  <c r="F134" i="1"/>
  <c r="F146" i="1" s="1"/>
  <c r="J131" i="1"/>
  <c r="K129" i="1"/>
  <c r="L129" i="1" s="1"/>
  <c r="M129" i="1" s="1"/>
  <c r="J129" i="1"/>
  <c r="G129" i="1"/>
  <c r="F129" i="1"/>
  <c r="F131" i="1" s="1"/>
  <c r="D129" i="1"/>
  <c r="L128" i="1"/>
  <c r="M128" i="1" s="1"/>
  <c r="H128" i="1"/>
  <c r="L127" i="1"/>
  <c r="M127" i="1" s="1"/>
  <c r="C127" i="1"/>
  <c r="M126" i="1"/>
  <c r="L126" i="1"/>
  <c r="I126" i="1"/>
  <c r="I129" i="1" s="1"/>
  <c r="I131" i="1" s="1"/>
  <c r="H126" i="1"/>
  <c r="E126" i="1"/>
  <c r="E129" i="1" s="1"/>
  <c r="E131" i="1" s="1"/>
  <c r="C126" i="1"/>
  <c r="C129" i="1" s="1"/>
  <c r="L124" i="1"/>
  <c r="M124" i="1" s="1"/>
  <c r="L123" i="1"/>
  <c r="M120" i="1"/>
  <c r="L120" i="1"/>
  <c r="K120" i="1"/>
  <c r="J120" i="1"/>
  <c r="I120" i="1"/>
  <c r="H120" i="1"/>
  <c r="G120" i="1"/>
  <c r="F120" i="1"/>
  <c r="E120" i="1"/>
  <c r="D120" i="1"/>
  <c r="C120" i="1"/>
  <c r="M111" i="1"/>
  <c r="L111" i="1"/>
  <c r="K111" i="1"/>
  <c r="J111" i="1"/>
  <c r="I111" i="1"/>
  <c r="H111" i="1"/>
  <c r="G111" i="1"/>
  <c r="F111" i="1"/>
  <c r="E111" i="1"/>
  <c r="D111" i="1"/>
  <c r="C111" i="1"/>
  <c r="K107" i="1"/>
  <c r="J107" i="1"/>
  <c r="I107" i="1"/>
  <c r="H107" i="1"/>
  <c r="G107" i="1"/>
  <c r="F107" i="1"/>
  <c r="E107" i="1"/>
  <c r="D107" i="1"/>
  <c r="C107" i="1"/>
  <c r="L106" i="1"/>
  <c r="L105" i="1"/>
  <c r="M105" i="1" s="1"/>
  <c r="K102" i="1"/>
  <c r="J102" i="1"/>
  <c r="I102" i="1"/>
  <c r="H102" i="1"/>
  <c r="G102" i="1"/>
  <c r="F102" i="1"/>
  <c r="E102" i="1"/>
  <c r="D102" i="1"/>
  <c r="C102" i="1"/>
  <c r="L101" i="1"/>
  <c r="M101" i="1" s="1"/>
  <c r="M100" i="1"/>
  <c r="L100" i="1"/>
  <c r="L102" i="1" s="1"/>
  <c r="K97" i="1"/>
  <c r="I97" i="1"/>
  <c r="H97" i="1"/>
  <c r="G97" i="1"/>
  <c r="F97" i="1"/>
  <c r="E97" i="1"/>
  <c r="D97" i="1"/>
  <c r="C97" i="1"/>
  <c r="J96" i="1"/>
  <c r="J97" i="1" s="1"/>
  <c r="L95" i="1"/>
  <c r="M95" i="1" s="1"/>
  <c r="L94" i="1"/>
  <c r="M94" i="1" s="1"/>
  <c r="M93" i="1"/>
  <c r="L93" i="1"/>
  <c r="L92" i="1"/>
  <c r="M92" i="1" s="1"/>
  <c r="L91" i="1"/>
  <c r="M91" i="1" s="1"/>
  <c r="L90" i="1"/>
  <c r="M90" i="1" s="1"/>
  <c r="M89" i="1"/>
  <c r="L89" i="1"/>
  <c r="L88" i="1"/>
  <c r="M88" i="1" s="1"/>
  <c r="L87" i="1"/>
  <c r="M87" i="1" s="1"/>
  <c r="K84" i="1"/>
  <c r="J84" i="1"/>
  <c r="I84" i="1"/>
  <c r="H84" i="1"/>
  <c r="G84" i="1"/>
  <c r="F84" i="1"/>
  <c r="E84" i="1"/>
  <c r="D84" i="1"/>
  <c r="C84" i="1"/>
  <c r="L83" i="1"/>
  <c r="L82" i="1"/>
  <c r="L81" i="1"/>
  <c r="L80" i="1"/>
  <c r="L79" i="1"/>
  <c r="L78" i="1"/>
  <c r="K75" i="1"/>
  <c r="J75" i="1"/>
  <c r="I75" i="1"/>
  <c r="H75" i="1"/>
  <c r="G75" i="1"/>
  <c r="F75" i="1"/>
  <c r="E75" i="1"/>
  <c r="D75" i="1"/>
  <c r="C75" i="1"/>
  <c r="M74" i="1"/>
  <c r="L74" i="1"/>
  <c r="L73" i="1"/>
  <c r="M73" i="1" s="1"/>
  <c r="L72" i="1"/>
  <c r="M72" i="1" s="1"/>
  <c r="L71" i="1"/>
  <c r="M71" i="1" s="1"/>
  <c r="M70" i="1"/>
  <c r="L70" i="1"/>
  <c r="L69" i="1"/>
  <c r="M69" i="1" s="1"/>
  <c r="L68" i="1"/>
  <c r="M68" i="1" s="1"/>
  <c r="L67" i="1"/>
  <c r="M67" i="1" s="1"/>
  <c r="M66" i="1"/>
  <c r="L66" i="1"/>
  <c r="L65" i="1"/>
  <c r="M65" i="1" s="1"/>
  <c r="L64" i="1"/>
  <c r="M64" i="1" s="1"/>
  <c r="L63" i="1"/>
  <c r="M63" i="1" s="1"/>
  <c r="L62" i="1"/>
  <c r="L61" i="1"/>
  <c r="K56" i="1"/>
  <c r="J56" i="1"/>
  <c r="I56" i="1"/>
  <c r="H56" i="1"/>
  <c r="L56" i="1" s="1"/>
  <c r="G56" i="1"/>
  <c r="F56" i="1"/>
  <c r="E56" i="1"/>
  <c r="D56" i="1"/>
  <c r="C56" i="1"/>
  <c r="L55" i="1"/>
  <c r="L54" i="1"/>
  <c r="L53" i="1"/>
  <c r="L52" i="1"/>
  <c r="K50" i="1"/>
  <c r="J50" i="1"/>
  <c r="L50" i="1" s="1"/>
  <c r="M50" i="1" s="1"/>
  <c r="I50" i="1"/>
  <c r="H50" i="1"/>
  <c r="G50" i="1"/>
  <c r="F50" i="1"/>
  <c r="D50" i="1"/>
  <c r="C50" i="1"/>
  <c r="L49" i="1"/>
  <c r="M49" i="1" s="1"/>
  <c r="K47" i="1"/>
  <c r="J47" i="1"/>
  <c r="I47" i="1"/>
  <c r="H47" i="1"/>
  <c r="G47" i="1"/>
  <c r="F47" i="1"/>
  <c r="D47" i="1"/>
  <c r="C47" i="1"/>
  <c r="L46" i="1"/>
  <c r="K44" i="1"/>
  <c r="L44" i="1" s="1"/>
  <c r="M44" i="1" s="1"/>
  <c r="J44" i="1"/>
  <c r="I44" i="1"/>
  <c r="H44" i="1"/>
  <c r="G44" i="1"/>
  <c r="F44" i="1"/>
  <c r="E44" i="1"/>
  <c r="D44" i="1"/>
  <c r="C44" i="1"/>
  <c r="L43" i="1"/>
  <c r="M43" i="1" s="1"/>
  <c r="L42" i="1"/>
  <c r="M42" i="1" s="1"/>
  <c r="M41" i="1"/>
  <c r="L41" i="1"/>
  <c r="K39" i="1"/>
  <c r="K58" i="1" s="1"/>
  <c r="H39" i="1"/>
  <c r="G39" i="1"/>
  <c r="F39" i="1"/>
  <c r="E39" i="1"/>
  <c r="E58" i="1" s="1"/>
  <c r="D39" i="1"/>
  <c r="D58" i="1" s="1"/>
  <c r="L38" i="1"/>
  <c r="M38" i="1" s="1"/>
  <c r="C38" i="1"/>
  <c r="C39" i="1" s="1"/>
  <c r="C58" i="1" s="1"/>
  <c r="L37" i="1"/>
  <c r="L36" i="1"/>
  <c r="M36" i="1" s="1"/>
  <c r="L35" i="1"/>
  <c r="M35" i="1" s="1"/>
  <c r="L34" i="1"/>
  <c r="M34" i="1" s="1"/>
  <c r="L33" i="1"/>
  <c r="M33" i="1" s="1"/>
  <c r="L32" i="1"/>
  <c r="M32" i="1" s="1"/>
  <c r="M31" i="1"/>
  <c r="L31" i="1"/>
  <c r="L30" i="1"/>
  <c r="M30" i="1" s="1"/>
  <c r="L29" i="1"/>
  <c r="M29" i="1" s="1"/>
  <c r="J28" i="1"/>
  <c r="I28" i="1"/>
  <c r="I39" i="1" s="1"/>
  <c r="I58" i="1" s="1"/>
  <c r="G28" i="1"/>
  <c r="L27" i="1"/>
  <c r="M27" i="1" s="1"/>
  <c r="L26" i="1"/>
  <c r="L25" i="1"/>
  <c r="E25" i="1"/>
  <c r="K22" i="1"/>
  <c r="J22" i="1"/>
  <c r="I22" i="1"/>
  <c r="H22" i="1"/>
  <c r="D22" i="1"/>
  <c r="L21" i="1"/>
  <c r="M21" i="1" s="1"/>
  <c r="L20" i="1"/>
  <c r="M20" i="1" s="1"/>
  <c r="C20" i="1"/>
  <c r="M19" i="1"/>
  <c r="L19" i="1"/>
  <c r="L18" i="1"/>
  <c r="M18" i="1" s="1"/>
  <c r="L17" i="1"/>
  <c r="M17" i="1" s="1"/>
  <c r="G17" i="1"/>
  <c r="G22" i="1" s="1"/>
  <c r="E17" i="1"/>
  <c r="E22" i="1" s="1"/>
  <c r="L16" i="1"/>
  <c r="M16" i="1" s="1"/>
  <c r="C16" i="1"/>
  <c r="M15" i="1"/>
  <c r="L15" i="1"/>
  <c r="L14" i="1"/>
  <c r="M14" i="1" s="1"/>
  <c r="C14" i="1"/>
  <c r="L13" i="1"/>
  <c r="M13" i="1" s="1"/>
  <c r="F13" i="1"/>
  <c r="F22" i="1" s="1"/>
  <c r="M12" i="1"/>
  <c r="L12" i="1"/>
  <c r="F161" i="1" l="1"/>
  <c r="L22" i="1"/>
  <c r="M22" i="1" s="1"/>
  <c r="F58" i="1"/>
  <c r="F109" i="1" s="1"/>
  <c r="F112" i="1" s="1"/>
  <c r="F114" i="1" s="1"/>
  <c r="L75" i="1"/>
  <c r="H129" i="1"/>
  <c r="H131" i="1" s="1"/>
  <c r="F159" i="1"/>
  <c r="G58" i="1"/>
  <c r="E47" i="1"/>
  <c r="E50" i="1" s="1"/>
  <c r="L131" i="1"/>
  <c r="M131" i="1" s="1"/>
  <c r="L146" i="1"/>
  <c r="M146" i="1" s="1"/>
  <c r="I109" i="1"/>
  <c r="I112" i="1" s="1"/>
  <c r="H58" i="1"/>
  <c r="H109" i="1" s="1"/>
  <c r="H112" i="1" s="1"/>
  <c r="M123" i="1"/>
  <c r="E161" i="1"/>
  <c r="D109" i="1"/>
  <c r="D112" i="1" s="1"/>
  <c r="M75" i="1"/>
  <c r="L155" i="1"/>
  <c r="M155" i="1" s="1"/>
  <c r="F113" i="1"/>
  <c r="E109" i="1"/>
  <c r="E112" i="1" s="1"/>
  <c r="J39" i="1"/>
  <c r="J58" i="1" s="1"/>
  <c r="J109" i="1" s="1"/>
  <c r="J112" i="1" s="1"/>
  <c r="L28" i="1"/>
  <c r="M28" i="1" s="1"/>
  <c r="L84" i="1"/>
  <c r="M84" i="1" s="1"/>
  <c r="M78" i="1"/>
  <c r="L107" i="1"/>
  <c r="M107" i="1" s="1"/>
  <c r="M106" i="1"/>
  <c r="D131" i="1"/>
  <c r="G109" i="1"/>
  <c r="G112" i="1" s="1"/>
  <c r="L47" i="1"/>
  <c r="M47" i="1" s="1"/>
  <c r="M46" i="1"/>
  <c r="C131" i="1"/>
  <c r="C22" i="1"/>
  <c r="C109" i="1" s="1"/>
  <c r="C112" i="1" s="1"/>
  <c r="I159" i="1"/>
  <c r="K109" i="1"/>
  <c r="K112" i="1" s="1"/>
  <c r="L96" i="1"/>
  <c r="M96" i="1" s="1"/>
  <c r="G131" i="1"/>
  <c r="K131" i="1"/>
  <c r="M149" i="1"/>
  <c r="L39" i="1" l="1"/>
  <c r="M39" i="1" s="1"/>
  <c r="J159" i="1"/>
  <c r="E113" i="1"/>
  <c r="K159" i="1"/>
  <c r="K161" i="1" s="1"/>
  <c r="L112" i="1"/>
  <c r="M112" i="1" s="1"/>
  <c r="I161" i="1"/>
  <c r="D161" i="1"/>
  <c r="L97" i="1"/>
  <c r="M97" i="1" s="1"/>
  <c r="H159" i="1"/>
  <c r="C161" i="1"/>
  <c r="G159" i="1"/>
  <c r="G161" i="1" s="1"/>
  <c r="E114" i="1"/>
  <c r="L58" i="1" l="1"/>
  <c r="G113" i="1"/>
  <c r="G114" i="1" s="1"/>
  <c r="D113" i="1"/>
  <c r="D114" i="1" s="1"/>
  <c r="L159" i="1"/>
  <c r="M159" i="1" s="1"/>
  <c r="M58" i="1"/>
  <c r="L109" i="1"/>
  <c r="M109" i="1" s="1"/>
  <c r="K113" i="1"/>
  <c r="I113" i="1"/>
  <c r="I114" i="1" s="1"/>
  <c r="J161" i="1"/>
  <c r="L161" i="1" s="1"/>
  <c r="C113" i="1"/>
  <c r="C114" i="1" s="1"/>
  <c r="H161" i="1"/>
  <c r="H113" i="1" l="1"/>
  <c r="H114" i="1" s="1"/>
  <c r="L114" i="1" s="1"/>
  <c r="M114" i="1" s="1"/>
  <c r="K114" i="1"/>
  <c r="M161" i="1"/>
  <c r="J113" i="1"/>
  <c r="J114" i="1" s="1"/>
  <c r="L113" i="1" l="1"/>
  <c r="M113" i="1" s="1"/>
</calcChain>
</file>

<file path=xl/sharedStrings.xml><?xml version="1.0" encoding="utf-8"?>
<sst xmlns="http://schemas.openxmlformats.org/spreadsheetml/2006/main" count="141" uniqueCount="138">
  <si>
    <t>PRESUPUESTO DE INGRESOS</t>
  </si>
  <si>
    <t>CONCEPTO</t>
  </si>
  <si>
    <t>PPTO INICIAL 2012</t>
  </si>
  <si>
    <t>PPTO INICIAL 2014</t>
  </si>
  <si>
    <t>PPTO INICIAL 2015</t>
  </si>
  <si>
    <t>PPTO INICIAL 2016</t>
  </si>
  <si>
    <t>PPTO INICIAL 2017</t>
  </si>
  <si>
    <t>PPTO INICIAL 2018</t>
  </si>
  <si>
    <t>PPTO INICIAL 2019</t>
  </si>
  <si>
    <t>PPTO INICIAL 2020</t>
  </si>
  <si>
    <t>PPTO INICIAL 2021</t>
  </si>
  <si>
    <t>VARIACIÓN €</t>
  </si>
  <si>
    <t>VAR. %</t>
  </si>
  <si>
    <t>INGRESOS DE ASOCIADOS</t>
  </si>
  <si>
    <t>Cuotas de asociados nivel general</t>
  </si>
  <si>
    <t>Tenerife Select</t>
  </si>
  <si>
    <t>Tenerife Convention Bureau</t>
  </si>
  <si>
    <t>Ingresos Tenerife Golf</t>
  </si>
  <si>
    <t>Tenerife Film Comission</t>
  </si>
  <si>
    <t>Tenerife No Limits</t>
  </si>
  <si>
    <t>Tenerife Investment Point</t>
  </si>
  <si>
    <t>Espacio publicitario en material</t>
  </si>
  <si>
    <t>Empresarios ferias y promociones</t>
  </si>
  <si>
    <t>Turismo Médico</t>
  </si>
  <si>
    <t>TOTAL INGRESOS ASOCIADOS</t>
  </si>
  <si>
    <t>INGRESOS CABILDO</t>
  </si>
  <si>
    <t>Aportación para Promoción</t>
  </si>
  <si>
    <t>Acciones con Líneas Aéreas</t>
  </si>
  <si>
    <t>Convenio con Ayuntamientos</t>
  </si>
  <si>
    <t>Acciones promocionales y de Conectividad</t>
  </si>
  <si>
    <t>Aportación Específica Cadena Dial</t>
  </si>
  <si>
    <t>Aportación Grandes Eventos</t>
  </si>
  <si>
    <t>Campaña YoSoyTenerife/Sensibilización a Población Local</t>
  </si>
  <si>
    <t>Aportación Específica Patrocinio Clubes Deportivos</t>
  </si>
  <si>
    <t>Desarrollo Plan Insular de Gastronomía</t>
  </si>
  <si>
    <t>Patrocinio Premios Quirino</t>
  </si>
  <si>
    <t>Informe Empleo Turístico</t>
  </si>
  <si>
    <t>Aportación Innovación</t>
  </si>
  <si>
    <t>Plurianual Reactivación actividad turística</t>
  </si>
  <si>
    <t>Acciones Promoción Zonas Turísticas</t>
  </si>
  <si>
    <t>Aportación Promoción / Destino Turístico</t>
  </si>
  <si>
    <t>Encomienda Promoción Económica</t>
  </si>
  <si>
    <t>Proyecto Tenerife Licita</t>
  </si>
  <si>
    <t>Aportación Específica Why Tenerife</t>
  </si>
  <si>
    <t>Aportación Promoción Económica</t>
  </si>
  <si>
    <t>Aportación Promoción Equipos Deportivos</t>
  </si>
  <si>
    <t>Aportación Patrocinio Equipos</t>
  </si>
  <si>
    <t>Aportación Gastos de Funcionamiento</t>
  </si>
  <si>
    <t>Aportación Genérica</t>
  </si>
  <si>
    <t>Aportación Específica Festival Starmus</t>
  </si>
  <si>
    <t>Encomienda Convenio Regeneración del Destino</t>
  </si>
  <si>
    <t>Aportación Estudio Viabilidad Antiguo Hotel Taoro</t>
  </si>
  <si>
    <t>Encomienda Oficina Tenerife Sur</t>
  </si>
  <si>
    <t>Aportación Acciones Sin  Continuidad</t>
  </si>
  <si>
    <t>TOTAL INGRESOS CABILDO</t>
  </si>
  <si>
    <t>INGRESOS DE AYUNTAMIENTOS</t>
  </si>
  <si>
    <t>Fondo común de Promoción ( Ayto La Orotava)</t>
  </si>
  <si>
    <t>Fondo común de Promoción ( Ayto Los Realejos)</t>
  </si>
  <si>
    <t>Fondo común de Promoción (Arona)</t>
  </si>
  <si>
    <t>Fondo común de Promoción (Adeje)</t>
  </si>
  <si>
    <t>Fondo común de Promoción (Ayto San Miguel)</t>
  </si>
  <si>
    <t>Fondo común de Promoción (Ayto Santiago del Teide)</t>
  </si>
  <si>
    <t>Fondo común de Promoción (Ayto Granadilla)</t>
  </si>
  <si>
    <t>Fondo común de Promoción (Ayto Guía de Isora)</t>
  </si>
  <si>
    <t>Fondo común de Promoción (Ayto Arico)</t>
  </si>
  <si>
    <t>Fondo común de Promoción (Ayto. La Laguna)</t>
  </si>
  <si>
    <t>Fondo común de Promoción - Ayuntamiento del Puerto de la Cruz</t>
  </si>
  <si>
    <t>Fondo común de Promoción (Scdad. Desarrollo S/C)</t>
  </si>
  <si>
    <t>Acuerdo con Ayuntamientos Acciones Ad hoc</t>
  </si>
  <si>
    <t>Acciones con Consorcio Puerto de la Cruz (Ayto P/C)</t>
  </si>
  <si>
    <t>TOTAL INGRESOS DE AYUNTAMIENTOS</t>
  </si>
  <si>
    <t>INGRESOS DEL GOBIERNO DE CANARIAS</t>
  </si>
  <si>
    <t>Gobierno de Canarias - Promoción Exterior</t>
  </si>
  <si>
    <t>Promotur - Acciones promocionales</t>
  </si>
  <si>
    <t>Patrocinio IGTM 2015</t>
  </si>
  <si>
    <t>Subvención Promoción Económica</t>
  </si>
  <si>
    <t>Promotur - Stand ITB y WTM</t>
  </si>
  <si>
    <t>Proexca Promoción Económica</t>
  </si>
  <si>
    <t>TOTAL INGRESOS DEL GOBIERNO DE CANARIAS</t>
  </si>
  <si>
    <t>OTROS INGRESOS PÚBLICOS</t>
  </si>
  <si>
    <t>Patrocinio IGTM Turespaña</t>
  </si>
  <si>
    <t>Proyecto UE Sky-Route</t>
  </si>
  <si>
    <t>Proyecto Drago</t>
  </si>
  <si>
    <t>Proyecto Connectafrica</t>
  </si>
  <si>
    <t>Proyecto Caminmac</t>
  </si>
  <si>
    <t>Red CIDE</t>
  </si>
  <si>
    <t>Proyecto Innovatur</t>
  </si>
  <si>
    <t>Proyecto Atlantic Netsky</t>
  </si>
  <si>
    <t>Proyecto Diomedea</t>
  </si>
  <si>
    <t>Consorcio Urbanístico Puerto de la Cruz</t>
  </si>
  <si>
    <t>TOTAL OTROS INGRESOS PÚBLICOS</t>
  </si>
  <si>
    <t>INGRESOS PRIVADOS</t>
  </si>
  <si>
    <t>Convenio Teleférico</t>
  </si>
  <si>
    <t>Asesoramiento Promoción Económica</t>
  </si>
  <si>
    <t>TOTAL INGRESOS PRIVADOS</t>
  </si>
  <si>
    <t>OTROS INGRESOS</t>
  </si>
  <si>
    <t>Ingresos financieros</t>
  </si>
  <si>
    <t>Subvenciones de capital</t>
  </si>
  <si>
    <t>TOTAL OTROS INGRESOS</t>
  </si>
  <si>
    <t>TOTAL INGRESOS</t>
  </si>
  <si>
    <t>PREVISIÓN DE RESULTADOS</t>
  </si>
  <si>
    <t>Presupuesto de ingresos</t>
  </si>
  <si>
    <t>Presupuesto de gastos</t>
  </si>
  <si>
    <t>Resultado</t>
  </si>
  <si>
    <t>PRESUPUESTO MARCO PARA 2021 DE SPET, TURISMO DE TENERIFE, S.A.</t>
  </si>
  <si>
    <t>PRESUPUESTO DE GASTOS</t>
  </si>
  <si>
    <t>GASTOS DE FUNCIONAMIENTO</t>
  </si>
  <si>
    <t>TOTAL GASTOS GENERALES</t>
  </si>
  <si>
    <t>DOTACIÓN AMORTIZACIÓN</t>
  </si>
  <si>
    <t>Sueldos y salarios</t>
  </si>
  <si>
    <t>Seguridad Social</t>
  </si>
  <si>
    <t>Productividad y tareas específicas</t>
  </si>
  <si>
    <t>TOTAL GASTOS DE PERSONAL</t>
  </si>
  <si>
    <t>FINANCIACIÓN AFECTA</t>
  </si>
  <si>
    <t>Why Tenerife</t>
  </si>
  <si>
    <t>Campaña Siento x Ciento</t>
  </si>
  <si>
    <t>Festival Starmus</t>
  </si>
  <si>
    <t>Patrocinio Cadena Dial</t>
  </si>
  <si>
    <t>Patrocinio Clubes Deportivos</t>
  </si>
  <si>
    <t>Dinamización de Zonas Turísticas</t>
  </si>
  <si>
    <t>Asociados</t>
  </si>
  <si>
    <t>Mejora</t>
  </si>
  <si>
    <t>Comercialización en Destino</t>
  </si>
  <si>
    <t>Estudio Hotel Taoro</t>
  </si>
  <si>
    <t>Innovación</t>
  </si>
  <si>
    <t>Creación y Dinamización</t>
  </si>
  <si>
    <t>TOTAL FINANCIACIÓN AFECTA</t>
  </si>
  <si>
    <t>FINANCIACIÓN NO AFECTA</t>
  </si>
  <si>
    <t>Conectividad</t>
  </si>
  <si>
    <t>Promoción</t>
  </si>
  <si>
    <t>Marcas (Select, TCB, Film, Golf y No Limits)</t>
  </si>
  <si>
    <t>Patrimonio Histórico</t>
  </si>
  <si>
    <t>Acciones comprometidas</t>
  </si>
  <si>
    <t>Acciones varias</t>
  </si>
  <si>
    <t>TOTAL FINANCIACIÓN NO AFECTA</t>
  </si>
  <si>
    <t>GASTOS PROMOCIÓN EQUIPOS DEPORTIVOS</t>
  </si>
  <si>
    <t>GASTOS DE EJECUCIÓN DE ACCIONES</t>
  </si>
  <si>
    <t>TOTAL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</si>
</sst>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color indexed="53"/>
      <name val="Frutiger LT 45 Light"/>
      <family val="2"/>
    </font>
    <font>
      <sz val="12"/>
      <color indexed="12"/>
      <name val="Frutiger LT 45 Light"/>
      <family val="2"/>
    </font>
    <font>
      <u/>
      <sz val="14"/>
      <color indexed="53"/>
      <name val="Frutiger LT 45 Light"/>
      <family val="2"/>
    </font>
    <font>
      <sz val="12"/>
      <color indexed="53"/>
      <name val="Frutiger LT 45 Light"/>
      <family val="2"/>
    </font>
    <font>
      <sz val="12"/>
      <color indexed="18"/>
      <name val="Frutiger LT 45 Light"/>
      <family val="2"/>
    </font>
    <font>
      <sz val="12"/>
      <color rgb="FF002060"/>
      <name val="Frutiger LT 45 Light"/>
      <family val="2"/>
    </font>
    <font>
      <sz val="12"/>
      <color rgb="FFFF0000"/>
      <name val="Frutiger LT 45 Light"/>
      <family val="2"/>
    </font>
    <font>
      <sz val="12"/>
      <color theme="3" tint="-0.249977111117893"/>
      <name val="Frutiger LT 45 Light"/>
      <family val="2"/>
    </font>
    <font>
      <u/>
      <sz val="12"/>
      <color indexed="9"/>
      <name val="Frutiger LT 45 Light"/>
      <family val="2"/>
    </font>
    <font>
      <sz val="12"/>
      <color indexed="9"/>
      <name val="Frutiger LT 45 Light"/>
      <family val="2"/>
    </font>
    <font>
      <u/>
      <sz val="12"/>
      <color indexed="12"/>
      <name val="Frutiger LT 45 Light"/>
      <family val="2"/>
    </font>
    <font>
      <sz val="12"/>
      <color theme="0"/>
      <name val="Frutiger LT 45 Light"/>
      <family val="2"/>
    </font>
    <font>
      <sz val="12"/>
      <color theme="2" tint="-0.749992370372631"/>
      <name val="Frutiger LT 45 Light"/>
      <family val="2"/>
    </font>
    <font>
      <sz val="12"/>
      <color indexed="52"/>
      <name val="Frutiger LT 45 Light"/>
      <family val="2"/>
    </font>
    <font>
      <sz val="12"/>
      <color rgb="FF0000FF"/>
      <name val="Frutiger LT 45 Light"/>
      <family val="2"/>
    </font>
    <font>
      <sz val="12"/>
      <color indexed="17"/>
      <name val="Frutiger LT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 style="hair">
        <color indexed="12"/>
      </bottom>
      <diagonal/>
    </border>
    <border>
      <left style="hair">
        <color indexed="12"/>
      </left>
      <right style="thick">
        <color indexed="12"/>
      </right>
      <top style="thick">
        <color indexed="12"/>
      </top>
      <bottom style="hair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hair">
        <color indexed="12"/>
      </bottom>
      <diagonal/>
    </border>
    <border>
      <left style="thick">
        <color indexed="12"/>
      </left>
      <right style="hair">
        <color indexed="12"/>
      </right>
      <top style="thick">
        <color indexed="12"/>
      </top>
      <bottom style="hair">
        <color indexed="12"/>
      </bottom>
      <diagonal/>
    </border>
    <border>
      <left style="hair">
        <color indexed="12"/>
      </left>
      <right/>
      <top/>
      <bottom/>
      <diagonal/>
    </border>
    <border>
      <left style="thick">
        <color indexed="12"/>
      </left>
      <right/>
      <top/>
      <bottom/>
      <diagonal/>
    </border>
    <border>
      <left style="hair">
        <color indexed="12"/>
      </left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/>
      <bottom/>
      <diagonal/>
    </border>
    <border>
      <left style="thick">
        <color indexed="12"/>
      </left>
      <right style="hair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  <border>
      <left style="hair">
        <color indexed="12"/>
      </left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 style="hair">
        <color indexed="12"/>
      </right>
      <top style="thick">
        <color indexed="12"/>
      </top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hair">
        <color indexed="12"/>
      </left>
      <right/>
      <top style="thick">
        <color indexed="12"/>
      </top>
      <bottom/>
      <diagonal/>
    </border>
    <border>
      <left style="hair">
        <color indexed="12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 style="hair">
        <color indexed="12"/>
      </right>
      <top/>
      <bottom style="thick">
        <color indexed="12"/>
      </bottom>
      <diagonal/>
    </border>
    <border>
      <left style="hair">
        <color indexed="12"/>
      </left>
      <right/>
      <top/>
      <bottom style="thick">
        <color indexed="12"/>
      </bottom>
      <diagonal/>
    </border>
    <border>
      <left style="hair">
        <color indexed="12"/>
      </left>
      <right/>
      <top style="thick">
        <color indexed="12"/>
      </top>
      <bottom style="hair">
        <color indexed="12"/>
      </bottom>
      <diagonal/>
    </border>
    <border>
      <left/>
      <right style="thick">
        <color indexed="12"/>
      </right>
      <top style="thick">
        <color indexed="12"/>
      </top>
      <bottom style="hair">
        <color indexed="12"/>
      </bottom>
      <diagonal/>
    </border>
    <border>
      <left/>
      <right style="thick">
        <color indexed="12"/>
      </right>
      <top/>
      <bottom/>
      <diagonal/>
    </border>
    <border>
      <left/>
      <right style="hair">
        <color indexed="12"/>
      </right>
      <top/>
      <bottom/>
      <diagonal/>
    </border>
    <border>
      <left/>
      <right style="thick">
        <color indexed="12"/>
      </right>
      <top/>
      <bottom style="thick">
        <color indexed="1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9" fontId="3" fillId="0" borderId="0" xfId="0" applyNumberFormat="1" applyFont="1"/>
    <xf numFmtId="10" fontId="3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9" fontId="4" fillId="0" borderId="2" xfId="2" applyFont="1" applyBorder="1" applyAlignment="1">
      <alignment horizontal="center" vertical="center" wrapText="1"/>
    </xf>
    <xf numFmtId="10" fontId="4" fillId="0" borderId="5" xfId="2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9" fontId="4" fillId="0" borderId="7" xfId="2" applyFont="1" applyBorder="1" applyAlignment="1">
      <alignment horizontal="center" vertical="center" wrapText="1"/>
    </xf>
    <xf numFmtId="3" fontId="5" fillId="0" borderId="6" xfId="0" applyNumberFormat="1" applyFont="1" applyBorder="1"/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9" fontId="4" fillId="0" borderId="7" xfId="2" applyFont="1" applyBorder="1" applyAlignment="1">
      <alignment horizontal="center"/>
    </xf>
    <xf numFmtId="10" fontId="4" fillId="0" borderId="5" xfId="2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left"/>
    </xf>
    <xf numFmtId="4" fontId="3" fillId="0" borderId="7" xfId="2" applyNumberFormat="1" applyFont="1" applyBorder="1"/>
    <xf numFmtId="4" fontId="3" fillId="0" borderId="8" xfId="2" applyNumberFormat="1" applyFont="1" applyBorder="1"/>
    <xf numFmtId="4" fontId="3" fillId="0" borderId="9" xfId="2" applyNumberFormat="1" applyFont="1" applyBorder="1"/>
    <xf numFmtId="9" fontId="3" fillId="0" borderId="7" xfId="2" applyFont="1" applyBorder="1"/>
    <xf numFmtId="10" fontId="3" fillId="0" borderId="0" xfId="2" applyNumberFormat="1" applyFont="1"/>
    <xf numFmtId="3" fontId="6" fillId="0" borderId="6" xfId="0" applyNumberFormat="1" applyFont="1" applyBorder="1" applyAlignment="1">
      <alignment horizontal="right" indent="3"/>
    </xf>
    <xf numFmtId="4" fontId="6" fillId="0" borderId="7" xfId="2" applyNumberFormat="1" applyFont="1" applyBorder="1"/>
    <xf numFmtId="4" fontId="7" fillId="0" borderId="9" xfId="2" applyNumberFormat="1" applyFont="1" applyBorder="1"/>
    <xf numFmtId="9" fontId="7" fillId="0" borderId="7" xfId="2" applyFont="1" applyBorder="1"/>
    <xf numFmtId="10" fontId="6" fillId="0" borderId="0" xfId="2" applyNumberFormat="1" applyFont="1"/>
    <xf numFmtId="3" fontId="3" fillId="0" borderId="6" xfId="0" quotePrefix="1" applyNumberFormat="1" applyFont="1" applyBorder="1" applyAlignment="1">
      <alignment horizontal="left"/>
    </xf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9" fontId="3" fillId="0" borderId="7" xfId="0" applyNumberFormat="1" applyFont="1" applyBorder="1"/>
    <xf numFmtId="10" fontId="3" fillId="0" borderId="5" xfId="0" applyNumberFormat="1" applyFont="1" applyBorder="1"/>
    <xf numFmtId="9" fontId="4" fillId="0" borderId="7" xfId="0" applyNumberFormat="1" applyFont="1" applyBorder="1" applyAlignment="1">
      <alignment horizontal="right"/>
    </xf>
    <xf numFmtId="10" fontId="4" fillId="0" borderId="5" xfId="0" applyNumberFormat="1" applyFont="1" applyBorder="1" applyAlignment="1">
      <alignment horizontal="right"/>
    </xf>
    <xf numFmtId="4" fontId="3" fillId="0" borderId="7" xfId="2" applyNumberFormat="1" applyFont="1" applyBorder="1" applyAlignment="1">
      <alignment vertical="center"/>
    </xf>
    <xf numFmtId="4" fontId="3" fillId="0" borderId="8" xfId="2" applyNumberFormat="1" applyFont="1" applyBorder="1" applyAlignment="1">
      <alignment vertical="center"/>
    </xf>
    <xf numFmtId="4" fontId="3" fillId="0" borderId="0" xfId="2" applyNumberFormat="1" applyFont="1"/>
    <xf numFmtId="4" fontId="3" fillId="0" borderId="9" xfId="2" applyNumberFormat="1" applyFont="1" applyBorder="1" applyAlignment="1">
      <alignment vertical="center"/>
    </xf>
    <xf numFmtId="9" fontId="3" fillId="0" borderId="7" xfId="2" applyFont="1" applyBorder="1" applyAlignment="1">
      <alignment vertical="center"/>
    </xf>
    <xf numFmtId="10" fontId="3" fillId="0" borderId="0" xfId="2" applyNumberFormat="1" applyFont="1" applyAlignment="1">
      <alignment horizontal="right" vertical="center"/>
    </xf>
    <xf numFmtId="3" fontId="3" fillId="0" borderId="6" xfId="0" applyNumberFormat="1" applyFont="1" applyBorder="1"/>
    <xf numFmtId="10" fontId="8" fillId="0" borderId="0" xfId="2" applyNumberFormat="1" applyFont="1"/>
    <xf numFmtId="3" fontId="8" fillId="0" borderId="0" xfId="0" applyNumberFormat="1" applyFont="1"/>
    <xf numFmtId="3" fontId="9" fillId="0" borderId="6" xfId="0" applyNumberFormat="1" applyFont="1" applyBorder="1" applyAlignment="1">
      <alignment horizontal="right"/>
    </xf>
    <xf numFmtId="4" fontId="9" fillId="0" borderId="7" xfId="2" applyNumberFormat="1" applyFont="1" applyBorder="1"/>
    <xf numFmtId="4" fontId="9" fillId="0" borderId="8" xfId="2" applyNumberFormat="1" applyFont="1" applyBorder="1"/>
    <xf numFmtId="4" fontId="7" fillId="0" borderId="9" xfId="2" applyNumberFormat="1" applyFont="1" applyBorder="1" applyAlignment="1">
      <alignment vertical="center"/>
    </xf>
    <xf numFmtId="9" fontId="7" fillId="0" borderId="7" xfId="2" applyFont="1" applyBorder="1" applyAlignment="1">
      <alignment vertical="center"/>
    </xf>
    <xf numFmtId="10" fontId="9" fillId="0" borderId="0" xfId="2" applyNumberFormat="1" applyFont="1"/>
    <xf numFmtId="4" fontId="6" fillId="0" borderId="9" xfId="2" applyNumberFormat="1" applyFont="1" applyBorder="1"/>
    <xf numFmtId="9" fontId="6" fillId="0" borderId="7" xfId="2" applyFont="1" applyBorder="1"/>
    <xf numFmtId="4" fontId="6" fillId="0" borderId="8" xfId="2" applyNumberFormat="1" applyFont="1" applyBorder="1"/>
    <xf numFmtId="10" fontId="6" fillId="0" borderId="5" xfId="2" applyNumberFormat="1" applyFont="1" applyBorder="1"/>
    <xf numFmtId="3" fontId="3" fillId="0" borderId="0" xfId="0" applyNumberFormat="1" applyFont="1" applyAlignment="1">
      <alignment horizontal="center"/>
    </xf>
    <xf numFmtId="3" fontId="3" fillId="0" borderId="6" xfId="0" applyNumberFormat="1" applyFont="1" applyBorder="1" applyAlignment="1">
      <alignment horizontal="left" vertical="center"/>
    </xf>
    <xf numFmtId="3" fontId="8" fillId="0" borderId="7" xfId="2" applyNumberFormat="1" applyFont="1" applyBorder="1"/>
    <xf numFmtId="3" fontId="8" fillId="0" borderId="8" xfId="2" applyNumberFormat="1" applyFont="1" applyBorder="1"/>
    <xf numFmtId="3" fontId="8" fillId="0" borderId="9" xfId="2" applyNumberFormat="1" applyFont="1" applyBorder="1"/>
    <xf numFmtId="10" fontId="3" fillId="0" borderId="5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3" fontId="6" fillId="0" borderId="9" xfId="2" applyNumberFormat="1" applyFont="1" applyBorder="1"/>
    <xf numFmtId="3" fontId="3" fillId="0" borderId="7" xfId="2" applyNumberFormat="1" applyFont="1" applyBorder="1"/>
    <xf numFmtId="3" fontId="3" fillId="0" borderId="8" xfId="2" applyNumberFormat="1" applyFont="1" applyBorder="1"/>
    <xf numFmtId="3" fontId="3" fillId="0" borderId="9" xfId="2" applyNumberFormat="1" applyFont="1" applyBorder="1"/>
    <xf numFmtId="3" fontId="10" fillId="2" borderId="10" xfId="0" applyNumberFormat="1" applyFont="1" applyFill="1" applyBorder="1" applyAlignment="1">
      <alignment horizontal="right" indent="3"/>
    </xf>
    <xf numFmtId="4" fontId="11" fillId="2" borderId="11" xfId="0" quotePrefix="1" applyNumberFormat="1" applyFont="1" applyFill="1" applyBorder="1"/>
    <xf numFmtId="9" fontId="11" fillId="2" borderId="12" xfId="0" quotePrefix="1" applyNumberFormat="1" applyFont="1" applyFill="1" applyBorder="1"/>
    <xf numFmtId="3" fontId="3" fillId="0" borderId="9" xfId="0" applyNumberFormat="1" applyFont="1" applyBorder="1" applyAlignment="1">
      <alignment horizontal="left"/>
    </xf>
    <xf numFmtId="3" fontId="3" fillId="0" borderId="0" xfId="2" applyNumberFormat="1" applyFont="1"/>
    <xf numFmtId="3" fontId="3" fillId="0" borderId="5" xfId="2" applyNumberFormat="1" applyFont="1" applyBorder="1"/>
    <xf numFmtId="3" fontId="3" fillId="3" borderId="13" xfId="0" applyNumberFormat="1" applyFont="1" applyFill="1" applyBorder="1" applyAlignment="1">
      <alignment horizontal="left"/>
    </xf>
    <xf numFmtId="3" fontId="12" fillId="3" borderId="14" xfId="0" applyNumberFormat="1" applyFont="1" applyFill="1" applyBorder="1" applyAlignment="1">
      <alignment horizontal="right"/>
    </xf>
    <xf numFmtId="3" fontId="12" fillId="3" borderId="15" xfId="0" applyNumberFormat="1" applyFont="1" applyFill="1" applyBorder="1" applyAlignment="1">
      <alignment horizontal="right"/>
    </xf>
    <xf numFmtId="9" fontId="12" fillId="3" borderId="16" xfId="0" applyNumberFormat="1" applyFont="1" applyFill="1" applyBorder="1" applyAlignment="1">
      <alignment horizontal="center"/>
    </xf>
    <xf numFmtId="4" fontId="3" fillId="0" borderId="5" xfId="2" applyNumberFormat="1" applyFont="1" applyBorder="1"/>
    <xf numFmtId="3" fontId="3" fillId="0" borderId="17" xfId="0" applyNumberFormat="1" applyFont="1" applyBorder="1"/>
    <xf numFmtId="4" fontId="3" fillId="0" borderId="11" xfId="2" applyNumberFormat="1" applyFont="1" applyBorder="1"/>
    <xf numFmtId="4" fontId="3" fillId="0" borderId="18" xfId="2" applyNumberFormat="1" applyFont="1" applyBorder="1"/>
    <xf numFmtId="9" fontId="13" fillId="0" borderId="12" xfId="2" applyFont="1" applyBorder="1" applyAlignment="1">
      <alignment horizontal="right"/>
    </xf>
    <xf numFmtId="10" fontId="3" fillId="0" borderId="5" xfId="2" applyNumberFormat="1" applyFont="1" applyBorder="1" applyAlignment="1">
      <alignment horizontal="right"/>
    </xf>
    <xf numFmtId="3" fontId="14" fillId="0" borderId="0" xfId="0" applyNumberFormat="1" applyFont="1"/>
    <xf numFmtId="9" fontId="3" fillId="0" borderId="0" xfId="2" applyFont="1"/>
    <xf numFmtId="9" fontId="3" fillId="0" borderId="0" xfId="2" applyFont="1" applyAlignment="1">
      <alignment horizontal="center"/>
    </xf>
    <xf numFmtId="10" fontId="3" fillId="0" borderId="0" xfId="2" applyNumberFormat="1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" fontId="4" fillId="0" borderId="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6" fillId="0" borderId="5" xfId="2" applyNumberFormat="1" applyFont="1" applyBorder="1"/>
    <xf numFmtId="4" fontId="6" fillId="0" borderId="6" xfId="2" applyNumberFormat="1" applyFont="1" applyBorder="1"/>
    <xf numFmtId="4" fontId="6" fillId="0" borderId="21" xfId="2" applyNumberFormat="1" applyFont="1" applyBorder="1"/>
    <xf numFmtId="9" fontId="6" fillId="0" borderId="7" xfId="2" applyFont="1" applyBorder="1" applyAlignment="1">
      <alignment horizontal="right"/>
    </xf>
    <xf numFmtId="10" fontId="6" fillId="0" borderId="5" xfId="2" applyNumberFormat="1" applyFont="1" applyBorder="1" applyAlignment="1">
      <alignment horizontal="right"/>
    </xf>
    <xf numFmtId="4" fontId="3" fillId="0" borderId="5" xfId="2" applyNumberFormat="1" applyFont="1" applyBorder="1" applyAlignment="1">
      <alignment vertical="center"/>
    </xf>
    <xf numFmtId="4" fontId="3" fillId="0" borderId="6" xfId="2" applyNumberFormat="1" applyFont="1" applyBorder="1" applyAlignment="1">
      <alignment vertical="center"/>
    </xf>
    <xf numFmtId="4" fontId="3" fillId="0" borderId="21" xfId="2" applyNumberFormat="1" applyFont="1" applyBorder="1" applyAlignment="1">
      <alignment vertical="center"/>
    </xf>
    <xf numFmtId="43" fontId="3" fillId="0" borderId="0" xfId="1" applyFont="1" applyAlignment="1">
      <alignment horizontal="right" vertical="center"/>
    </xf>
    <xf numFmtId="9" fontId="6" fillId="0" borderId="5" xfId="2" applyFont="1" applyBorder="1" applyAlignment="1">
      <alignment horizontal="right"/>
    </xf>
    <xf numFmtId="3" fontId="6" fillId="0" borderId="6" xfId="0" applyNumberFormat="1" applyFont="1" applyBorder="1" applyAlignment="1">
      <alignment horizontal="right" indent="1"/>
    </xf>
    <xf numFmtId="3" fontId="3" fillId="0" borderId="6" xfId="2" applyNumberFormat="1" applyFont="1" applyBorder="1"/>
    <xf numFmtId="3" fontId="3" fillId="0" borderId="21" xfId="2" applyNumberFormat="1" applyFont="1" applyBorder="1"/>
    <xf numFmtId="9" fontId="3" fillId="0" borderId="7" xfId="2" applyFont="1" applyBorder="1" applyAlignment="1">
      <alignment horizontal="center"/>
    </xf>
    <xf numFmtId="10" fontId="3" fillId="0" borderId="5" xfId="2" applyNumberFormat="1" applyFont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4" fontId="3" fillId="4" borderId="6" xfId="0" applyNumberFormat="1" applyFont="1" applyFill="1" applyBorder="1"/>
    <xf numFmtId="4" fontId="3" fillId="4" borderId="6" xfId="0" quotePrefix="1" applyNumberFormat="1" applyFont="1" applyFill="1" applyBorder="1"/>
    <xf numFmtId="4" fontId="3" fillId="4" borderId="8" xfId="0" quotePrefix="1" applyNumberFormat="1" applyFont="1" applyFill="1" applyBorder="1"/>
    <xf numFmtId="4" fontId="3" fillId="4" borderId="21" xfId="0" quotePrefix="1" applyNumberFormat="1" applyFont="1" applyFill="1" applyBorder="1"/>
    <xf numFmtId="4" fontId="3" fillId="4" borderId="9" xfId="2" applyNumberFormat="1" applyFont="1" applyFill="1" applyBorder="1"/>
    <xf numFmtId="9" fontId="3" fillId="4" borderId="7" xfId="2" quotePrefix="1" applyFont="1" applyFill="1" applyBorder="1"/>
    <xf numFmtId="3" fontId="15" fillId="0" borderId="6" xfId="0" applyNumberFormat="1" applyFont="1" applyBorder="1"/>
    <xf numFmtId="3" fontId="3" fillId="0" borderId="5" xfId="0" quotePrefix="1" applyNumberFormat="1" applyFont="1" applyBorder="1"/>
    <xf numFmtId="3" fontId="3" fillId="0" borderId="6" xfId="0" quotePrefix="1" applyNumberFormat="1" applyFont="1" applyBorder="1"/>
    <xf numFmtId="3" fontId="3" fillId="0" borderId="8" xfId="0" quotePrefix="1" applyNumberFormat="1" applyFont="1" applyBorder="1"/>
    <xf numFmtId="3" fontId="3" fillId="0" borderId="21" xfId="0" quotePrefix="1" applyNumberFormat="1" applyFont="1" applyBorder="1"/>
    <xf numFmtId="3" fontId="3" fillId="0" borderId="9" xfId="0" quotePrefix="1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16" fillId="0" borderId="6" xfId="0" applyNumberFormat="1" applyFont="1" applyBorder="1"/>
    <xf numFmtId="4" fontId="16" fillId="0" borderId="5" xfId="2" applyNumberFormat="1" applyFont="1" applyBorder="1" applyAlignment="1">
      <alignment vertical="center"/>
    </xf>
    <xf numFmtId="4" fontId="16" fillId="0" borderId="6" xfId="2" applyNumberFormat="1" applyFont="1" applyBorder="1" applyAlignment="1">
      <alignment vertical="center"/>
    </xf>
    <xf numFmtId="4" fontId="16" fillId="0" borderId="8" xfId="2" applyNumberFormat="1" applyFont="1" applyBorder="1" applyAlignment="1">
      <alignment vertical="center"/>
    </xf>
    <xf numFmtId="4" fontId="16" fillId="0" borderId="21" xfId="2" applyNumberFormat="1" applyFont="1" applyBorder="1" applyAlignment="1">
      <alignment vertical="center"/>
    </xf>
    <xf numFmtId="4" fontId="16" fillId="0" borderId="9" xfId="2" applyNumberFormat="1" applyFont="1" applyBorder="1" applyAlignment="1">
      <alignment vertical="center"/>
    </xf>
    <xf numFmtId="9" fontId="16" fillId="0" borderId="7" xfId="2" applyFont="1" applyBorder="1"/>
    <xf numFmtId="10" fontId="16" fillId="0" borderId="5" xfId="2" applyNumberFormat="1" applyFont="1" applyBorder="1"/>
    <xf numFmtId="3" fontId="16" fillId="0" borderId="6" xfId="0" applyNumberFormat="1" applyFont="1" applyBorder="1" applyAlignment="1">
      <alignment wrapText="1"/>
    </xf>
    <xf numFmtId="10" fontId="16" fillId="0" borderId="5" xfId="2" applyNumberFormat="1" applyFont="1" applyBorder="1" applyAlignment="1">
      <alignment horizontal="right"/>
    </xf>
    <xf numFmtId="3" fontId="16" fillId="0" borderId="0" xfId="0" applyNumberFormat="1" applyFont="1"/>
    <xf numFmtId="3" fontId="16" fillId="0" borderId="22" xfId="0" applyNumberFormat="1" applyFont="1" applyBorder="1" applyAlignment="1">
      <alignment wrapText="1"/>
    </xf>
    <xf numFmtId="9" fontId="16" fillId="0" borderId="7" xfId="2" applyFont="1" applyBorder="1" applyAlignment="1">
      <alignment vertical="center"/>
    </xf>
    <xf numFmtId="4" fontId="8" fillId="0" borderId="21" xfId="2" applyNumberFormat="1" applyFont="1" applyBorder="1" applyAlignment="1">
      <alignment vertical="center"/>
    </xf>
    <xf numFmtId="4" fontId="3" fillId="4" borderId="5" xfId="2" applyNumberFormat="1" applyFont="1" applyFill="1" applyBorder="1"/>
    <xf numFmtId="4" fontId="3" fillId="4" borderId="6" xfId="2" applyNumberFormat="1" applyFont="1" applyFill="1" applyBorder="1"/>
    <xf numFmtId="4" fontId="3" fillId="4" borderId="8" xfId="2" applyNumberFormat="1" applyFont="1" applyFill="1" applyBorder="1"/>
    <xf numFmtId="4" fontId="3" fillId="4" borderId="21" xfId="2" applyNumberFormat="1" applyFont="1" applyFill="1" applyBorder="1"/>
    <xf numFmtId="10" fontId="6" fillId="0" borderId="5" xfId="2" applyNumberFormat="1" applyFont="1" applyBorder="1" applyAlignment="1">
      <alignment horizontal="center"/>
    </xf>
    <xf numFmtId="3" fontId="17" fillId="0" borderId="6" xfId="0" applyNumberFormat="1" applyFont="1" applyBorder="1"/>
    <xf numFmtId="3" fontId="17" fillId="0" borderId="5" xfId="0" applyNumberFormat="1" applyFont="1" applyBorder="1"/>
    <xf numFmtId="3" fontId="17" fillId="0" borderId="8" xfId="0" applyNumberFormat="1" applyFont="1" applyBorder="1"/>
    <xf numFmtId="3" fontId="17" fillId="0" borderId="21" xfId="0" applyNumberFormat="1" applyFont="1" applyBorder="1"/>
    <xf numFmtId="3" fontId="17" fillId="0" borderId="9" xfId="0" applyNumberFormat="1" applyFont="1" applyBorder="1"/>
    <xf numFmtId="4" fontId="11" fillId="2" borderId="23" xfId="0" quotePrefix="1" applyNumberFormat="1" applyFont="1" applyFill="1" applyBorder="1"/>
    <xf numFmtId="4" fontId="11" fillId="2" borderId="17" xfId="0" quotePrefix="1" applyNumberFormat="1" applyFont="1" applyFill="1" applyBorder="1"/>
    <xf numFmtId="9" fontId="11" fillId="2" borderId="12" xfId="2" quotePrefix="1" applyFont="1" applyFill="1" applyBorder="1"/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158750</xdr:rowOff>
    </xdr:from>
    <xdr:to>
      <xdr:col>1</xdr:col>
      <xdr:colOff>2025146</xdr:colOff>
      <xdr:row>3</xdr:row>
      <xdr:rowOff>303441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668D6C-EE18-46EE-94B3-3CEF77B1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58750"/>
          <a:ext cx="1993396" cy="7638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URSOS%20HUMANOS/2012/INFORMES%20Y%20AN&#193;LISIS/Primer%20intento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A SALARIAL DEFINITIVA"/>
      <sheetName val="ACTUALIZACIÓN NUEVOS TRIENIOS"/>
      <sheetName val="NUEVOS TRIENIOS EN 2012"/>
      <sheetName val="Evolución"/>
      <sheetName val="Concili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B9">
            <v>1458107.2876135607</v>
          </cell>
          <cell r="C9">
            <v>432832.76000216795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137C-6143-4040-A7BA-23BCCB06AE57}">
  <dimension ref="A4:S162"/>
  <sheetViews>
    <sheetView showGridLines="0" tabSelected="1" zoomScale="85" zoomScaleNormal="85" workbookViewId="0">
      <selection activeCell="Q11" sqref="Q11"/>
    </sheetView>
  </sheetViews>
  <sheetFormatPr baseColWidth="10" defaultColWidth="11.42578125" defaultRowHeight="15.75" outlineLevelRow="2" outlineLevelCol="1" x14ac:dyDescent="0.25"/>
  <cols>
    <col min="1" max="1" width="3.42578125" style="2" customWidth="1"/>
    <col min="2" max="2" width="58.28515625" style="2" customWidth="1"/>
    <col min="3" max="4" width="16.85546875" style="2" hidden="1" customWidth="1" outlineLevel="1"/>
    <col min="5" max="9" width="19.28515625" style="2" hidden="1" customWidth="1" outlineLevel="1"/>
    <col min="10" max="10" width="19.28515625" style="2" customWidth="1" collapsed="1"/>
    <col min="11" max="11" width="19.28515625" style="2" customWidth="1"/>
    <col min="12" max="12" width="17.5703125" style="2" bestFit="1" customWidth="1"/>
    <col min="13" max="13" width="14" style="91" customWidth="1"/>
    <col min="14" max="14" width="22" style="92" customWidth="1"/>
    <col min="15" max="16384" width="11.42578125" style="2"/>
  </cols>
  <sheetData>
    <row r="4" spans="2:14" ht="25.5" customHeight="1" x14ac:dyDescent="0.25"/>
    <row r="5" spans="2:14" ht="21" x14ac:dyDescent="0.35">
      <c r="B5" s="163" t="s">
        <v>104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"/>
    </row>
    <row r="7" spans="2:14" ht="18.75" x14ac:dyDescent="0.3">
      <c r="B7" s="164" t="s">
        <v>0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3"/>
    </row>
    <row r="8" spans="2:14" ht="16.5" thickBot="1" x14ac:dyDescent="0.3">
      <c r="M8" s="4"/>
      <c r="N8" s="5"/>
    </row>
    <row r="9" spans="2:14" ht="57" thickTop="1" x14ac:dyDescent="0.25">
      <c r="B9" s="6" t="s">
        <v>1</v>
      </c>
      <c r="C9" s="7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9" t="s">
        <v>11</v>
      </c>
      <c r="M9" s="10" t="s">
        <v>12</v>
      </c>
      <c r="N9" s="11"/>
    </row>
    <row r="10" spans="2:14" ht="18.75" x14ac:dyDescent="0.25"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5"/>
      <c r="M10" s="16"/>
      <c r="N10" s="11"/>
    </row>
    <row r="11" spans="2:14" ht="18.75" x14ac:dyDescent="0.3">
      <c r="B11" s="17" t="s">
        <v>13</v>
      </c>
      <c r="C11" s="18"/>
      <c r="D11" s="19"/>
      <c r="E11" s="19"/>
      <c r="F11" s="19"/>
      <c r="G11" s="19"/>
      <c r="H11" s="19"/>
      <c r="I11" s="19"/>
      <c r="J11" s="19"/>
      <c r="K11" s="19"/>
      <c r="L11" s="20"/>
      <c r="M11" s="21"/>
      <c r="N11" s="22"/>
    </row>
    <row r="12" spans="2:14" x14ac:dyDescent="0.25">
      <c r="B12" s="23" t="s">
        <v>14</v>
      </c>
      <c r="C12" s="24">
        <v>295000</v>
      </c>
      <c r="D12" s="25">
        <v>295000</v>
      </c>
      <c r="E12" s="25">
        <v>322497</v>
      </c>
      <c r="F12" s="25">
        <v>326043.48</v>
      </c>
      <c r="G12" s="25">
        <v>310409.52</v>
      </c>
      <c r="H12" s="25">
        <v>298572</v>
      </c>
      <c r="I12" s="25">
        <v>283127.03999999998</v>
      </c>
      <c r="J12" s="25">
        <v>294633.12</v>
      </c>
      <c r="K12" s="25">
        <v>0</v>
      </c>
      <c r="L12" s="26">
        <f>+K12-J12</f>
        <v>-294633.12</v>
      </c>
      <c r="M12" s="27">
        <f>+L12/J12</f>
        <v>-1</v>
      </c>
      <c r="N12" s="28"/>
    </row>
    <row r="13" spans="2:14" x14ac:dyDescent="0.25">
      <c r="B13" s="23" t="s">
        <v>15</v>
      </c>
      <c r="C13" s="24">
        <v>107000</v>
      </c>
      <c r="D13" s="25">
        <v>107000</v>
      </c>
      <c r="E13" s="25">
        <v>111562</v>
      </c>
      <c r="F13" s="25">
        <f>130914+18000</f>
        <v>148914</v>
      </c>
      <c r="G13" s="25">
        <v>140916.96</v>
      </c>
      <c r="H13" s="25">
        <v>149956.20000000001</v>
      </c>
      <c r="I13" s="25">
        <v>143319.6</v>
      </c>
      <c r="J13" s="25">
        <v>150849.12</v>
      </c>
      <c r="K13" s="25">
        <v>0</v>
      </c>
      <c r="L13" s="26">
        <f t="shared" ref="L13:L21" si="0">+K13-J13</f>
        <v>-150849.12</v>
      </c>
      <c r="M13" s="27">
        <f t="shared" ref="M13:M21" si="1">+L13/J13</f>
        <v>-1</v>
      </c>
      <c r="N13" s="28"/>
    </row>
    <row r="14" spans="2:14" x14ac:dyDescent="0.25">
      <c r="B14" s="23" t="s">
        <v>16</v>
      </c>
      <c r="C14" s="24">
        <f>116288.11*0.95</f>
        <v>110473.70449999999</v>
      </c>
      <c r="D14" s="25">
        <v>110473.7</v>
      </c>
      <c r="E14" s="25">
        <v>99684.46</v>
      </c>
      <c r="F14" s="25">
        <v>111093.72</v>
      </c>
      <c r="G14" s="25">
        <v>120685.32</v>
      </c>
      <c r="H14" s="25">
        <v>117961.32</v>
      </c>
      <c r="I14" s="25">
        <v>114403.68</v>
      </c>
      <c r="J14" s="25">
        <v>110915.88</v>
      </c>
      <c r="K14" s="25">
        <v>0</v>
      </c>
      <c r="L14" s="26">
        <f t="shared" si="0"/>
        <v>-110915.88</v>
      </c>
      <c r="M14" s="27">
        <f t="shared" si="1"/>
        <v>-1</v>
      </c>
      <c r="N14" s="28"/>
    </row>
    <row r="15" spans="2:14" x14ac:dyDescent="0.25">
      <c r="B15" s="23" t="s">
        <v>17</v>
      </c>
      <c r="C15" s="24">
        <v>84859.66</v>
      </c>
      <c r="D15" s="25">
        <v>84859.66</v>
      </c>
      <c r="E15" s="25">
        <v>80096.67</v>
      </c>
      <c r="F15" s="25">
        <v>78213.600000000006</v>
      </c>
      <c r="G15" s="25">
        <v>73448.88</v>
      </c>
      <c r="H15" s="25">
        <v>77955.72</v>
      </c>
      <c r="I15" s="25">
        <v>75509.88</v>
      </c>
      <c r="J15" s="25">
        <v>84040.92</v>
      </c>
      <c r="K15" s="25">
        <v>0</v>
      </c>
      <c r="L15" s="26">
        <f t="shared" si="0"/>
        <v>-84040.92</v>
      </c>
      <c r="M15" s="27">
        <f t="shared" si="1"/>
        <v>-1</v>
      </c>
      <c r="N15" s="28"/>
    </row>
    <row r="16" spans="2:14" x14ac:dyDescent="0.25">
      <c r="B16" s="23" t="s">
        <v>18</v>
      </c>
      <c r="C16" s="24">
        <f>9906.5*0.95</f>
        <v>9411.1749999999993</v>
      </c>
      <c r="D16" s="25">
        <v>9411.18</v>
      </c>
      <c r="E16" s="25">
        <v>14210.49</v>
      </c>
      <c r="F16" s="25">
        <v>15883.56</v>
      </c>
      <c r="G16" s="25">
        <v>19468.560000000001</v>
      </c>
      <c r="H16" s="25">
        <v>22696.92</v>
      </c>
      <c r="I16" s="25">
        <v>23506.92</v>
      </c>
      <c r="J16" s="25">
        <v>38482.92</v>
      </c>
      <c r="K16" s="25">
        <v>0</v>
      </c>
      <c r="L16" s="26">
        <f t="shared" si="0"/>
        <v>-38482.92</v>
      </c>
      <c r="M16" s="27">
        <f t="shared" si="1"/>
        <v>-1</v>
      </c>
      <c r="N16" s="28"/>
    </row>
    <row r="17" spans="2:14" x14ac:dyDescent="0.25">
      <c r="B17" s="23" t="s">
        <v>19</v>
      </c>
      <c r="C17" s="24">
        <v>25000</v>
      </c>
      <c r="D17" s="25">
        <v>0</v>
      </c>
      <c r="E17" s="25">
        <f>4485+1205</f>
        <v>5690</v>
      </c>
      <c r="F17" s="25">
        <v>20970</v>
      </c>
      <c r="G17" s="25">
        <f>18240+360</f>
        <v>18600</v>
      </c>
      <c r="H17" s="25">
        <v>19146</v>
      </c>
      <c r="I17" s="25">
        <v>16474.080000000002</v>
      </c>
      <c r="J17" s="25">
        <v>19912.439999999999</v>
      </c>
      <c r="K17" s="25">
        <v>0</v>
      </c>
      <c r="L17" s="26">
        <f t="shared" si="0"/>
        <v>-19912.439999999999</v>
      </c>
      <c r="M17" s="27">
        <f t="shared" si="1"/>
        <v>-1</v>
      </c>
      <c r="N17" s="28"/>
    </row>
    <row r="18" spans="2:14" hidden="1" outlineLevel="1" x14ac:dyDescent="0.25">
      <c r="B18" s="23" t="s">
        <v>20</v>
      </c>
      <c r="C18" s="24">
        <v>25000</v>
      </c>
      <c r="D18" s="25">
        <v>0</v>
      </c>
      <c r="E18" s="25">
        <v>750</v>
      </c>
      <c r="F18" s="25">
        <v>6600</v>
      </c>
      <c r="G18" s="25">
        <v>8400</v>
      </c>
      <c r="H18" s="25">
        <v>0</v>
      </c>
      <c r="I18" s="25">
        <v>0</v>
      </c>
      <c r="J18" s="25"/>
      <c r="K18" s="25"/>
      <c r="L18" s="26">
        <f t="shared" si="0"/>
        <v>0</v>
      </c>
      <c r="M18" s="27" t="e">
        <f t="shared" si="1"/>
        <v>#DIV/0!</v>
      </c>
      <c r="N18" s="28"/>
    </row>
    <row r="19" spans="2:14" collapsed="1" x14ac:dyDescent="0.25">
      <c r="B19" s="23" t="s">
        <v>21</v>
      </c>
      <c r="C19" s="24"/>
      <c r="D19" s="25"/>
      <c r="E19" s="25">
        <v>0</v>
      </c>
      <c r="F19" s="25">
        <v>0</v>
      </c>
      <c r="G19" s="25">
        <v>15000</v>
      </c>
      <c r="H19" s="25">
        <v>15000</v>
      </c>
      <c r="I19" s="25">
        <v>15000</v>
      </c>
      <c r="J19" s="25">
        <v>15000</v>
      </c>
      <c r="K19" s="25">
        <v>0</v>
      </c>
      <c r="L19" s="26">
        <f t="shared" si="0"/>
        <v>-15000</v>
      </c>
      <c r="M19" s="27">
        <f t="shared" si="1"/>
        <v>-1</v>
      </c>
      <c r="N19" s="28"/>
    </row>
    <row r="20" spans="2:14" x14ac:dyDescent="0.25">
      <c r="B20" s="23" t="s">
        <v>22</v>
      </c>
      <c r="C20" s="24">
        <f>19216.27*0.95</f>
        <v>18255.4565</v>
      </c>
      <c r="D20" s="25">
        <v>18255.46</v>
      </c>
      <c r="E20" s="25">
        <v>39900.559999999998</v>
      </c>
      <c r="F20" s="25">
        <v>30000</v>
      </c>
      <c r="G20" s="25">
        <v>30000</v>
      </c>
      <c r="H20" s="25">
        <v>30000</v>
      </c>
      <c r="I20" s="25">
        <v>30000</v>
      </c>
      <c r="J20" s="25">
        <v>60000</v>
      </c>
      <c r="K20" s="25">
        <v>0</v>
      </c>
      <c r="L20" s="26">
        <f t="shared" si="0"/>
        <v>-60000</v>
      </c>
      <c r="M20" s="27">
        <f t="shared" si="1"/>
        <v>-1</v>
      </c>
      <c r="N20" s="28"/>
    </row>
    <row r="21" spans="2:14" x14ac:dyDescent="0.25">
      <c r="B21" s="23" t="s">
        <v>23</v>
      </c>
      <c r="C21" s="24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10632</v>
      </c>
      <c r="J21" s="25">
        <v>17514</v>
      </c>
      <c r="K21" s="25">
        <v>0</v>
      </c>
      <c r="L21" s="26">
        <f t="shared" si="0"/>
        <v>-17514</v>
      </c>
      <c r="M21" s="27">
        <f t="shared" si="1"/>
        <v>-1</v>
      </c>
      <c r="N21" s="28"/>
    </row>
    <row r="22" spans="2:14" x14ac:dyDescent="0.25">
      <c r="B22" s="29" t="s">
        <v>24</v>
      </c>
      <c r="C22" s="30">
        <f>SUM(C12:C21)</f>
        <v>674999.99600000004</v>
      </c>
      <c r="D22" s="30">
        <f t="shared" ref="D22:K22" si="2">SUM(D12:D21)</f>
        <v>625000</v>
      </c>
      <c r="E22" s="30">
        <f t="shared" si="2"/>
        <v>674391.17999999993</v>
      </c>
      <c r="F22" s="30">
        <f t="shared" si="2"/>
        <v>737718.36</v>
      </c>
      <c r="G22" s="30">
        <f t="shared" si="2"/>
        <v>736929.24000000011</v>
      </c>
      <c r="H22" s="30">
        <f t="shared" si="2"/>
        <v>731288.16</v>
      </c>
      <c r="I22" s="30">
        <f t="shared" si="2"/>
        <v>711973.20000000007</v>
      </c>
      <c r="J22" s="30">
        <f t="shared" si="2"/>
        <v>791348.4</v>
      </c>
      <c r="K22" s="30">
        <f t="shared" si="2"/>
        <v>0</v>
      </c>
      <c r="L22" s="31">
        <f>+K22-J22</f>
        <v>-791348.4</v>
      </c>
      <c r="M22" s="32">
        <f>+L22/J22</f>
        <v>-1</v>
      </c>
      <c r="N22" s="33"/>
    </row>
    <row r="23" spans="2:14" x14ac:dyDescent="0.25">
      <c r="B23" s="34"/>
      <c r="C23" s="35"/>
      <c r="D23" s="36"/>
      <c r="E23" s="36"/>
      <c r="F23" s="36"/>
      <c r="G23" s="36"/>
      <c r="H23" s="36"/>
      <c r="I23" s="36"/>
      <c r="J23" s="36"/>
      <c r="K23" s="36"/>
      <c r="L23" s="37"/>
      <c r="M23" s="38"/>
      <c r="N23" s="39"/>
    </row>
    <row r="24" spans="2:14" ht="18.75" x14ac:dyDescent="0.3">
      <c r="B24" s="17" t="s">
        <v>25</v>
      </c>
      <c r="C24" s="18"/>
      <c r="D24" s="19"/>
      <c r="E24" s="19"/>
      <c r="F24" s="19"/>
      <c r="G24" s="19"/>
      <c r="H24" s="19"/>
      <c r="I24" s="19"/>
      <c r="J24" s="19"/>
      <c r="K24" s="19"/>
      <c r="L24" s="20"/>
      <c r="M24" s="40"/>
      <c r="N24" s="41"/>
    </row>
    <row r="25" spans="2:14" hidden="1" outlineLevel="1" x14ac:dyDescent="0.25">
      <c r="B25" s="23" t="s">
        <v>26</v>
      </c>
      <c r="C25" s="42">
        <v>3798450.78</v>
      </c>
      <c r="D25" s="43">
        <v>1758076</v>
      </c>
      <c r="E25" s="43">
        <f>1722914.48+1500000</f>
        <v>3222914.48</v>
      </c>
      <c r="F25" s="43">
        <v>4199114.4800000004</v>
      </c>
      <c r="G25" s="43">
        <v>0</v>
      </c>
      <c r="H25" s="44">
        <v>0</v>
      </c>
      <c r="I25" s="44">
        <v>0</v>
      </c>
      <c r="J25" s="44">
        <v>0</v>
      </c>
      <c r="K25" s="44">
        <v>0</v>
      </c>
      <c r="L25" s="45">
        <f>+H25-G25</f>
        <v>0</v>
      </c>
      <c r="M25" s="46"/>
      <c r="N25" s="47"/>
    </row>
    <row r="26" spans="2:14" hidden="1" outlineLevel="1" x14ac:dyDescent="0.25">
      <c r="B26" s="48" t="s">
        <v>27</v>
      </c>
      <c r="C26" s="42">
        <v>0</v>
      </c>
      <c r="D26" s="43">
        <v>1500000</v>
      </c>
      <c r="E26" s="43">
        <v>1470000</v>
      </c>
      <c r="F26" s="43">
        <v>1470000</v>
      </c>
      <c r="G26" s="43">
        <v>0</v>
      </c>
      <c r="H26" s="44">
        <v>0</v>
      </c>
      <c r="I26" s="44">
        <v>0</v>
      </c>
      <c r="J26" s="44">
        <v>0</v>
      </c>
      <c r="K26" s="44">
        <v>0</v>
      </c>
      <c r="L26" s="45">
        <f>+H26-G26</f>
        <v>0</v>
      </c>
      <c r="M26" s="46"/>
      <c r="N26" s="47"/>
    </row>
    <row r="27" spans="2:14" collapsed="1" x14ac:dyDescent="0.25">
      <c r="B27" s="23" t="s">
        <v>28</v>
      </c>
      <c r="C27" s="42"/>
      <c r="D27" s="43"/>
      <c r="E27" s="43">
        <v>0</v>
      </c>
      <c r="F27" s="43">
        <v>0</v>
      </c>
      <c r="G27" s="43">
        <v>2046724</v>
      </c>
      <c r="H27" s="43">
        <v>2046724</v>
      </c>
      <c r="I27" s="43">
        <v>2046724</v>
      </c>
      <c r="J27" s="43">
        <v>2046724</v>
      </c>
      <c r="K27" s="43">
        <v>0</v>
      </c>
      <c r="L27" s="45">
        <f>+K27-J27</f>
        <v>-2046724</v>
      </c>
      <c r="M27" s="46">
        <f>+L27/J27</f>
        <v>-1</v>
      </c>
      <c r="N27" s="47"/>
    </row>
    <row r="28" spans="2:14" x14ac:dyDescent="0.25">
      <c r="B28" s="48" t="s">
        <v>29</v>
      </c>
      <c r="C28" s="24"/>
      <c r="D28" s="25"/>
      <c r="E28" s="25">
        <v>0</v>
      </c>
      <c r="F28" s="25">
        <v>0</v>
      </c>
      <c r="G28" s="25">
        <f>3818390.48-21000</f>
        <v>3797390.48</v>
      </c>
      <c r="H28" s="25">
        <v>4297390.4800000004</v>
      </c>
      <c r="I28" s="25">
        <f>4297390.48+60000</f>
        <v>4357390.4800000004</v>
      </c>
      <c r="J28" s="25">
        <f>4297390.48+60000+1000000</f>
        <v>5357390.4800000004</v>
      </c>
      <c r="K28" s="25">
        <v>5696501.7800000003</v>
      </c>
      <c r="L28" s="45">
        <f t="shared" ref="L28:L38" si="3">+K28-J28</f>
        <v>339111.29999999981</v>
      </c>
      <c r="M28" s="46">
        <f t="shared" ref="M28:M38" si="4">+L28/J28</f>
        <v>6.3297850187690588E-2</v>
      </c>
      <c r="N28" s="49"/>
    </row>
    <row r="29" spans="2:14" hidden="1" outlineLevel="1" x14ac:dyDescent="0.25">
      <c r="B29" s="48" t="s">
        <v>30</v>
      </c>
      <c r="C29" s="24"/>
      <c r="D29" s="25"/>
      <c r="E29" s="25">
        <v>0</v>
      </c>
      <c r="F29" s="25">
        <v>185000</v>
      </c>
      <c r="G29" s="25">
        <v>400000</v>
      </c>
      <c r="H29" s="25">
        <v>400000</v>
      </c>
      <c r="I29" s="25">
        <v>400000</v>
      </c>
      <c r="J29" s="25">
        <v>0</v>
      </c>
      <c r="K29" s="25">
        <v>0</v>
      </c>
      <c r="L29" s="45">
        <f t="shared" si="3"/>
        <v>0</v>
      </c>
      <c r="M29" s="46" t="e">
        <f t="shared" si="4"/>
        <v>#DIV/0!</v>
      </c>
      <c r="N29" s="28"/>
    </row>
    <row r="30" spans="2:14" collapsed="1" x14ac:dyDescent="0.25">
      <c r="B30" s="48" t="s">
        <v>31</v>
      </c>
      <c r="C30" s="24"/>
      <c r="D30" s="25"/>
      <c r="E30" s="25"/>
      <c r="F30" s="25"/>
      <c r="G30" s="25"/>
      <c r="H30" s="25"/>
      <c r="I30" s="25">
        <v>0</v>
      </c>
      <c r="J30" s="25">
        <v>973000</v>
      </c>
      <c r="K30" s="25">
        <v>950000</v>
      </c>
      <c r="L30" s="45">
        <f t="shared" si="3"/>
        <v>-23000</v>
      </c>
      <c r="M30" s="46">
        <f>+L30/J30</f>
        <v>-2.3638232271325797E-2</v>
      </c>
      <c r="N30" s="28"/>
    </row>
    <row r="31" spans="2:14" x14ac:dyDescent="0.25">
      <c r="B31" s="48" t="s">
        <v>32</v>
      </c>
      <c r="C31" s="24">
        <v>191802.23</v>
      </c>
      <c r="D31" s="25">
        <v>174885</v>
      </c>
      <c r="E31" s="25">
        <v>171387.3</v>
      </c>
      <c r="F31" s="25">
        <v>171387.3</v>
      </c>
      <c r="G31" s="25">
        <v>171387.3</v>
      </c>
      <c r="H31" s="25">
        <v>171387.3</v>
      </c>
      <c r="I31" s="25">
        <v>171387.3</v>
      </c>
      <c r="J31" s="25">
        <v>171387.3</v>
      </c>
      <c r="K31" s="25">
        <v>0</v>
      </c>
      <c r="L31" s="45">
        <f t="shared" si="3"/>
        <v>-171387.3</v>
      </c>
      <c r="M31" s="46">
        <f t="shared" si="4"/>
        <v>-1</v>
      </c>
      <c r="N31" s="28"/>
    </row>
    <row r="32" spans="2:14" hidden="1" outlineLevel="1" x14ac:dyDescent="0.25">
      <c r="B32" s="48" t="s">
        <v>33</v>
      </c>
      <c r="C32" s="24"/>
      <c r="D32" s="25"/>
      <c r="E32" s="25">
        <v>0</v>
      </c>
      <c r="F32" s="25">
        <v>165500</v>
      </c>
      <c r="G32" s="25">
        <v>105500</v>
      </c>
      <c r="H32" s="25">
        <v>165500</v>
      </c>
      <c r="I32" s="25">
        <v>165500</v>
      </c>
      <c r="J32" s="25">
        <v>0</v>
      </c>
      <c r="K32" s="25">
        <v>0</v>
      </c>
      <c r="L32" s="45">
        <f t="shared" si="3"/>
        <v>0</v>
      </c>
      <c r="M32" s="46" t="e">
        <f t="shared" si="4"/>
        <v>#DIV/0!</v>
      </c>
      <c r="N32" s="28"/>
    </row>
    <row r="33" spans="2:19" collapsed="1" x14ac:dyDescent="0.25">
      <c r="B33" s="48" t="s">
        <v>34</v>
      </c>
      <c r="C33" s="24"/>
      <c r="D33" s="25"/>
      <c r="E33" s="25"/>
      <c r="F33" s="25"/>
      <c r="G33" s="25"/>
      <c r="H33" s="25">
        <v>0</v>
      </c>
      <c r="I33" s="25">
        <v>30000</v>
      </c>
      <c r="J33" s="25">
        <v>100000</v>
      </c>
      <c r="K33" s="25">
        <v>0</v>
      </c>
      <c r="L33" s="45">
        <f t="shared" si="3"/>
        <v>-100000</v>
      </c>
      <c r="M33" s="46">
        <f t="shared" si="4"/>
        <v>-1</v>
      </c>
      <c r="N33" s="49"/>
      <c r="O33" s="50"/>
      <c r="P33" s="50"/>
      <c r="Q33" s="50"/>
      <c r="R33" s="50"/>
      <c r="S33" s="50"/>
    </row>
    <row r="34" spans="2:19" hidden="1" outlineLevel="1" x14ac:dyDescent="0.25">
      <c r="B34" s="48" t="s">
        <v>35</v>
      </c>
      <c r="C34" s="24"/>
      <c r="D34" s="25"/>
      <c r="E34" s="25"/>
      <c r="F34" s="25">
        <v>0</v>
      </c>
      <c r="G34" s="25">
        <v>0</v>
      </c>
      <c r="H34" s="25">
        <v>176200</v>
      </c>
      <c r="I34" s="25">
        <v>176200</v>
      </c>
      <c r="J34" s="25">
        <v>0</v>
      </c>
      <c r="K34" s="25">
        <v>0</v>
      </c>
      <c r="L34" s="45">
        <f t="shared" si="3"/>
        <v>0</v>
      </c>
      <c r="M34" s="46" t="e">
        <f t="shared" si="4"/>
        <v>#DIV/0!</v>
      </c>
      <c r="N34" s="28"/>
    </row>
    <row r="35" spans="2:19" hidden="1" outlineLevel="1" x14ac:dyDescent="0.25">
      <c r="B35" s="48" t="s">
        <v>36</v>
      </c>
      <c r="C35" s="24"/>
      <c r="D35" s="25"/>
      <c r="E35" s="25"/>
      <c r="F35" s="25">
        <v>0</v>
      </c>
      <c r="G35" s="25">
        <v>0</v>
      </c>
      <c r="H35" s="25">
        <v>25000</v>
      </c>
      <c r="I35" s="25">
        <v>0</v>
      </c>
      <c r="J35" s="25">
        <v>0</v>
      </c>
      <c r="K35" s="25">
        <v>0</v>
      </c>
      <c r="L35" s="45">
        <f t="shared" si="3"/>
        <v>0</v>
      </c>
      <c r="M35" s="46" t="e">
        <f t="shared" si="4"/>
        <v>#DIV/0!</v>
      </c>
      <c r="N35" s="49"/>
    </row>
    <row r="36" spans="2:19" hidden="1" outlineLevel="1" x14ac:dyDescent="0.25">
      <c r="B36" s="48" t="s">
        <v>37</v>
      </c>
      <c r="C36" s="24"/>
      <c r="D36" s="25"/>
      <c r="E36" s="25"/>
      <c r="F36" s="25">
        <v>0</v>
      </c>
      <c r="G36" s="25">
        <v>0</v>
      </c>
      <c r="H36" s="25">
        <v>0</v>
      </c>
      <c r="I36" s="25">
        <v>100000</v>
      </c>
      <c r="J36" s="25">
        <v>0</v>
      </c>
      <c r="K36" s="25">
        <v>0</v>
      </c>
      <c r="L36" s="45">
        <f t="shared" si="3"/>
        <v>0</v>
      </c>
      <c r="M36" s="46" t="e">
        <f t="shared" si="4"/>
        <v>#DIV/0!</v>
      </c>
      <c r="N36" s="49"/>
    </row>
    <row r="37" spans="2:19" collapsed="1" x14ac:dyDescent="0.25">
      <c r="B37" s="48" t="s">
        <v>38</v>
      </c>
      <c r="C37" s="24"/>
      <c r="D37" s="25"/>
      <c r="E37" s="25"/>
      <c r="F37" s="25"/>
      <c r="G37" s="25"/>
      <c r="H37" s="25"/>
      <c r="I37" s="25">
        <v>0</v>
      </c>
      <c r="J37" s="25">
        <v>0</v>
      </c>
      <c r="K37" s="25">
        <v>2000000</v>
      </c>
      <c r="L37" s="45">
        <f t="shared" si="3"/>
        <v>2000000</v>
      </c>
      <c r="M37" s="46"/>
      <c r="N37" s="49"/>
    </row>
    <row r="38" spans="2:19" x14ac:dyDescent="0.25">
      <c r="B38" s="48" t="s">
        <v>39</v>
      </c>
      <c r="C38" s="24">
        <f>31168/1.05</f>
        <v>29683.809523809523</v>
      </c>
      <c r="D38" s="25">
        <v>100000</v>
      </c>
      <c r="E38" s="25">
        <v>98000</v>
      </c>
      <c r="F38" s="25">
        <v>98000</v>
      </c>
      <c r="G38" s="25">
        <v>98000</v>
      </c>
      <c r="H38" s="25">
        <v>98000</v>
      </c>
      <c r="I38" s="25">
        <v>98000</v>
      </c>
      <c r="J38" s="25">
        <v>98000</v>
      </c>
      <c r="K38" s="25">
        <v>0</v>
      </c>
      <c r="L38" s="45">
        <f t="shared" si="3"/>
        <v>-98000</v>
      </c>
      <c r="M38" s="46">
        <f t="shared" si="4"/>
        <v>-1</v>
      </c>
      <c r="N38" s="28"/>
    </row>
    <row r="39" spans="2:19" x14ac:dyDescent="0.25">
      <c r="B39" s="51" t="s">
        <v>40</v>
      </c>
      <c r="C39" s="52">
        <f>SUM(C25:C38)</f>
        <v>4019936.8195238095</v>
      </c>
      <c r="D39" s="53">
        <f>SUM(D31:D38)</f>
        <v>274885</v>
      </c>
      <c r="E39" s="53">
        <f>SUM(E31:E38)</f>
        <v>269387.3</v>
      </c>
      <c r="F39" s="53">
        <f t="shared" ref="F39:K39" si="5">SUM(F25:F38)</f>
        <v>6289001.7800000003</v>
      </c>
      <c r="G39" s="53">
        <f t="shared" si="5"/>
        <v>6619001.7800000003</v>
      </c>
      <c r="H39" s="53">
        <f t="shared" si="5"/>
        <v>7380201.7800000003</v>
      </c>
      <c r="I39" s="53">
        <f t="shared" si="5"/>
        <v>7545201.7800000003</v>
      </c>
      <c r="J39" s="53">
        <f t="shared" si="5"/>
        <v>8746501.7800000012</v>
      </c>
      <c r="K39" s="53">
        <f t="shared" si="5"/>
        <v>8646501.7800000012</v>
      </c>
      <c r="L39" s="54">
        <f>K39-J39</f>
        <v>-100000</v>
      </c>
      <c r="M39" s="55">
        <f>+L39/J39</f>
        <v>-1.1433142359687485E-2</v>
      </c>
      <c r="N39" s="56"/>
    </row>
    <row r="40" spans="2:19" x14ac:dyDescent="0.25">
      <c r="B40" s="51"/>
      <c r="C40" s="52"/>
      <c r="D40" s="53"/>
      <c r="E40" s="53"/>
      <c r="F40" s="53"/>
      <c r="G40" s="53"/>
      <c r="H40" s="53"/>
      <c r="I40" s="53"/>
      <c r="J40" s="53"/>
      <c r="K40" s="53"/>
      <c r="L40" s="57"/>
      <c r="M40" s="58"/>
      <c r="N40" s="56"/>
    </row>
    <row r="41" spans="2:19" x14ac:dyDescent="0.25">
      <c r="B41" s="48" t="s">
        <v>41</v>
      </c>
      <c r="C41" s="42">
        <v>133417</v>
      </c>
      <c r="D41" s="43">
        <v>195000</v>
      </c>
      <c r="E41" s="43">
        <v>195000</v>
      </c>
      <c r="F41" s="43">
        <v>0</v>
      </c>
      <c r="G41" s="43">
        <v>120000</v>
      </c>
      <c r="H41" s="43">
        <v>120000</v>
      </c>
      <c r="I41" s="43">
        <v>16000</v>
      </c>
      <c r="J41" s="43">
        <v>120000</v>
      </c>
      <c r="K41" s="43">
        <v>0</v>
      </c>
      <c r="L41" s="45">
        <f>+K41-J41</f>
        <v>-120000</v>
      </c>
      <c r="M41" s="46">
        <f>+L41/J41</f>
        <v>-1</v>
      </c>
      <c r="N41" s="56"/>
    </row>
    <row r="42" spans="2:19" hidden="1" outlineLevel="1" x14ac:dyDescent="0.25">
      <c r="B42" s="23" t="s">
        <v>42</v>
      </c>
      <c r="C42" s="42"/>
      <c r="D42" s="43"/>
      <c r="E42" s="43">
        <v>0</v>
      </c>
      <c r="F42" s="43">
        <v>0</v>
      </c>
      <c r="G42" s="43">
        <v>120000</v>
      </c>
      <c r="H42" s="43">
        <v>120000</v>
      </c>
      <c r="I42" s="43">
        <v>120000</v>
      </c>
      <c r="J42" s="43">
        <v>0</v>
      </c>
      <c r="K42" s="43">
        <v>0</v>
      </c>
      <c r="L42" s="45">
        <f t="shared" ref="L42:L43" si="6">+K42-J42</f>
        <v>0</v>
      </c>
      <c r="M42" s="46" t="e">
        <f t="shared" ref="M42:M43" si="7">+L42/J42</f>
        <v>#DIV/0!</v>
      </c>
      <c r="N42" s="47"/>
    </row>
    <row r="43" spans="2:19" collapsed="1" x14ac:dyDescent="0.25">
      <c r="B43" s="48" t="s">
        <v>43</v>
      </c>
      <c r="C43" s="42">
        <v>133417</v>
      </c>
      <c r="D43" s="43">
        <v>195000</v>
      </c>
      <c r="E43" s="43">
        <v>0</v>
      </c>
      <c r="F43" s="43">
        <v>200000</v>
      </c>
      <c r="G43" s="43">
        <v>200000</v>
      </c>
      <c r="H43" s="43">
        <v>200000</v>
      </c>
      <c r="I43" s="43">
        <v>200000</v>
      </c>
      <c r="J43" s="43">
        <v>200000</v>
      </c>
      <c r="K43" s="43">
        <v>220000</v>
      </c>
      <c r="L43" s="45">
        <f t="shared" si="6"/>
        <v>20000</v>
      </c>
      <c r="M43" s="46">
        <f t="shared" si="7"/>
        <v>0.1</v>
      </c>
      <c r="N43" s="47"/>
    </row>
    <row r="44" spans="2:19" x14ac:dyDescent="0.25">
      <c r="B44" s="51" t="s">
        <v>44</v>
      </c>
      <c r="C44" s="52">
        <f>SUM(C43:C43)</f>
        <v>133417</v>
      </c>
      <c r="D44" s="53">
        <f>SUM(D43:D43)</f>
        <v>195000</v>
      </c>
      <c r="E44" s="53">
        <f t="shared" ref="E44:K44" si="8">SUM(E41:E43)</f>
        <v>195000</v>
      </c>
      <c r="F44" s="53">
        <f t="shared" si="8"/>
        <v>200000</v>
      </c>
      <c r="G44" s="53">
        <f t="shared" si="8"/>
        <v>440000</v>
      </c>
      <c r="H44" s="53">
        <f t="shared" si="8"/>
        <v>440000</v>
      </c>
      <c r="I44" s="53">
        <f t="shared" si="8"/>
        <v>336000</v>
      </c>
      <c r="J44" s="53">
        <f t="shared" si="8"/>
        <v>320000</v>
      </c>
      <c r="K44" s="53">
        <f t="shared" si="8"/>
        <v>220000</v>
      </c>
      <c r="L44" s="54">
        <f>+K44-J44</f>
        <v>-100000</v>
      </c>
      <c r="M44" s="55">
        <f>+L44/J44</f>
        <v>-0.3125</v>
      </c>
      <c r="N44" s="56"/>
    </row>
    <row r="45" spans="2:19" x14ac:dyDescent="0.25">
      <c r="B45" s="51"/>
      <c r="C45" s="52"/>
      <c r="D45" s="53"/>
      <c r="E45" s="53"/>
      <c r="F45" s="53"/>
      <c r="G45" s="53"/>
      <c r="H45" s="53"/>
      <c r="I45" s="53"/>
      <c r="J45" s="53"/>
      <c r="K45" s="53"/>
      <c r="L45" s="57"/>
      <c r="M45" s="58"/>
      <c r="N45" s="56"/>
    </row>
    <row r="46" spans="2:19" x14ac:dyDescent="0.25">
      <c r="B46" s="48" t="s">
        <v>45</v>
      </c>
      <c r="C46" s="42">
        <v>235000</v>
      </c>
      <c r="D46" s="43">
        <v>1833333.33</v>
      </c>
      <c r="E46" s="43">
        <v>3156000</v>
      </c>
      <c r="F46" s="43">
        <v>3208000</v>
      </c>
      <c r="G46" s="43">
        <v>3515000</v>
      </c>
      <c r="H46" s="43">
        <v>3515000</v>
      </c>
      <c r="I46" s="43">
        <v>3515000</v>
      </c>
      <c r="J46" s="43">
        <v>3515000</v>
      </c>
      <c r="K46" s="43">
        <v>3515000</v>
      </c>
      <c r="L46" s="45">
        <f>+K46-J46</f>
        <v>0</v>
      </c>
      <c r="M46" s="46">
        <f>+L46/J46</f>
        <v>0</v>
      </c>
      <c r="N46" s="47"/>
    </row>
    <row r="47" spans="2:19" x14ac:dyDescent="0.25">
      <c r="B47" s="51" t="s">
        <v>46</v>
      </c>
      <c r="C47" s="52">
        <f>SUM(C46:C46)</f>
        <v>235000</v>
      </c>
      <c r="D47" s="53">
        <f>SUM(D46:D46)</f>
        <v>1833333.33</v>
      </c>
      <c r="E47" s="53">
        <f>SUM(E41:E46)</f>
        <v>3546000</v>
      </c>
      <c r="F47" s="53">
        <f t="shared" ref="F47:L47" si="9">SUM(F46)</f>
        <v>3208000</v>
      </c>
      <c r="G47" s="53">
        <f t="shared" si="9"/>
        <v>3515000</v>
      </c>
      <c r="H47" s="53">
        <f t="shared" si="9"/>
        <v>3515000</v>
      </c>
      <c r="I47" s="53">
        <f t="shared" si="9"/>
        <v>3515000</v>
      </c>
      <c r="J47" s="53">
        <f t="shared" si="9"/>
        <v>3515000</v>
      </c>
      <c r="K47" s="53">
        <f t="shared" ref="K47" si="10">SUM(K46)</f>
        <v>3515000</v>
      </c>
      <c r="L47" s="54">
        <f t="shared" si="9"/>
        <v>0</v>
      </c>
      <c r="M47" s="32">
        <f>+L47/J47</f>
        <v>0</v>
      </c>
      <c r="N47" s="56"/>
    </row>
    <row r="48" spans="2:19" x14ac:dyDescent="0.25">
      <c r="B48" s="51"/>
      <c r="C48" s="52"/>
      <c r="D48" s="53"/>
      <c r="E48" s="53"/>
      <c r="F48" s="53"/>
      <c r="G48" s="53"/>
      <c r="H48" s="53"/>
      <c r="I48" s="53"/>
      <c r="J48" s="53"/>
      <c r="K48" s="53"/>
      <c r="L48" s="57"/>
      <c r="M48" s="58"/>
      <c r="N48" s="56"/>
    </row>
    <row r="49" spans="1:14" x14ac:dyDescent="0.25">
      <c r="B49" s="23" t="s">
        <v>47</v>
      </c>
      <c r="C49" s="42"/>
      <c r="D49" s="43">
        <v>1942036.74</v>
      </c>
      <c r="E49" s="43">
        <v>1903196.06</v>
      </c>
      <c r="F49" s="43">
        <v>1903196.06</v>
      </c>
      <c r="G49" s="43">
        <v>2056196.01</v>
      </c>
      <c r="H49" s="43">
        <v>2211511.52</v>
      </c>
      <c r="I49" s="43">
        <v>2211511.52</v>
      </c>
      <c r="J49" s="43">
        <v>2211511.52</v>
      </c>
      <c r="K49" s="43">
        <v>2211511.52</v>
      </c>
      <c r="L49" s="45">
        <f>+K49-J49</f>
        <v>0</v>
      </c>
      <c r="M49" s="46">
        <f>+L49/J49</f>
        <v>0</v>
      </c>
      <c r="N49" s="47"/>
    </row>
    <row r="50" spans="1:14" x14ac:dyDescent="0.25">
      <c r="B50" s="51" t="s">
        <v>48</v>
      </c>
      <c r="C50" s="52">
        <f>SUM(C49:C49)</f>
        <v>0</v>
      </c>
      <c r="D50" s="53">
        <f>SUM(D49:D49)</f>
        <v>1942036.74</v>
      </c>
      <c r="E50" s="53">
        <f>SUM(E44:E49)</f>
        <v>8800196.0600000005</v>
      </c>
      <c r="F50" s="53">
        <f t="shared" ref="F50:K50" si="11">SUM(F49)</f>
        <v>1903196.06</v>
      </c>
      <c r="G50" s="53">
        <f t="shared" si="11"/>
        <v>2056196.01</v>
      </c>
      <c r="H50" s="53">
        <f t="shared" si="11"/>
        <v>2211511.52</v>
      </c>
      <c r="I50" s="53">
        <f t="shared" si="11"/>
        <v>2211511.52</v>
      </c>
      <c r="J50" s="53">
        <f t="shared" si="11"/>
        <v>2211511.52</v>
      </c>
      <c r="K50" s="53">
        <f t="shared" si="11"/>
        <v>2211511.52</v>
      </c>
      <c r="L50" s="57">
        <f>+K50-J50</f>
        <v>0</v>
      </c>
      <c r="M50" s="58">
        <f>+L50/J50</f>
        <v>0</v>
      </c>
      <c r="N50" s="56"/>
    </row>
    <row r="51" spans="1:14" x14ac:dyDescent="0.25">
      <c r="B51" s="51"/>
      <c r="C51" s="52"/>
      <c r="D51" s="53"/>
      <c r="E51" s="53"/>
      <c r="F51" s="53"/>
      <c r="G51" s="53"/>
      <c r="H51" s="53"/>
      <c r="I51" s="53"/>
      <c r="J51" s="53"/>
      <c r="K51" s="53"/>
      <c r="L51" s="57"/>
      <c r="M51" s="58"/>
      <c r="N51" s="56"/>
    </row>
    <row r="52" spans="1:14" hidden="1" outlineLevel="1" x14ac:dyDescent="0.25">
      <c r="B52" s="48" t="s">
        <v>49</v>
      </c>
      <c r="C52" s="24"/>
      <c r="D52" s="25"/>
      <c r="E52" s="25">
        <v>0</v>
      </c>
      <c r="F52" s="25">
        <v>330000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45">
        <f>+H52-G52</f>
        <v>0</v>
      </c>
      <c r="M52" s="27"/>
      <c r="N52" s="28"/>
    </row>
    <row r="53" spans="1:14" hidden="1" outlineLevel="1" x14ac:dyDescent="0.25">
      <c r="B53" s="48" t="s">
        <v>50</v>
      </c>
      <c r="C53" s="24">
        <v>112995</v>
      </c>
      <c r="D53" s="25">
        <v>94000</v>
      </c>
      <c r="E53" s="25">
        <v>94000</v>
      </c>
      <c r="F53" s="25">
        <v>94000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45">
        <f>+H53-G53</f>
        <v>0</v>
      </c>
      <c r="M53" s="27"/>
      <c r="N53" s="28"/>
    </row>
    <row r="54" spans="1:14" hidden="1" outlineLevel="1" x14ac:dyDescent="0.25">
      <c r="B54" s="48" t="s">
        <v>51</v>
      </c>
      <c r="C54" s="24"/>
      <c r="D54" s="25"/>
      <c r="E54" s="25">
        <v>0</v>
      </c>
      <c r="F54" s="25">
        <v>60000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45">
        <f>+H54-G54</f>
        <v>0</v>
      </c>
      <c r="M54" s="27"/>
      <c r="N54" s="28"/>
    </row>
    <row r="55" spans="1:14" hidden="1" outlineLevel="1" x14ac:dyDescent="0.25">
      <c r="B55" s="48" t="s">
        <v>52</v>
      </c>
      <c r="C55" s="24"/>
      <c r="D55" s="25"/>
      <c r="E55" s="25">
        <v>0</v>
      </c>
      <c r="F55" s="25">
        <v>24299.06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45">
        <f>+H55-G55</f>
        <v>0</v>
      </c>
      <c r="M55" s="27"/>
      <c r="N55" s="28"/>
    </row>
    <row r="56" spans="1:14" hidden="1" outlineLevel="1" x14ac:dyDescent="0.25">
      <c r="B56" s="51" t="s">
        <v>53</v>
      </c>
      <c r="C56" s="52" t="e">
        <f>SUM(#REF!)</f>
        <v>#REF!</v>
      </c>
      <c r="D56" s="53" t="e">
        <f>SUM(#REF!)</f>
        <v>#REF!</v>
      </c>
      <c r="E56" s="53">
        <f>SUM(E53:E55)</f>
        <v>94000</v>
      </c>
      <c r="F56" s="53">
        <f t="shared" ref="F56:K56" si="12">SUM(F52:F55)</f>
        <v>508299.06</v>
      </c>
      <c r="G56" s="53">
        <f t="shared" si="12"/>
        <v>0</v>
      </c>
      <c r="H56" s="53">
        <f t="shared" si="12"/>
        <v>0</v>
      </c>
      <c r="I56" s="53">
        <f t="shared" si="12"/>
        <v>0</v>
      </c>
      <c r="J56" s="53">
        <f t="shared" si="12"/>
        <v>0</v>
      </c>
      <c r="K56" s="53">
        <f t="shared" si="12"/>
        <v>0</v>
      </c>
      <c r="L56" s="54">
        <f>+H56-G56</f>
        <v>0</v>
      </c>
      <c r="M56" s="27"/>
      <c r="N56" s="56"/>
    </row>
    <row r="57" spans="1:14" hidden="1" outlineLevel="1" x14ac:dyDescent="0.25">
      <c r="B57" s="51"/>
      <c r="C57" s="52"/>
      <c r="D57" s="53"/>
      <c r="E57" s="53"/>
      <c r="F57" s="53"/>
      <c r="G57" s="53"/>
      <c r="H57" s="53"/>
      <c r="I57" s="53"/>
      <c r="J57" s="53"/>
      <c r="K57" s="53"/>
      <c r="L57" s="57"/>
      <c r="M57" s="58"/>
      <c r="N57" s="56"/>
    </row>
    <row r="58" spans="1:14" collapsed="1" x14ac:dyDescent="0.25">
      <c r="B58" s="29" t="s">
        <v>54</v>
      </c>
      <c r="C58" s="30">
        <f>+C39+C44</f>
        <v>4153353.8195238095</v>
      </c>
      <c r="D58" s="59" t="e">
        <f>+#REF!+D39+D44</f>
        <v>#REF!</v>
      </c>
      <c r="E58" s="59" t="e">
        <f>+#REF!+E39+E44</f>
        <v>#REF!</v>
      </c>
      <c r="F58" s="59">
        <f t="shared" ref="F58:K58" si="13">F39+F44+F50+F47+F56</f>
        <v>12108496.9</v>
      </c>
      <c r="G58" s="59">
        <f t="shared" si="13"/>
        <v>12630197.790000001</v>
      </c>
      <c r="H58" s="59">
        <f t="shared" si="13"/>
        <v>13546713.300000001</v>
      </c>
      <c r="I58" s="59">
        <f t="shared" si="13"/>
        <v>13607713.300000001</v>
      </c>
      <c r="J58" s="59">
        <f t="shared" si="13"/>
        <v>14793013.300000001</v>
      </c>
      <c r="K58" s="59">
        <f t="shared" si="13"/>
        <v>14593013.300000001</v>
      </c>
      <c r="L58" s="57">
        <f>+L39+L44+L47+L50+L56</f>
        <v>-200000</v>
      </c>
      <c r="M58" s="58">
        <f>+L58/J58</f>
        <v>-1.3519895909239802E-2</v>
      </c>
      <c r="N58" s="33"/>
    </row>
    <row r="59" spans="1:14" x14ac:dyDescent="0.25">
      <c r="B59" s="29"/>
      <c r="C59" s="30"/>
      <c r="D59" s="59"/>
      <c r="E59" s="59"/>
      <c r="F59" s="59"/>
      <c r="G59" s="59"/>
      <c r="H59" s="59"/>
      <c r="I59" s="59"/>
      <c r="J59" s="59"/>
      <c r="K59" s="59"/>
      <c r="L59" s="57"/>
      <c r="M59" s="58"/>
      <c r="N59" s="60"/>
    </row>
    <row r="60" spans="1:14" s="61" customFormat="1" x14ac:dyDescent="0.25">
      <c r="A60" s="2"/>
      <c r="B60" s="17" t="s">
        <v>55</v>
      </c>
      <c r="C60" s="35"/>
      <c r="D60" s="36"/>
      <c r="E60" s="36"/>
      <c r="F60" s="36"/>
      <c r="G60" s="36"/>
      <c r="H60" s="36"/>
      <c r="I60" s="36"/>
      <c r="J60" s="36"/>
      <c r="K60" s="36"/>
      <c r="L60" s="37"/>
      <c r="M60" s="38"/>
      <c r="N60" s="39"/>
    </row>
    <row r="61" spans="1:14" hidden="1" outlineLevel="1" x14ac:dyDescent="0.25">
      <c r="B61" s="48" t="s">
        <v>56</v>
      </c>
      <c r="C61" s="24">
        <v>6000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45">
        <f>+I61-H61</f>
        <v>0</v>
      </c>
      <c r="M61" s="46"/>
      <c r="N61" s="28"/>
    </row>
    <row r="62" spans="1:14" hidden="1" outlineLevel="1" x14ac:dyDescent="0.25">
      <c r="B62" s="48" t="s">
        <v>57</v>
      </c>
      <c r="C62" s="24">
        <v>18000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45">
        <f t="shared" ref="L62" si="14">+I62-H62</f>
        <v>0</v>
      </c>
      <c r="M62" s="46"/>
      <c r="N62" s="28"/>
    </row>
    <row r="63" spans="1:14" collapsed="1" x14ac:dyDescent="0.25">
      <c r="B63" s="23" t="s">
        <v>58</v>
      </c>
      <c r="C63" s="24">
        <v>175000</v>
      </c>
      <c r="D63" s="25">
        <v>150000</v>
      </c>
      <c r="E63" s="25">
        <v>150000</v>
      </c>
      <c r="F63" s="25">
        <v>150000</v>
      </c>
      <c r="G63" s="25">
        <v>150000</v>
      </c>
      <c r="H63" s="25">
        <v>150000</v>
      </c>
      <c r="I63" s="25">
        <v>150000</v>
      </c>
      <c r="J63" s="25">
        <v>150000</v>
      </c>
      <c r="K63" s="25">
        <v>0</v>
      </c>
      <c r="L63" s="45">
        <f>+K63-J63</f>
        <v>-150000</v>
      </c>
      <c r="M63" s="46">
        <f>+L63/J63</f>
        <v>-1</v>
      </c>
      <c r="N63" s="28"/>
    </row>
    <row r="64" spans="1:14" x14ac:dyDescent="0.25">
      <c r="B64" s="62" t="s">
        <v>59</v>
      </c>
      <c r="C64" s="24">
        <v>175000</v>
      </c>
      <c r="D64" s="25">
        <v>150000</v>
      </c>
      <c r="E64" s="25">
        <v>150000</v>
      </c>
      <c r="F64" s="25">
        <v>150000</v>
      </c>
      <c r="G64" s="25">
        <v>150000</v>
      </c>
      <c r="H64" s="25">
        <v>150000</v>
      </c>
      <c r="I64" s="25">
        <v>150000</v>
      </c>
      <c r="J64" s="25">
        <v>150000</v>
      </c>
      <c r="K64" s="25">
        <v>0</v>
      </c>
      <c r="L64" s="45">
        <f t="shared" ref="L64:L74" si="15">+K64-J64</f>
        <v>-150000</v>
      </c>
      <c r="M64" s="46">
        <f t="shared" ref="M64:M74" si="16">+L64/J64</f>
        <v>-1</v>
      </c>
      <c r="N64" s="28"/>
    </row>
    <row r="65" spans="2:14" x14ac:dyDescent="0.25">
      <c r="B65" s="62" t="s">
        <v>60</v>
      </c>
      <c r="C65" s="24">
        <v>33576</v>
      </c>
      <c r="D65" s="25">
        <v>7500</v>
      </c>
      <c r="E65" s="25">
        <v>7500</v>
      </c>
      <c r="F65" s="25">
        <v>7500</v>
      </c>
      <c r="G65" s="25">
        <v>6000</v>
      </c>
      <c r="H65" s="25">
        <v>6000</v>
      </c>
      <c r="I65" s="25">
        <v>6000</v>
      </c>
      <c r="J65" s="25">
        <v>6000</v>
      </c>
      <c r="K65" s="25">
        <v>0</v>
      </c>
      <c r="L65" s="45">
        <f t="shared" si="15"/>
        <v>-6000</v>
      </c>
      <c r="M65" s="46">
        <f t="shared" si="16"/>
        <v>-1</v>
      </c>
      <c r="N65" s="28"/>
    </row>
    <row r="66" spans="2:14" x14ac:dyDescent="0.25">
      <c r="B66" s="23" t="s">
        <v>61</v>
      </c>
      <c r="C66" s="24">
        <v>40000</v>
      </c>
      <c r="D66" s="25">
        <v>40000</v>
      </c>
      <c r="E66" s="25">
        <v>40000</v>
      </c>
      <c r="F66" s="25">
        <v>40000</v>
      </c>
      <c r="G66" s="25">
        <v>40000</v>
      </c>
      <c r="H66" s="25">
        <v>40000</v>
      </c>
      <c r="I66" s="25">
        <v>40000</v>
      </c>
      <c r="J66" s="25">
        <v>40000</v>
      </c>
      <c r="K66" s="25">
        <v>0</v>
      </c>
      <c r="L66" s="45">
        <f t="shared" si="15"/>
        <v>-40000</v>
      </c>
      <c r="M66" s="46">
        <f t="shared" si="16"/>
        <v>-1</v>
      </c>
      <c r="N66" s="28"/>
    </row>
    <row r="67" spans="2:14" x14ac:dyDescent="0.25">
      <c r="B67" s="23" t="s">
        <v>62</v>
      </c>
      <c r="C67" s="24">
        <v>6000</v>
      </c>
      <c r="D67" s="25">
        <v>6000</v>
      </c>
      <c r="E67" s="25">
        <v>6000</v>
      </c>
      <c r="F67" s="25">
        <v>6000</v>
      </c>
      <c r="G67" s="25">
        <v>6000</v>
      </c>
      <c r="H67" s="25">
        <v>6000</v>
      </c>
      <c r="I67" s="25">
        <v>6000</v>
      </c>
      <c r="J67" s="25">
        <v>6000</v>
      </c>
      <c r="K67" s="25">
        <v>0</v>
      </c>
      <c r="L67" s="45">
        <f t="shared" si="15"/>
        <v>-6000</v>
      </c>
      <c r="M67" s="46">
        <f t="shared" si="16"/>
        <v>-1</v>
      </c>
      <c r="N67" s="28"/>
    </row>
    <row r="68" spans="2:14" x14ac:dyDescent="0.25">
      <c r="B68" s="23" t="s">
        <v>63</v>
      </c>
      <c r="C68" s="24">
        <v>23351</v>
      </c>
      <c r="D68" s="25">
        <v>23351</v>
      </c>
      <c r="E68" s="25">
        <v>23351</v>
      </c>
      <c r="F68" s="25">
        <v>23351</v>
      </c>
      <c r="G68" s="25">
        <v>23351</v>
      </c>
      <c r="H68" s="25">
        <v>23351</v>
      </c>
      <c r="I68" s="25">
        <v>23351</v>
      </c>
      <c r="J68" s="25">
        <v>23351</v>
      </c>
      <c r="K68" s="25">
        <v>0</v>
      </c>
      <c r="L68" s="45">
        <f t="shared" si="15"/>
        <v>-23351</v>
      </c>
      <c r="M68" s="46">
        <f t="shared" si="16"/>
        <v>-1</v>
      </c>
      <c r="N68" s="28"/>
    </row>
    <row r="69" spans="2:14" x14ac:dyDescent="0.25">
      <c r="B69" s="23" t="s">
        <v>64</v>
      </c>
      <c r="C69" s="24">
        <v>6000</v>
      </c>
      <c r="D69" s="25">
        <v>0</v>
      </c>
      <c r="E69" s="25">
        <v>3000</v>
      </c>
      <c r="F69" s="25">
        <v>3000</v>
      </c>
      <c r="G69" s="25">
        <v>3000</v>
      </c>
      <c r="H69" s="25">
        <v>3000</v>
      </c>
      <c r="I69" s="25">
        <v>3000</v>
      </c>
      <c r="J69" s="25">
        <v>3000</v>
      </c>
      <c r="K69" s="25">
        <v>0</v>
      </c>
      <c r="L69" s="45">
        <f t="shared" si="15"/>
        <v>-3000</v>
      </c>
      <c r="M69" s="46">
        <f t="shared" si="16"/>
        <v>-1</v>
      </c>
      <c r="N69" s="28"/>
    </row>
    <row r="70" spans="2:14" x14ac:dyDescent="0.25">
      <c r="B70" s="23" t="s">
        <v>65</v>
      </c>
      <c r="C70" s="24">
        <v>18000</v>
      </c>
      <c r="D70" s="25">
        <v>18000</v>
      </c>
      <c r="E70" s="25">
        <v>18000</v>
      </c>
      <c r="F70" s="25">
        <v>18000</v>
      </c>
      <c r="G70" s="25">
        <v>18000</v>
      </c>
      <c r="H70" s="25">
        <v>18000</v>
      </c>
      <c r="I70" s="25">
        <v>18000</v>
      </c>
      <c r="J70" s="25">
        <v>18000</v>
      </c>
      <c r="K70" s="25">
        <v>0</v>
      </c>
      <c r="L70" s="45">
        <f t="shared" si="15"/>
        <v>-18000</v>
      </c>
      <c r="M70" s="46">
        <f t="shared" si="16"/>
        <v>-1</v>
      </c>
      <c r="N70" s="28"/>
    </row>
    <row r="71" spans="2:14" x14ac:dyDescent="0.25">
      <c r="B71" s="48" t="s">
        <v>66</v>
      </c>
      <c r="C71" s="42">
        <v>40000</v>
      </c>
      <c r="D71" s="43">
        <v>0</v>
      </c>
      <c r="E71" s="43">
        <v>0</v>
      </c>
      <c r="F71" s="43">
        <v>0</v>
      </c>
      <c r="G71" s="43">
        <v>36000</v>
      </c>
      <c r="H71" s="43">
        <v>18000</v>
      </c>
      <c r="I71" s="43">
        <v>18000</v>
      </c>
      <c r="J71" s="43">
        <v>18000</v>
      </c>
      <c r="K71" s="43">
        <v>0</v>
      </c>
      <c r="L71" s="45">
        <f t="shared" si="15"/>
        <v>-18000</v>
      </c>
      <c r="M71" s="46">
        <f t="shared" si="16"/>
        <v>-1</v>
      </c>
      <c r="N71" s="47"/>
    </row>
    <row r="72" spans="2:14" x14ac:dyDescent="0.25">
      <c r="B72" s="23" t="s">
        <v>67</v>
      </c>
      <c r="C72" s="24">
        <v>18000</v>
      </c>
      <c r="D72" s="25">
        <v>18000</v>
      </c>
      <c r="E72" s="25">
        <v>18000</v>
      </c>
      <c r="F72" s="25">
        <v>18000</v>
      </c>
      <c r="G72" s="25">
        <v>18000</v>
      </c>
      <c r="H72" s="25">
        <v>18000</v>
      </c>
      <c r="I72" s="25">
        <v>18000</v>
      </c>
      <c r="J72" s="25">
        <v>18000</v>
      </c>
      <c r="K72" s="25">
        <v>0</v>
      </c>
      <c r="L72" s="45">
        <f t="shared" si="15"/>
        <v>-18000</v>
      </c>
      <c r="M72" s="46">
        <f t="shared" si="16"/>
        <v>-1</v>
      </c>
      <c r="N72" s="28"/>
    </row>
    <row r="73" spans="2:14" x14ac:dyDescent="0.25">
      <c r="B73" s="23" t="s">
        <v>68</v>
      </c>
      <c r="C73" s="24"/>
      <c r="D73" s="25"/>
      <c r="E73" s="25"/>
      <c r="F73" s="25"/>
      <c r="G73" s="25"/>
      <c r="H73" s="25"/>
      <c r="I73" s="25"/>
      <c r="J73" s="25">
        <v>0</v>
      </c>
      <c r="K73" s="25">
        <v>150000</v>
      </c>
      <c r="L73" s="45">
        <f>+K73-J73</f>
        <v>150000</v>
      </c>
      <c r="M73" s="46" t="e">
        <f>+L73/J73</f>
        <v>#DIV/0!</v>
      </c>
      <c r="N73" s="28"/>
    </row>
    <row r="74" spans="2:14" x14ac:dyDescent="0.25">
      <c r="B74" s="23" t="s">
        <v>69</v>
      </c>
      <c r="C74" s="24"/>
      <c r="D74" s="25"/>
      <c r="E74" s="25"/>
      <c r="F74" s="25">
        <v>0</v>
      </c>
      <c r="G74" s="25">
        <v>0</v>
      </c>
      <c r="H74" s="25">
        <v>50000</v>
      </c>
      <c r="I74" s="25">
        <v>50000</v>
      </c>
      <c r="J74" s="25">
        <v>50000</v>
      </c>
      <c r="K74" s="25">
        <v>0</v>
      </c>
      <c r="L74" s="45">
        <f t="shared" si="15"/>
        <v>-50000</v>
      </c>
      <c r="M74" s="46">
        <f t="shared" si="16"/>
        <v>-1</v>
      </c>
      <c r="N74" s="28"/>
    </row>
    <row r="75" spans="2:14" x14ac:dyDescent="0.25">
      <c r="B75" s="29" t="s">
        <v>70</v>
      </c>
      <c r="C75" s="30">
        <f t="shared" ref="C75:L75" si="17">SUM(C61:C74)</f>
        <v>558927</v>
      </c>
      <c r="D75" s="59">
        <f t="shared" si="17"/>
        <v>412851</v>
      </c>
      <c r="E75" s="59">
        <f t="shared" si="17"/>
        <v>415851</v>
      </c>
      <c r="F75" s="59">
        <f t="shared" si="17"/>
        <v>415851</v>
      </c>
      <c r="G75" s="59">
        <f t="shared" si="17"/>
        <v>450351</v>
      </c>
      <c r="H75" s="59">
        <f t="shared" si="17"/>
        <v>482351</v>
      </c>
      <c r="I75" s="59">
        <f t="shared" si="17"/>
        <v>482351</v>
      </c>
      <c r="J75" s="59">
        <f t="shared" si="17"/>
        <v>482351</v>
      </c>
      <c r="K75" s="59">
        <f t="shared" ref="K75" si="18">SUM(K61:K74)</f>
        <v>150000</v>
      </c>
      <c r="L75" s="31">
        <f t="shared" si="17"/>
        <v>-332351</v>
      </c>
      <c r="M75" s="55">
        <f>+L75/J75</f>
        <v>-0.68902313875165599</v>
      </c>
      <c r="N75" s="60"/>
    </row>
    <row r="76" spans="2:14" x14ac:dyDescent="0.25">
      <c r="B76" s="29"/>
      <c r="C76" s="30"/>
      <c r="D76" s="59"/>
      <c r="E76" s="59"/>
      <c r="F76" s="59"/>
      <c r="G76" s="59"/>
      <c r="H76" s="59"/>
      <c r="I76" s="59"/>
      <c r="J76" s="59"/>
      <c r="K76" s="59"/>
      <c r="L76" s="57"/>
      <c r="M76" s="58"/>
      <c r="N76" s="60"/>
    </row>
    <row r="77" spans="2:14" x14ac:dyDescent="0.25">
      <c r="B77" s="17" t="s">
        <v>71</v>
      </c>
      <c r="C77" s="30"/>
      <c r="D77" s="59"/>
      <c r="E77" s="59"/>
      <c r="F77" s="59"/>
      <c r="G77" s="59"/>
      <c r="H77" s="59"/>
      <c r="I77" s="59"/>
      <c r="J77" s="59"/>
      <c r="K77" s="59"/>
      <c r="L77" s="57"/>
      <c r="M77" s="58"/>
      <c r="N77" s="60"/>
    </row>
    <row r="78" spans="2:14" x14ac:dyDescent="0.25">
      <c r="B78" s="48" t="s">
        <v>72</v>
      </c>
      <c r="C78" s="42">
        <v>0</v>
      </c>
      <c r="D78" s="43">
        <v>400000</v>
      </c>
      <c r="E78" s="43">
        <v>400000</v>
      </c>
      <c r="F78" s="43">
        <v>400000</v>
      </c>
      <c r="G78" s="43">
        <v>400000</v>
      </c>
      <c r="H78" s="43">
        <v>400000</v>
      </c>
      <c r="I78" s="43">
        <v>400000</v>
      </c>
      <c r="J78" s="43">
        <v>400000</v>
      </c>
      <c r="K78" s="43">
        <v>309430.94</v>
      </c>
      <c r="L78" s="45">
        <f>+K78-J78</f>
        <v>-90569.06</v>
      </c>
      <c r="M78" s="27">
        <f>+L78/J78</f>
        <v>-0.22642265</v>
      </c>
      <c r="N78" s="47"/>
    </row>
    <row r="79" spans="2:14" x14ac:dyDescent="0.25">
      <c r="B79" s="48" t="s">
        <v>73</v>
      </c>
      <c r="C79" s="42"/>
      <c r="D79" s="43"/>
      <c r="E79" s="43"/>
      <c r="F79" s="43"/>
      <c r="G79" s="43"/>
      <c r="H79" s="43"/>
      <c r="I79" s="43"/>
      <c r="J79" s="43">
        <v>0</v>
      </c>
      <c r="K79" s="43">
        <v>150000</v>
      </c>
      <c r="L79" s="45">
        <f>+K79-J79</f>
        <v>150000</v>
      </c>
      <c r="M79" s="27"/>
      <c r="N79" s="47"/>
    </row>
    <row r="80" spans="2:14" hidden="1" outlineLevel="1" x14ac:dyDescent="0.25">
      <c r="B80" s="48" t="s">
        <v>74</v>
      </c>
      <c r="C80" s="24">
        <v>0</v>
      </c>
      <c r="D80" s="25">
        <v>0</v>
      </c>
      <c r="E80" s="25">
        <v>259133.33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45">
        <f t="shared" ref="L80:L82" si="19">+K80-J80</f>
        <v>0</v>
      </c>
      <c r="M80" s="27"/>
      <c r="N80" s="28"/>
    </row>
    <row r="81" spans="2:14" hidden="1" outlineLevel="1" collapsed="1" x14ac:dyDescent="0.25">
      <c r="B81" s="48" t="s">
        <v>75</v>
      </c>
      <c r="C81" s="24">
        <v>0</v>
      </c>
      <c r="D81" s="25">
        <v>50000</v>
      </c>
      <c r="E81" s="25">
        <v>0</v>
      </c>
      <c r="F81" s="25">
        <v>100000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45">
        <f t="shared" si="19"/>
        <v>0</v>
      </c>
      <c r="M81" s="27"/>
      <c r="N81" s="28"/>
    </row>
    <row r="82" spans="2:14" hidden="1" outlineLevel="1" x14ac:dyDescent="0.25">
      <c r="B82" s="48" t="s">
        <v>76</v>
      </c>
      <c r="C82" s="24">
        <v>0</v>
      </c>
      <c r="D82" s="25">
        <v>50000</v>
      </c>
      <c r="E82" s="25">
        <v>50000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45">
        <f t="shared" si="19"/>
        <v>0</v>
      </c>
      <c r="M82" s="27"/>
      <c r="N82" s="28"/>
    </row>
    <row r="83" spans="2:14" collapsed="1" x14ac:dyDescent="0.25">
      <c r="B83" s="48" t="s">
        <v>77</v>
      </c>
      <c r="C83" s="24"/>
      <c r="D83" s="25"/>
      <c r="E83" s="25"/>
      <c r="F83" s="25"/>
      <c r="G83" s="25"/>
      <c r="H83" s="25"/>
      <c r="I83" s="25">
        <v>0</v>
      </c>
      <c r="J83" s="25">
        <v>0</v>
      </c>
      <c r="K83" s="25">
        <v>100000</v>
      </c>
      <c r="L83" s="45">
        <f>+K83-J83</f>
        <v>100000</v>
      </c>
      <c r="M83" s="27"/>
      <c r="N83" s="28"/>
    </row>
    <row r="84" spans="2:14" x14ac:dyDescent="0.25">
      <c r="B84" s="29" t="s">
        <v>78</v>
      </c>
      <c r="C84" s="30">
        <f t="shared" ref="C84:H84" si="20">SUM(C78:C82)</f>
        <v>0</v>
      </c>
      <c r="D84" s="59">
        <f t="shared" si="20"/>
        <v>500000</v>
      </c>
      <c r="E84" s="59">
        <f t="shared" si="20"/>
        <v>709133.33</v>
      </c>
      <c r="F84" s="59">
        <f t="shared" si="20"/>
        <v>500000</v>
      </c>
      <c r="G84" s="59">
        <f t="shared" si="20"/>
        <v>400000</v>
      </c>
      <c r="H84" s="59">
        <f t="shared" si="20"/>
        <v>400000</v>
      </c>
      <c r="I84" s="59">
        <f>SUM(I78:I83)</f>
        <v>400000</v>
      </c>
      <c r="J84" s="59">
        <f>SUM(J78:J83)</f>
        <v>400000</v>
      </c>
      <c r="K84" s="59">
        <f>SUM(K78:K83)</f>
        <v>559430.93999999994</v>
      </c>
      <c r="L84" s="57">
        <f>SUM(L78:L83)</f>
        <v>159430.94</v>
      </c>
      <c r="M84" s="32">
        <f>+L84/J84</f>
        <v>0.39857735</v>
      </c>
      <c r="N84" s="33"/>
    </row>
    <row r="85" spans="2:14" x14ac:dyDescent="0.25">
      <c r="B85" s="29"/>
      <c r="C85" s="30"/>
      <c r="D85" s="59"/>
      <c r="E85" s="59"/>
      <c r="F85" s="59"/>
      <c r="G85" s="59"/>
      <c r="H85" s="59"/>
      <c r="I85" s="59"/>
      <c r="J85" s="59"/>
      <c r="K85" s="59"/>
      <c r="L85" s="57"/>
      <c r="M85" s="58"/>
      <c r="N85" s="33"/>
    </row>
    <row r="86" spans="2:14" x14ac:dyDescent="0.25">
      <c r="B86" s="17" t="s">
        <v>79</v>
      </c>
      <c r="C86" s="63"/>
      <c r="D86" s="64"/>
      <c r="E86" s="64"/>
      <c r="F86" s="64"/>
      <c r="G86" s="64"/>
      <c r="H86" s="64"/>
      <c r="I86" s="64"/>
      <c r="J86" s="64"/>
      <c r="K86" s="64"/>
      <c r="L86" s="65"/>
      <c r="M86" s="27"/>
      <c r="N86" s="66"/>
    </row>
    <row r="87" spans="2:14" hidden="1" outlineLevel="1" x14ac:dyDescent="0.25">
      <c r="B87" s="23" t="s">
        <v>80</v>
      </c>
      <c r="C87" s="24">
        <v>300000</v>
      </c>
      <c r="D87" s="25">
        <v>0</v>
      </c>
      <c r="E87" s="25">
        <v>259133.33</v>
      </c>
      <c r="F87" s="25">
        <v>0</v>
      </c>
      <c r="G87" s="25">
        <v>0</v>
      </c>
      <c r="H87" s="25"/>
      <c r="I87" s="25"/>
      <c r="J87" s="25"/>
      <c r="K87" s="25"/>
      <c r="L87" s="45">
        <f>+G87-F87</f>
        <v>0</v>
      </c>
      <c r="M87" s="27" t="e">
        <f>+L87/F87</f>
        <v>#DIV/0!</v>
      </c>
      <c r="N87" s="28"/>
    </row>
    <row r="88" spans="2:14" hidden="1" outlineLevel="1" x14ac:dyDescent="0.25">
      <c r="B88" s="23" t="s">
        <v>81</v>
      </c>
      <c r="C88" s="24"/>
      <c r="D88" s="25">
        <v>30987.09</v>
      </c>
      <c r="E88" s="25">
        <v>10329.030000000001</v>
      </c>
      <c r="F88" s="25">
        <v>0</v>
      </c>
      <c r="G88" s="25">
        <v>0</v>
      </c>
      <c r="H88" s="25"/>
      <c r="I88" s="25"/>
      <c r="J88" s="25"/>
      <c r="K88" s="25"/>
      <c r="L88" s="45">
        <f>+G88-F88</f>
        <v>0</v>
      </c>
      <c r="M88" s="27" t="e">
        <f>+L88/F88</f>
        <v>#DIV/0!</v>
      </c>
      <c r="N88" s="28"/>
    </row>
    <row r="89" spans="2:14" hidden="1" outlineLevel="2" x14ac:dyDescent="0.25">
      <c r="B89" s="23" t="s">
        <v>82</v>
      </c>
      <c r="C89" s="24"/>
      <c r="D89" s="25">
        <v>0</v>
      </c>
      <c r="E89" s="25">
        <v>0</v>
      </c>
      <c r="F89" s="25">
        <v>0</v>
      </c>
      <c r="G89" s="25">
        <v>0</v>
      </c>
      <c r="H89" s="25"/>
      <c r="I89" s="25"/>
      <c r="J89" s="25"/>
      <c r="K89" s="25"/>
      <c r="L89" s="26">
        <f>+F89-E89</f>
        <v>0</v>
      </c>
      <c r="M89" s="27" t="e">
        <f>+L89/E89</f>
        <v>#DIV/0!</v>
      </c>
      <c r="N89" s="28"/>
    </row>
    <row r="90" spans="2:14" hidden="1" outlineLevel="1" x14ac:dyDescent="0.25">
      <c r="B90" s="23" t="s">
        <v>83</v>
      </c>
      <c r="C90" s="24"/>
      <c r="D90" s="25">
        <v>0</v>
      </c>
      <c r="E90" s="25">
        <v>61333.17</v>
      </c>
      <c r="F90" s="25">
        <v>0</v>
      </c>
      <c r="G90" s="25">
        <v>0</v>
      </c>
      <c r="H90" s="25"/>
      <c r="I90" s="25"/>
      <c r="J90" s="25"/>
      <c r="K90" s="25"/>
      <c r="L90" s="45">
        <f>+G90-F90</f>
        <v>0</v>
      </c>
      <c r="M90" s="27" t="e">
        <f>+L90/F90</f>
        <v>#DIV/0!</v>
      </c>
      <c r="N90" s="28"/>
    </row>
    <row r="91" spans="2:14" hidden="1" outlineLevel="1" x14ac:dyDescent="0.25">
      <c r="B91" s="23" t="s">
        <v>84</v>
      </c>
      <c r="C91" s="24"/>
      <c r="D91" s="25">
        <v>0</v>
      </c>
      <c r="E91" s="25">
        <v>43258.15</v>
      </c>
      <c r="F91" s="25">
        <v>0</v>
      </c>
      <c r="G91" s="25">
        <v>0</v>
      </c>
      <c r="H91" s="25"/>
      <c r="I91" s="25"/>
      <c r="J91" s="25"/>
      <c r="K91" s="25"/>
      <c r="L91" s="45">
        <f>+G91-F91</f>
        <v>0</v>
      </c>
      <c r="M91" s="27" t="e">
        <f>+L91/F91</f>
        <v>#DIV/0!</v>
      </c>
      <c r="N91" s="28"/>
    </row>
    <row r="92" spans="2:14" collapsed="1" x14ac:dyDescent="0.25">
      <c r="B92" s="23" t="s">
        <v>85</v>
      </c>
      <c r="C92" s="24"/>
      <c r="D92" s="25"/>
      <c r="E92" s="25"/>
      <c r="F92" s="25">
        <v>0</v>
      </c>
      <c r="G92" s="25">
        <v>26449.4</v>
      </c>
      <c r="H92" s="25">
        <v>0</v>
      </c>
      <c r="I92" s="25">
        <v>28310</v>
      </c>
      <c r="J92" s="25">
        <v>28310</v>
      </c>
      <c r="K92" s="25">
        <v>39672.89</v>
      </c>
      <c r="L92" s="45">
        <f>+K92-J92</f>
        <v>11362.89</v>
      </c>
      <c r="M92" s="27">
        <f>(L92/J92)</f>
        <v>0.40137371953373363</v>
      </c>
      <c r="N92" s="28"/>
    </row>
    <row r="93" spans="2:14" x14ac:dyDescent="0.25">
      <c r="B93" s="23" t="s">
        <v>86</v>
      </c>
      <c r="C93" s="24"/>
      <c r="D93" s="25"/>
      <c r="E93" s="25"/>
      <c r="F93" s="25">
        <v>0</v>
      </c>
      <c r="G93" s="25">
        <v>30768</v>
      </c>
      <c r="H93" s="25">
        <v>77441.539999999994</v>
      </c>
      <c r="I93" s="25">
        <v>77441.539999999994</v>
      </c>
      <c r="J93" s="25">
        <v>77441.539999999994</v>
      </c>
      <c r="K93" s="25">
        <v>0</v>
      </c>
      <c r="L93" s="45">
        <f t="shared" ref="L93:L96" si="21">+K93-J93</f>
        <v>-77441.539999999994</v>
      </c>
      <c r="M93" s="27">
        <f t="shared" ref="M93:M96" si="22">(L93/J93)</f>
        <v>-1</v>
      </c>
      <c r="N93" s="28"/>
    </row>
    <row r="94" spans="2:14" hidden="1" outlineLevel="1" x14ac:dyDescent="0.25">
      <c r="B94" s="23" t="s">
        <v>87</v>
      </c>
      <c r="C94" s="24"/>
      <c r="D94" s="25"/>
      <c r="E94" s="25"/>
      <c r="F94" s="25">
        <v>0</v>
      </c>
      <c r="G94" s="25">
        <v>0</v>
      </c>
      <c r="H94" s="25">
        <v>43840.18</v>
      </c>
      <c r="I94" s="25">
        <v>43840.18</v>
      </c>
      <c r="J94" s="25">
        <v>0</v>
      </c>
      <c r="K94" s="25">
        <v>0</v>
      </c>
      <c r="L94" s="45">
        <f t="shared" si="21"/>
        <v>0</v>
      </c>
      <c r="M94" s="27" t="e">
        <f t="shared" si="22"/>
        <v>#DIV/0!</v>
      </c>
      <c r="N94" s="28"/>
    </row>
    <row r="95" spans="2:14" collapsed="1" x14ac:dyDescent="0.25">
      <c r="B95" s="23" t="s">
        <v>88</v>
      </c>
      <c r="C95" s="24"/>
      <c r="D95" s="25">
        <v>0</v>
      </c>
      <c r="E95" s="25"/>
      <c r="F95" s="25">
        <v>0</v>
      </c>
      <c r="G95" s="25">
        <v>32823.599999999999</v>
      </c>
      <c r="H95" s="25">
        <v>50451.75</v>
      </c>
      <c r="I95" s="25">
        <v>50451.75</v>
      </c>
      <c r="J95" s="25">
        <v>50451.75</v>
      </c>
      <c r="K95" s="25">
        <v>0</v>
      </c>
      <c r="L95" s="45">
        <f t="shared" si="21"/>
        <v>-50451.75</v>
      </c>
      <c r="M95" s="27">
        <f t="shared" si="22"/>
        <v>-1</v>
      </c>
      <c r="N95" s="28"/>
    </row>
    <row r="96" spans="2:14" x14ac:dyDescent="0.25">
      <c r="B96" s="23" t="s">
        <v>89</v>
      </c>
      <c r="C96" s="24"/>
      <c r="D96" s="25"/>
      <c r="E96" s="25"/>
      <c r="F96" s="25"/>
      <c r="G96" s="25"/>
      <c r="H96" s="25"/>
      <c r="I96" s="25">
        <v>0</v>
      </c>
      <c r="J96" s="25">
        <f>45000/1.065</f>
        <v>42253.521126760563</v>
      </c>
      <c r="K96" s="25">
        <v>0</v>
      </c>
      <c r="L96" s="45">
        <f t="shared" si="21"/>
        <v>-42253.521126760563</v>
      </c>
      <c r="M96" s="27">
        <f t="shared" si="22"/>
        <v>-1</v>
      </c>
      <c r="N96" s="28"/>
    </row>
    <row r="97" spans="2:14" x14ac:dyDescent="0.25">
      <c r="B97" s="29" t="s">
        <v>90</v>
      </c>
      <c r="C97" s="30">
        <f t="shared" ref="C97:K97" si="23">SUM(C87:C96)</f>
        <v>300000</v>
      </c>
      <c r="D97" s="59">
        <f t="shared" si="23"/>
        <v>30987.09</v>
      </c>
      <c r="E97" s="59">
        <f t="shared" si="23"/>
        <v>374053.68</v>
      </c>
      <c r="F97" s="59">
        <f t="shared" si="23"/>
        <v>0</v>
      </c>
      <c r="G97" s="59">
        <f t="shared" si="23"/>
        <v>90041</v>
      </c>
      <c r="H97" s="59">
        <f t="shared" si="23"/>
        <v>171733.47</v>
      </c>
      <c r="I97" s="59">
        <f t="shared" si="23"/>
        <v>200043.47</v>
      </c>
      <c r="J97" s="59">
        <f t="shared" si="23"/>
        <v>198456.81112676056</v>
      </c>
      <c r="K97" s="59">
        <f t="shared" si="23"/>
        <v>39672.89</v>
      </c>
      <c r="L97" s="57">
        <f>SUM(L88:L96)</f>
        <v>-158783.92112676054</v>
      </c>
      <c r="M97" s="32">
        <f>+L97/J97</f>
        <v>-0.80009307932162776</v>
      </c>
      <c r="N97" s="33"/>
    </row>
    <row r="98" spans="2:14" x14ac:dyDescent="0.25">
      <c r="B98" s="29"/>
      <c r="C98" s="67"/>
      <c r="D98" s="68"/>
      <c r="E98" s="68"/>
      <c r="F98" s="68"/>
      <c r="G98" s="68"/>
      <c r="H98" s="68"/>
      <c r="I98" s="68"/>
      <c r="J98" s="68"/>
      <c r="K98" s="68"/>
      <c r="L98" s="69"/>
      <c r="M98" s="58"/>
      <c r="N98" s="60"/>
    </row>
    <row r="99" spans="2:14" x14ac:dyDescent="0.25">
      <c r="B99" s="17" t="s">
        <v>91</v>
      </c>
      <c r="C99" s="70"/>
      <c r="D99" s="71"/>
      <c r="E99" s="71"/>
      <c r="F99" s="71"/>
      <c r="G99" s="71"/>
      <c r="H99" s="71"/>
      <c r="I99" s="71"/>
      <c r="J99" s="71"/>
      <c r="K99" s="71"/>
      <c r="L99" s="72"/>
      <c r="M99" s="27"/>
      <c r="N99" s="66"/>
    </row>
    <row r="100" spans="2:14" hidden="1" outlineLevel="1" x14ac:dyDescent="0.25">
      <c r="B100" s="48" t="s">
        <v>92</v>
      </c>
      <c r="C100" s="42">
        <v>25000</v>
      </c>
      <c r="D100" s="43">
        <v>100000</v>
      </c>
      <c r="E100" s="43">
        <v>100000</v>
      </c>
      <c r="F100" s="43">
        <v>100000</v>
      </c>
      <c r="G100" s="43">
        <v>70000</v>
      </c>
      <c r="H100" s="43">
        <v>70000</v>
      </c>
      <c r="I100" s="43">
        <v>70000</v>
      </c>
      <c r="J100" s="43">
        <v>0</v>
      </c>
      <c r="K100" s="43">
        <v>0</v>
      </c>
      <c r="L100" s="45">
        <f>+K100-J100</f>
        <v>0</v>
      </c>
      <c r="M100" s="46" t="e">
        <f>+K100/J100</f>
        <v>#DIV/0!</v>
      </c>
      <c r="N100" s="47"/>
    </row>
    <row r="101" spans="2:14" hidden="1" outlineLevel="1" x14ac:dyDescent="0.25">
      <c r="B101" s="48" t="s">
        <v>93</v>
      </c>
      <c r="C101" s="24">
        <v>0</v>
      </c>
      <c r="D101" s="25">
        <v>30000</v>
      </c>
      <c r="E101" s="25">
        <v>30000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45">
        <f>+G101-F101</f>
        <v>0</v>
      </c>
      <c r="M101" s="46" t="e">
        <f>+L101/F101</f>
        <v>#DIV/0!</v>
      </c>
      <c r="N101" s="28"/>
    </row>
    <row r="102" spans="2:14" collapsed="1" x14ac:dyDescent="0.25">
      <c r="B102" s="29" t="s">
        <v>94</v>
      </c>
      <c r="C102" s="30">
        <f t="shared" ref="C102:K102" si="24">SUM(C100:C101)</f>
        <v>25000</v>
      </c>
      <c r="D102" s="59">
        <f t="shared" si="24"/>
        <v>130000</v>
      </c>
      <c r="E102" s="59">
        <f t="shared" si="24"/>
        <v>130000</v>
      </c>
      <c r="F102" s="59">
        <f t="shared" si="24"/>
        <v>100000</v>
      </c>
      <c r="G102" s="59">
        <f t="shared" si="24"/>
        <v>70000</v>
      </c>
      <c r="H102" s="59">
        <f t="shared" si="24"/>
        <v>70000</v>
      </c>
      <c r="I102" s="59">
        <f t="shared" si="24"/>
        <v>70000</v>
      </c>
      <c r="J102" s="59">
        <f t="shared" si="24"/>
        <v>0</v>
      </c>
      <c r="K102" s="59">
        <f t="shared" si="24"/>
        <v>0</v>
      </c>
      <c r="L102" s="57">
        <f>SUM(L98:L101)</f>
        <v>0</v>
      </c>
      <c r="M102" s="58"/>
      <c r="N102" s="33"/>
    </row>
    <row r="103" spans="2:14" x14ac:dyDescent="0.25">
      <c r="B103" s="29"/>
      <c r="C103" s="67"/>
      <c r="D103" s="68"/>
      <c r="E103" s="68"/>
      <c r="F103" s="68"/>
      <c r="G103" s="68"/>
      <c r="H103" s="68"/>
      <c r="I103" s="68"/>
      <c r="J103" s="68"/>
      <c r="K103" s="68"/>
      <c r="L103" s="69"/>
      <c r="M103" s="58"/>
      <c r="N103" s="60"/>
    </row>
    <row r="104" spans="2:14" x14ac:dyDescent="0.25">
      <c r="B104" s="17" t="s">
        <v>95</v>
      </c>
      <c r="C104" s="67"/>
      <c r="D104" s="68"/>
      <c r="E104" s="68"/>
      <c r="F104" s="68"/>
      <c r="G104" s="68"/>
      <c r="H104" s="68"/>
      <c r="I104" s="68"/>
      <c r="J104" s="68"/>
      <c r="K104" s="68"/>
      <c r="L104" s="69"/>
      <c r="M104" s="58"/>
      <c r="N104" s="60"/>
    </row>
    <row r="105" spans="2:14" x14ac:dyDescent="0.25">
      <c r="B105" s="23" t="s">
        <v>96</v>
      </c>
      <c r="C105" s="24">
        <v>4000</v>
      </c>
      <c r="D105" s="25">
        <v>3000</v>
      </c>
      <c r="E105" s="25">
        <v>3000</v>
      </c>
      <c r="F105" s="25">
        <v>3000</v>
      </c>
      <c r="G105" s="25">
        <v>3000</v>
      </c>
      <c r="H105" s="25">
        <v>3000</v>
      </c>
      <c r="I105" s="25">
        <v>3000</v>
      </c>
      <c r="J105" s="25">
        <v>3000</v>
      </c>
      <c r="K105" s="25">
        <v>3000</v>
      </c>
      <c r="L105" s="45">
        <f>+K105-J105</f>
        <v>0</v>
      </c>
      <c r="M105" s="46">
        <f>+L105/J105</f>
        <v>0</v>
      </c>
      <c r="N105" s="28"/>
    </row>
    <row r="106" spans="2:14" x14ac:dyDescent="0.25">
      <c r="B106" s="23" t="s">
        <v>97</v>
      </c>
      <c r="C106" s="24">
        <v>96801.16</v>
      </c>
      <c r="D106" s="25">
        <v>5826.05</v>
      </c>
      <c r="E106" s="25">
        <v>5826.05</v>
      </c>
      <c r="F106" s="25">
        <v>5840.49</v>
      </c>
      <c r="G106" s="25">
        <v>5824.53</v>
      </c>
      <c r="H106" s="25">
        <v>5824.53</v>
      </c>
      <c r="I106" s="25">
        <v>5824.53</v>
      </c>
      <c r="J106" s="25">
        <v>5824.53</v>
      </c>
      <c r="K106" s="25">
        <v>5824.53</v>
      </c>
      <c r="L106" s="45">
        <f>+K106-J106</f>
        <v>0</v>
      </c>
      <c r="M106" s="46">
        <f>+L106/J106</f>
        <v>0</v>
      </c>
      <c r="N106" s="28"/>
    </row>
    <row r="107" spans="2:14" x14ac:dyDescent="0.25">
      <c r="B107" s="29" t="s">
        <v>98</v>
      </c>
      <c r="C107" s="30">
        <f t="shared" ref="C107:K107" si="25">SUM(C105:C106)</f>
        <v>100801.16</v>
      </c>
      <c r="D107" s="59">
        <f t="shared" si="25"/>
        <v>8826.0499999999993</v>
      </c>
      <c r="E107" s="59">
        <f t="shared" si="25"/>
        <v>8826.0499999999993</v>
      </c>
      <c r="F107" s="59">
        <f t="shared" si="25"/>
        <v>8840.49</v>
      </c>
      <c r="G107" s="59">
        <f t="shared" si="25"/>
        <v>8824.5299999999988</v>
      </c>
      <c r="H107" s="59">
        <f t="shared" si="25"/>
        <v>8824.5299999999988</v>
      </c>
      <c r="I107" s="59">
        <f t="shared" si="25"/>
        <v>8824.5299999999988</v>
      </c>
      <c r="J107" s="59">
        <f t="shared" si="25"/>
        <v>8824.5299999999988</v>
      </c>
      <c r="K107" s="59">
        <f t="shared" si="25"/>
        <v>8824.5299999999988</v>
      </c>
      <c r="L107" s="57">
        <f>SUM(L103:L106)</f>
        <v>0</v>
      </c>
      <c r="M107" s="55">
        <f>+L107/J107</f>
        <v>0</v>
      </c>
      <c r="N107" s="33"/>
    </row>
    <row r="108" spans="2:14" x14ac:dyDescent="0.25">
      <c r="B108" s="29"/>
      <c r="C108" s="30"/>
      <c r="D108" s="59"/>
      <c r="E108" s="59"/>
      <c r="F108" s="59"/>
      <c r="G108" s="59"/>
      <c r="H108" s="59"/>
      <c r="I108" s="59"/>
      <c r="J108" s="59"/>
      <c r="K108" s="59"/>
      <c r="L108" s="57"/>
      <c r="M108" s="58"/>
      <c r="N108" s="33"/>
    </row>
    <row r="109" spans="2:14" ht="16.5" thickBot="1" x14ac:dyDescent="0.3">
      <c r="B109" s="73" t="s">
        <v>99</v>
      </c>
      <c r="C109" s="74">
        <f t="shared" ref="C109:L109" si="26">+C22+C58+C97+C102+C107+C75+C84</f>
        <v>5813081.9755238099</v>
      </c>
      <c r="D109" s="74" t="e">
        <f t="shared" si="26"/>
        <v>#REF!</v>
      </c>
      <c r="E109" s="74" t="e">
        <f t="shared" si="26"/>
        <v>#REF!</v>
      </c>
      <c r="F109" s="74">
        <f t="shared" si="26"/>
        <v>13870906.75</v>
      </c>
      <c r="G109" s="74">
        <f t="shared" si="26"/>
        <v>14386343.560000001</v>
      </c>
      <c r="H109" s="74">
        <f t="shared" si="26"/>
        <v>15410910.460000001</v>
      </c>
      <c r="I109" s="74">
        <f t="shared" si="26"/>
        <v>15480905.5</v>
      </c>
      <c r="J109" s="74">
        <f t="shared" si="26"/>
        <v>16673994.041126762</v>
      </c>
      <c r="K109" s="74">
        <f t="shared" si="26"/>
        <v>15350941.66</v>
      </c>
      <c r="L109" s="74">
        <f t="shared" si="26"/>
        <v>-1323052.3811267605</v>
      </c>
      <c r="M109" s="75">
        <f>+L109/I109</f>
        <v>-8.546350089965736E-2</v>
      </c>
      <c r="N109" s="33"/>
    </row>
    <row r="110" spans="2:14" ht="17.25" thickTop="1" thickBot="1" x14ac:dyDescent="0.3">
      <c r="B110" s="76"/>
      <c r="C110" s="71"/>
      <c r="D110" s="71"/>
      <c r="E110" s="71"/>
      <c r="F110" s="71"/>
      <c r="G110" s="71"/>
      <c r="H110" s="77"/>
      <c r="I110" s="77"/>
      <c r="J110" s="77"/>
      <c r="K110" s="77"/>
      <c r="L110" s="78"/>
      <c r="M110" s="27"/>
      <c r="N110" s="66"/>
    </row>
    <row r="111" spans="2:14" ht="16.5" thickTop="1" x14ac:dyDescent="0.25">
      <c r="B111" s="79" t="s">
        <v>100</v>
      </c>
      <c r="C111" s="80" t="str">
        <f t="shared" ref="C111:M111" si="27">+C9</f>
        <v>PPTO INICIAL 2012</v>
      </c>
      <c r="D111" s="80" t="str">
        <f t="shared" si="27"/>
        <v>PPTO INICIAL 2014</v>
      </c>
      <c r="E111" s="80" t="str">
        <f t="shared" si="27"/>
        <v>PPTO INICIAL 2015</v>
      </c>
      <c r="F111" s="80" t="str">
        <f t="shared" si="27"/>
        <v>PPTO INICIAL 2016</v>
      </c>
      <c r="G111" s="80" t="str">
        <f t="shared" si="27"/>
        <v>PPTO INICIAL 2017</v>
      </c>
      <c r="H111" s="80" t="str">
        <f t="shared" si="27"/>
        <v>PPTO INICIAL 2018</v>
      </c>
      <c r="I111" s="80" t="str">
        <f t="shared" si="27"/>
        <v>PPTO INICIAL 2019</v>
      </c>
      <c r="J111" s="80" t="str">
        <f t="shared" si="27"/>
        <v>PPTO INICIAL 2020</v>
      </c>
      <c r="K111" s="80" t="str">
        <f t="shared" si="27"/>
        <v>PPTO INICIAL 2021</v>
      </c>
      <c r="L111" s="81" t="str">
        <f t="shared" si="27"/>
        <v>VARIACIÓN €</v>
      </c>
      <c r="M111" s="82" t="str">
        <f t="shared" si="27"/>
        <v>VAR. %</v>
      </c>
      <c r="N111" s="33"/>
    </row>
    <row r="112" spans="2:14" x14ac:dyDescent="0.25">
      <c r="B112" s="37" t="s">
        <v>101</v>
      </c>
      <c r="C112" s="25">
        <f t="shared" ref="C112:K112" si="28">+C109</f>
        <v>5813081.9755238099</v>
      </c>
      <c r="D112" s="25" t="e">
        <f t="shared" si="28"/>
        <v>#REF!</v>
      </c>
      <c r="E112" s="25" t="e">
        <f t="shared" si="28"/>
        <v>#REF!</v>
      </c>
      <c r="F112" s="25">
        <f t="shared" si="28"/>
        <v>13870906.75</v>
      </c>
      <c r="G112" s="25">
        <f t="shared" si="28"/>
        <v>14386343.560000001</v>
      </c>
      <c r="H112" s="25">
        <f t="shared" si="28"/>
        <v>15410910.460000001</v>
      </c>
      <c r="I112" s="25">
        <f t="shared" si="28"/>
        <v>15480905.5</v>
      </c>
      <c r="J112" s="25">
        <f t="shared" si="28"/>
        <v>16673994.041126762</v>
      </c>
      <c r="K112" s="25">
        <f t="shared" si="28"/>
        <v>15350941.66</v>
      </c>
      <c r="L112" s="83">
        <f>+K112-J112</f>
        <v>-1323052.3811267614</v>
      </c>
      <c r="M112" s="27">
        <f>+L112/I112</f>
        <v>-8.5463500899657416E-2</v>
      </c>
      <c r="N112" s="66"/>
    </row>
    <row r="113" spans="2:14" x14ac:dyDescent="0.25">
      <c r="B113" s="37" t="s">
        <v>102</v>
      </c>
      <c r="C113" s="25" t="e">
        <f t="shared" ref="C113:K113" si="29">+C161</f>
        <v>#REF!</v>
      </c>
      <c r="D113" s="25" t="e">
        <f t="shared" si="29"/>
        <v>#REF!</v>
      </c>
      <c r="E113" s="25">
        <f t="shared" si="29"/>
        <v>12622753.08</v>
      </c>
      <c r="F113" s="25">
        <f t="shared" si="29"/>
        <v>13870906.75</v>
      </c>
      <c r="G113" s="25">
        <f t="shared" si="29"/>
        <v>14386343.560000001</v>
      </c>
      <c r="H113" s="25">
        <f t="shared" si="29"/>
        <v>15410910.460000001</v>
      </c>
      <c r="I113" s="25">
        <f t="shared" si="29"/>
        <v>15480905.5</v>
      </c>
      <c r="J113" s="25">
        <f t="shared" si="29"/>
        <v>16673994.041126762</v>
      </c>
      <c r="K113" s="25">
        <f t="shared" si="29"/>
        <v>15350941.66</v>
      </c>
      <c r="L113" s="83">
        <f>+K113-J113</f>
        <v>-1323052.3811267614</v>
      </c>
      <c r="M113" s="27">
        <f>+L113/I113</f>
        <v>-8.5463500899657416E-2</v>
      </c>
      <c r="N113" s="66"/>
    </row>
    <row r="114" spans="2:14" ht="16.5" thickBot="1" x14ac:dyDescent="0.3">
      <c r="B114" s="84" t="s">
        <v>103</v>
      </c>
      <c r="C114" s="85" t="e">
        <f t="shared" ref="C114:K114" si="30">+C112-C113</f>
        <v>#REF!</v>
      </c>
      <c r="D114" s="85" t="e">
        <f t="shared" si="30"/>
        <v>#REF!</v>
      </c>
      <c r="E114" s="85" t="e">
        <f t="shared" si="30"/>
        <v>#REF!</v>
      </c>
      <c r="F114" s="85">
        <f t="shared" si="30"/>
        <v>0</v>
      </c>
      <c r="G114" s="85">
        <f t="shared" si="30"/>
        <v>0</v>
      </c>
      <c r="H114" s="85">
        <f t="shared" si="30"/>
        <v>0</v>
      </c>
      <c r="I114" s="85">
        <f t="shared" si="30"/>
        <v>0</v>
      </c>
      <c r="J114" s="85">
        <f t="shared" si="30"/>
        <v>0</v>
      </c>
      <c r="K114" s="85">
        <f t="shared" si="30"/>
        <v>0</v>
      </c>
      <c r="L114" s="86">
        <f>+I114-H114</f>
        <v>0</v>
      </c>
      <c r="M114" s="87" t="e">
        <f>+L114/I114</f>
        <v>#DIV/0!</v>
      </c>
      <c r="N114" s="88"/>
    </row>
    <row r="115" spans="2:14" ht="16.5" thickTop="1" x14ac:dyDescent="0.25">
      <c r="B115" s="89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90"/>
      <c r="N115" s="28"/>
    </row>
    <row r="116" spans="2:14" ht="21" x14ac:dyDescent="0.35">
      <c r="B116" s="163" t="s">
        <v>104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"/>
    </row>
    <row r="118" spans="2:14" ht="18.75" x14ac:dyDescent="0.3">
      <c r="B118" s="164" t="s">
        <v>105</v>
      </c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3"/>
    </row>
    <row r="119" spans="2:14" ht="16.5" thickBot="1" x14ac:dyDescent="0.3"/>
    <row r="120" spans="2:14" ht="57" thickTop="1" x14ac:dyDescent="0.25">
      <c r="B120" s="6" t="s">
        <v>1</v>
      </c>
      <c r="C120" s="93" t="str">
        <f t="shared" ref="C120:M120" si="31">+C9</f>
        <v>PPTO INICIAL 2012</v>
      </c>
      <c r="D120" s="94" t="str">
        <f t="shared" si="31"/>
        <v>PPTO INICIAL 2014</v>
      </c>
      <c r="E120" s="8" t="str">
        <f t="shared" si="31"/>
        <v>PPTO INICIAL 2015</v>
      </c>
      <c r="F120" s="8" t="str">
        <f t="shared" si="31"/>
        <v>PPTO INICIAL 2016</v>
      </c>
      <c r="G120" s="95" t="str">
        <f t="shared" si="31"/>
        <v>PPTO INICIAL 2017</v>
      </c>
      <c r="H120" s="95" t="str">
        <f t="shared" si="31"/>
        <v>PPTO INICIAL 2018</v>
      </c>
      <c r="I120" s="95" t="str">
        <f t="shared" si="31"/>
        <v>PPTO INICIAL 2019</v>
      </c>
      <c r="J120" s="95" t="str">
        <f t="shared" si="31"/>
        <v>PPTO INICIAL 2020</v>
      </c>
      <c r="K120" s="95" t="str">
        <f t="shared" si="31"/>
        <v>PPTO INICIAL 2021</v>
      </c>
      <c r="L120" s="9" t="str">
        <f t="shared" si="31"/>
        <v>VARIACIÓN €</v>
      </c>
      <c r="M120" s="10" t="str">
        <f t="shared" si="31"/>
        <v>VAR. %</v>
      </c>
      <c r="N120" s="11"/>
    </row>
    <row r="121" spans="2:14" ht="18.75" x14ac:dyDescent="0.25">
      <c r="B121" s="12"/>
      <c r="C121" s="96"/>
      <c r="D121" s="97"/>
      <c r="E121" s="98"/>
      <c r="F121" s="98"/>
      <c r="G121" s="99"/>
      <c r="H121" s="98"/>
      <c r="I121" s="98"/>
      <c r="J121" s="98"/>
      <c r="K121" s="98"/>
      <c r="L121" s="15"/>
      <c r="M121" s="16"/>
      <c r="N121" s="11"/>
    </row>
    <row r="122" spans="2:14" ht="18.75" x14ac:dyDescent="0.3">
      <c r="B122" s="17" t="s">
        <v>106</v>
      </c>
      <c r="C122" s="100"/>
      <c r="D122" s="101"/>
      <c r="E122" s="102"/>
      <c r="F122" s="102"/>
      <c r="G122" s="103"/>
      <c r="H122" s="102"/>
      <c r="I122" s="102"/>
      <c r="J122" s="102"/>
      <c r="K122" s="102"/>
      <c r="L122" s="104"/>
      <c r="M122" s="21"/>
      <c r="N122" s="22"/>
    </row>
    <row r="123" spans="2:14" x14ac:dyDescent="0.25">
      <c r="B123" s="29" t="s">
        <v>107</v>
      </c>
      <c r="C123" s="105">
        <v>332727.38</v>
      </c>
      <c r="D123" s="106">
        <v>402727.38</v>
      </c>
      <c r="E123" s="59">
        <v>410781.93</v>
      </c>
      <c r="F123" s="59">
        <v>418411.23</v>
      </c>
      <c r="G123" s="107">
        <v>401086</v>
      </c>
      <c r="H123" s="107">
        <v>400000</v>
      </c>
      <c r="I123" s="107">
        <v>404000</v>
      </c>
      <c r="J123" s="107">
        <v>404000</v>
      </c>
      <c r="K123" s="107">
        <v>406500</v>
      </c>
      <c r="L123" s="57">
        <f>+K123-J123</f>
        <v>2500</v>
      </c>
      <c r="M123" s="108">
        <f>+L123/J123</f>
        <v>6.1881188118811884E-3</v>
      </c>
      <c r="N123" s="109"/>
    </row>
    <row r="124" spans="2:14" x14ac:dyDescent="0.25">
      <c r="B124" s="29" t="s">
        <v>108</v>
      </c>
      <c r="C124" s="105">
        <v>178058.71</v>
      </c>
      <c r="D124" s="106">
        <v>93026.37</v>
      </c>
      <c r="E124" s="59">
        <v>103216.16</v>
      </c>
      <c r="F124" s="59">
        <v>90969.62</v>
      </c>
      <c r="G124" s="107">
        <v>77739.77</v>
      </c>
      <c r="H124" s="59">
        <v>49469.55</v>
      </c>
      <c r="I124" s="59">
        <v>43144.72</v>
      </c>
      <c r="J124" s="59">
        <v>45797.58</v>
      </c>
      <c r="K124" s="59">
        <v>53489.33</v>
      </c>
      <c r="L124" s="57">
        <f>+K124-J124</f>
        <v>7691.75</v>
      </c>
      <c r="M124" s="108">
        <f>+L124/J124</f>
        <v>0.16795101400554352</v>
      </c>
      <c r="N124" s="109"/>
    </row>
    <row r="125" spans="2:14" x14ac:dyDescent="0.25">
      <c r="B125" s="29"/>
      <c r="C125" s="105"/>
      <c r="D125" s="106"/>
      <c r="E125" s="59"/>
      <c r="F125" s="59"/>
      <c r="G125" s="107"/>
      <c r="H125" s="59"/>
      <c r="I125" s="59"/>
      <c r="J125" s="59"/>
      <c r="K125" s="59"/>
      <c r="L125" s="57"/>
      <c r="M125" s="108"/>
      <c r="N125" s="109"/>
    </row>
    <row r="126" spans="2:14" x14ac:dyDescent="0.25">
      <c r="B126" s="48" t="s">
        <v>109</v>
      </c>
      <c r="C126" s="110">
        <f>+[1]Conciliación!$B$9</f>
        <v>1458107.2876135607</v>
      </c>
      <c r="D126" s="111">
        <v>1475362.99</v>
      </c>
      <c r="E126" s="43">
        <f>1475362.99+35000</f>
        <v>1510362.99</v>
      </c>
      <c r="F126" s="43">
        <v>1510569.56</v>
      </c>
      <c r="G126" s="112">
        <v>1566027.93</v>
      </c>
      <c r="H126" s="112">
        <f>1665256.15-21000</f>
        <v>1644256.15</v>
      </c>
      <c r="I126" s="112">
        <f>1681099.46-36000</f>
        <v>1645099.46</v>
      </c>
      <c r="J126" s="112">
        <v>1765547.27</v>
      </c>
      <c r="K126" s="112">
        <v>1847526.22</v>
      </c>
      <c r="L126" s="45">
        <f>+K126-J126</f>
        <v>81978.949999999953</v>
      </c>
      <c r="M126" s="46">
        <f>+L126/J126</f>
        <v>4.643259990427781E-2</v>
      </c>
      <c r="N126" s="47"/>
    </row>
    <row r="127" spans="2:14" x14ac:dyDescent="0.25">
      <c r="B127" s="48" t="s">
        <v>110</v>
      </c>
      <c r="C127" s="110">
        <f>+[1]Conciliación!$C$9</f>
        <v>432832.76000216795</v>
      </c>
      <c r="D127" s="111">
        <v>443242.91</v>
      </c>
      <c r="E127" s="43">
        <v>443242.91</v>
      </c>
      <c r="F127" s="43">
        <v>459469.68</v>
      </c>
      <c r="G127" s="112">
        <v>472645.81</v>
      </c>
      <c r="H127" s="112">
        <v>508610.62999999995</v>
      </c>
      <c r="I127" s="112">
        <v>462516.34</v>
      </c>
      <c r="J127" s="112">
        <v>518005.47</v>
      </c>
      <c r="K127" s="112">
        <v>542944.01</v>
      </c>
      <c r="L127" s="45">
        <f t="shared" ref="L127:L128" si="32">+K127-J127</f>
        <v>24938.540000000037</v>
      </c>
      <c r="M127" s="46">
        <f t="shared" ref="M127:M128" si="33">+L127/J127</f>
        <v>4.8143391227123605E-2</v>
      </c>
      <c r="N127" s="113"/>
    </row>
    <row r="128" spans="2:14" x14ac:dyDescent="0.25">
      <c r="B128" s="48" t="s">
        <v>111</v>
      </c>
      <c r="C128" s="110"/>
      <c r="D128" s="111"/>
      <c r="E128" s="43"/>
      <c r="F128" s="43">
        <v>0</v>
      </c>
      <c r="G128" s="112">
        <v>0</v>
      </c>
      <c r="H128" s="112">
        <f>95000+21000</f>
        <v>116000</v>
      </c>
      <c r="I128" s="112">
        <v>36000</v>
      </c>
      <c r="J128" s="112">
        <v>21000</v>
      </c>
      <c r="K128" s="112">
        <v>0</v>
      </c>
      <c r="L128" s="45">
        <f t="shared" si="32"/>
        <v>-21000</v>
      </c>
      <c r="M128" s="46">
        <f t="shared" si="33"/>
        <v>-1</v>
      </c>
      <c r="N128" s="113"/>
    </row>
    <row r="129" spans="2:14" x14ac:dyDescent="0.25">
      <c r="B129" s="29" t="s">
        <v>112</v>
      </c>
      <c r="C129" s="105">
        <f>SUM(C126:C127)</f>
        <v>1890940.0476157286</v>
      </c>
      <c r="D129" s="106">
        <f>SUM(D126:D127)</f>
        <v>1918605.9</v>
      </c>
      <c r="E129" s="59">
        <f>SUM(E126:E127)</f>
        <v>1953605.9</v>
      </c>
      <c r="F129" s="59">
        <f t="shared" ref="F129:K129" si="34">SUM(F126:F128)</f>
        <v>1970039.24</v>
      </c>
      <c r="G129" s="107">
        <f t="shared" si="34"/>
        <v>2038673.74</v>
      </c>
      <c r="H129" s="107">
        <f t="shared" si="34"/>
        <v>2268866.7799999998</v>
      </c>
      <c r="I129" s="107">
        <f t="shared" si="34"/>
        <v>2143615.7999999998</v>
      </c>
      <c r="J129" s="107">
        <f t="shared" si="34"/>
        <v>2304552.7400000002</v>
      </c>
      <c r="K129" s="107">
        <f t="shared" si="34"/>
        <v>2390470.23</v>
      </c>
      <c r="L129" s="57">
        <f>+K129-J129</f>
        <v>85917.489999999758</v>
      </c>
      <c r="M129" s="55">
        <f>+L129/J129</f>
        <v>3.7281633224848544E-2</v>
      </c>
      <c r="N129" s="114"/>
    </row>
    <row r="130" spans="2:14" x14ac:dyDescent="0.25">
      <c r="B130" s="115"/>
      <c r="C130" s="78"/>
      <c r="D130" s="116"/>
      <c r="E130" s="71"/>
      <c r="F130" s="71"/>
      <c r="G130" s="117"/>
      <c r="H130" s="71"/>
      <c r="I130" s="71"/>
      <c r="J130" s="71"/>
      <c r="K130" s="71"/>
      <c r="L130" s="72"/>
      <c r="M130" s="118"/>
      <c r="N130" s="119"/>
    </row>
    <row r="131" spans="2:14" x14ac:dyDescent="0.25">
      <c r="B131" s="120" t="s">
        <v>106</v>
      </c>
      <c r="C131" s="121">
        <f>+C123+C129+C124</f>
        <v>2401726.1376157287</v>
      </c>
      <c r="D131" s="122">
        <f t="shared" ref="D131:H131" si="35">+D123+D129+D124</f>
        <v>2414359.65</v>
      </c>
      <c r="E131" s="123">
        <f t="shared" si="35"/>
        <v>2467603.9900000002</v>
      </c>
      <c r="F131" s="123">
        <f t="shared" si="35"/>
        <v>2479420.09</v>
      </c>
      <c r="G131" s="124">
        <f t="shared" si="35"/>
        <v>2517499.5100000002</v>
      </c>
      <c r="H131" s="124">
        <f t="shared" si="35"/>
        <v>2718336.3299999996</v>
      </c>
      <c r="I131" s="124">
        <f>+I123+I129+I124</f>
        <v>2590760.52</v>
      </c>
      <c r="J131" s="124">
        <f>+J123+J129+J124</f>
        <v>2754350.3200000003</v>
      </c>
      <c r="K131" s="124">
        <f>+K123+K129+K124</f>
        <v>2850459.56</v>
      </c>
      <c r="L131" s="125">
        <f>+L123+L129+L124</f>
        <v>96109.239999999758</v>
      </c>
      <c r="M131" s="126">
        <f>+L131/J131</f>
        <v>3.4893615130264094E-2</v>
      </c>
      <c r="N131" s="119"/>
    </row>
    <row r="132" spans="2:14" x14ac:dyDescent="0.25">
      <c r="B132" s="127"/>
      <c r="C132" s="128"/>
      <c r="D132" s="129"/>
      <c r="E132" s="130"/>
      <c r="F132" s="130"/>
      <c r="G132" s="131"/>
      <c r="H132" s="131"/>
      <c r="I132" s="131"/>
      <c r="J132" s="131"/>
      <c r="K132" s="131"/>
      <c r="L132" s="132"/>
      <c r="M132" s="118"/>
      <c r="N132" s="119"/>
    </row>
    <row r="133" spans="2:14" ht="18.75" hidden="1" outlineLevel="1" x14ac:dyDescent="0.3">
      <c r="B133" s="17" t="s">
        <v>113</v>
      </c>
      <c r="C133" s="133"/>
      <c r="D133" s="134"/>
      <c r="E133" s="19"/>
      <c r="F133" s="19"/>
      <c r="G133" s="135"/>
      <c r="H133" s="135"/>
      <c r="I133" s="135"/>
      <c r="J133" s="135"/>
      <c r="K133" s="135"/>
      <c r="L133" s="20"/>
      <c r="M133" s="21"/>
      <c r="N133" s="22"/>
    </row>
    <row r="134" spans="2:14" hidden="1" outlineLevel="1" x14ac:dyDescent="0.25">
      <c r="B134" s="136" t="s">
        <v>114</v>
      </c>
      <c r="C134" s="137"/>
      <c r="D134" s="138"/>
      <c r="E134" s="139"/>
      <c r="F134" s="139">
        <f>300000+56000</f>
        <v>356000</v>
      </c>
      <c r="G134" s="140"/>
      <c r="H134" s="140"/>
      <c r="I134" s="140"/>
      <c r="J134" s="140"/>
      <c r="K134" s="140"/>
      <c r="L134" s="141">
        <f t="shared" ref="L134:L145" si="36">+H134-G134</f>
        <v>0</v>
      </c>
      <c r="M134" s="142">
        <f t="shared" ref="M134:M141" si="37">+L134/F134</f>
        <v>0</v>
      </c>
      <c r="N134" s="143"/>
    </row>
    <row r="135" spans="2:14" hidden="1" outlineLevel="1" x14ac:dyDescent="0.25">
      <c r="B135" s="144" t="s">
        <v>115</v>
      </c>
      <c r="C135" s="137"/>
      <c r="D135" s="138"/>
      <c r="E135" s="139"/>
      <c r="F135" s="139">
        <v>100000</v>
      </c>
      <c r="G135" s="140"/>
      <c r="H135" s="140"/>
      <c r="I135" s="140"/>
      <c r="J135" s="140"/>
      <c r="K135" s="140"/>
      <c r="L135" s="141">
        <f t="shared" si="36"/>
        <v>0</v>
      </c>
      <c r="M135" s="142">
        <f t="shared" si="37"/>
        <v>0</v>
      </c>
      <c r="N135" s="145"/>
    </row>
    <row r="136" spans="2:14" hidden="1" outlineLevel="1" x14ac:dyDescent="0.25">
      <c r="B136" s="144" t="s">
        <v>116</v>
      </c>
      <c r="C136" s="137"/>
      <c r="D136" s="138"/>
      <c r="E136" s="139"/>
      <c r="F136" s="139">
        <v>330000</v>
      </c>
      <c r="G136" s="140"/>
      <c r="H136" s="140"/>
      <c r="I136" s="140"/>
      <c r="J136" s="140"/>
      <c r="K136" s="140"/>
      <c r="L136" s="141">
        <f t="shared" si="36"/>
        <v>0</v>
      </c>
      <c r="M136" s="142">
        <f t="shared" si="37"/>
        <v>0</v>
      </c>
      <c r="N136" s="145"/>
    </row>
    <row r="137" spans="2:14" hidden="1" outlineLevel="1" x14ac:dyDescent="0.25">
      <c r="B137" s="144" t="s">
        <v>117</v>
      </c>
      <c r="C137" s="137"/>
      <c r="D137" s="138"/>
      <c r="E137" s="139"/>
      <c r="F137" s="139">
        <v>185000</v>
      </c>
      <c r="G137" s="140"/>
      <c r="H137" s="140"/>
      <c r="I137" s="140"/>
      <c r="J137" s="140"/>
      <c r="K137" s="140"/>
      <c r="L137" s="141">
        <f t="shared" si="36"/>
        <v>0</v>
      </c>
      <c r="M137" s="142">
        <f t="shared" si="37"/>
        <v>0</v>
      </c>
      <c r="N137" s="143"/>
    </row>
    <row r="138" spans="2:14" hidden="1" outlineLevel="1" x14ac:dyDescent="0.25">
      <c r="B138" s="144" t="s">
        <v>118</v>
      </c>
      <c r="C138" s="137">
        <v>3793910.97</v>
      </c>
      <c r="D138" s="138"/>
      <c r="E138" s="139"/>
      <c r="F138" s="139">
        <v>165500</v>
      </c>
      <c r="G138" s="140"/>
      <c r="H138" s="140"/>
      <c r="I138" s="140"/>
      <c r="J138" s="140"/>
      <c r="K138" s="140"/>
      <c r="L138" s="141">
        <f t="shared" si="36"/>
        <v>0</v>
      </c>
      <c r="M138" s="142">
        <f t="shared" si="37"/>
        <v>0</v>
      </c>
      <c r="N138" s="143"/>
    </row>
    <row r="139" spans="2:14" hidden="1" outlineLevel="1" x14ac:dyDescent="0.25">
      <c r="B139" s="144" t="s">
        <v>119</v>
      </c>
      <c r="C139" s="137">
        <f>133417+47000</f>
        <v>180417</v>
      </c>
      <c r="D139" s="138"/>
      <c r="E139" s="139"/>
      <c r="F139" s="139">
        <v>98000</v>
      </c>
      <c r="G139" s="140"/>
      <c r="H139" s="140"/>
      <c r="I139" s="140"/>
      <c r="J139" s="140"/>
      <c r="K139" s="140"/>
      <c r="L139" s="141">
        <f t="shared" si="36"/>
        <v>0</v>
      </c>
      <c r="M139" s="142">
        <f t="shared" si="37"/>
        <v>0</v>
      </c>
      <c r="N139" s="143"/>
    </row>
    <row r="140" spans="2:14" hidden="1" outlineLevel="1" x14ac:dyDescent="0.25">
      <c r="B140" s="136" t="s">
        <v>120</v>
      </c>
      <c r="C140" s="137"/>
      <c r="D140" s="138"/>
      <c r="E140" s="139"/>
      <c r="F140" s="139">
        <v>6000</v>
      </c>
      <c r="G140" s="140"/>
      <c r="H140" s="140"/>
      <c r="I140" s="140"/>
      <c r="J140" s="140"/>
      <c r="K140" s="140"/>
      <c r="L140" s="141">
        <f t="shared" si="36"/>
        <v>0</v>
      </c>
      <c r="M140" s="142">
        <f t="shared" si="37"/>
        <v>0</v>
      </c>
      <c r="N140" s="143"/>
    </row>
    <row r="141" spans="2:14" hidden="1" outlineLevel="1" x14ac:dyDescent="0.25">
      <c r="B141" s="136" t="s">
        <v>121</v>
      </c>
      <c r="C141" s="137" t="e">
        <f>+#REF!</f>
        <v>#REF!</v>
      </c>
      <c r="D141" s="138"/>
      <c r="E141" s="139"/>
      <c r="F141" s="139">
        <v>40000</v>
      </c>
      <c r="G141" s="140"/>
      <c r="H141" s="140"/>
      <c r="I141" s="140"/>
      <c r="J141" s="140"/>
      <c r="K141" s="140"/>
      <c r="L141" s="141">
        <f t="shared" si="36"/>
        <v>0</v>
      </c>
      <c r="M141" s="142">
        <f t="shared" si="37"/>
        <v>0</v>
      </c>
      <c r="N141" s="143"/>
    </row>
    <row r="142" spans="2:14" hidden="1" outlineLevel="2" x14ac:dyDescent="0.25">
      <c r="B142" s="146" t="s">
        <v>122</v>
      </c>
      <c r="C142" s="137"/>
      <c r="D142" s="138"/>
      <c r="E142" s="139"/>
      <c r="F142" s="139"/>
      <c r="G142" s="140"/>
      <c r="H142" s="140"/>
      <c r="I142" s="140"/>
      <c r="J142" s="140"/>
      <c r="K142" s="140"/>
      <c r="L142" s="141">
        <f t="shared" si="36"/>
        <v>0</v>
      </c>
      <c r="M142" s="142"/>
      <c r="N142" s="143"/>
    </row>
    <row r="143" spans="2:14" hidden="1" outlineLevel="1" collapsed="1" x14ac:dyDescent="0.25">
      <c r="B143" s="146" t="s">
        <v>123</v>
      </c>
      <c r="C143" s="137"/>
      <c r="D143" s="138"/>
      <c r="E143" s="139"/>
      <c r="F143" s="139">
        <v>60000</v>
      </c>
      <c r="G143" s="140"/>
      <c r="H143" s="140"/>
      <c r="I143" s="140"/>
      <c r="J143" s="140"/>
      <c r="K143" s="140"/>
      <c r="L143" s="141">
        <f t="shared" si="36"/>
        <v>0</v>
      </c>
      <c r="M143" s="142">
        <f>+L143/F143</f>
        <v>0</v>
      </c>
      <c r="N143" s="143"/>
    </row>
    <row r="144" spans="2:14" hidden="1" outlineLevel="1" x14ac:dyDescent="0.25">
      <c r="B144" s="146" t="s">
        <v>124</v>
      </c>
      <c r="C144" s="137"/>
      <c r="D144" s="138"/>
      <c r="E144" s="139"/>
      <c r="F144" s="139">
        <v>40000</v>
      </c>
      <c r="G144" s="140"/>
      <c r="H144" s="140"/>
      <c r="I144" s="140"/>
      <c r="J144" s="140"/>
      <c r="K144" s="140"/>
      <c r="L144" s="141">
        <f t="shared" si="36"/>
        <v>0</v>
      </c>
      <c r="M144" s="142">
        <f>+L144/F144</f>
        <v>0</v>
      </c>
      <c r="N144" s="143"/>
    </row>
    <row r="145" spans="2:14" hidden="1" outlineLevel="1" x14ac:dyDescent="0.25">
      <c r="B145" s="147" t="s">
        <v>125</v>
      </c>
      <c r="C145" s="137"/>
      <c r="D145" s="138">
        <v>5032302.2300000004</v>
      </c>
      <c r="E145" s="139"/>
      <c r="F145" s="139">
        <v>409000</v>
      </c>
      <c r="G145" s="139"/>
      <c r="H145" s="139"/>
      <c r="I145" s="139"/>
      <c r="J145" s="139"/>
      <c r="K145" s="139"/>
      <c r="L145" s="141">
        <f t="shared" si="36"/>
        <v>0</v>
      </c>
      <c r="M145" s="142">
        <f>+L145/F145</f>
        <v>0</v>
      </c>
      <c r="N145" s="143"/>
    </row>
    <row r="146" spans="2:14" hidden="1" outlineLevel="1" x14ac:dyDescent="0.25">
      <c r="B146" s="29" t="s">
        <v>126</v>
      </c>
      <c r="C146" s="105">
        <f>SUM(C145:C145)</f>
        <v>0</v>
      </c>
      <c r="D146" s="106">
        <f>SUM(D145:D145)</f>
        <v>5032302.2300000004</v>
      </c>
      <c r="E146" s="59">
        <f>SUM(E145:E145)</f>
        <v>0</v>
      </c>
      <c r="F146" s="59">
        <f t="shared" ref="F146:L146" si="38">SUM(F134:F145)</f>
        <v>1789500</v>
      </c>
      <c r="G146" s="107">
        <f t="shared" si="38"/>
        <v>0</v>
      </c>
      <c r="H146" s="107">
        <f t="shared" si="38"/>
        <v>0</v>
      </c>
      <c r="I146" s="107">
        <f t="shared" si="38"/>
        <v>0</v>
      </c>
      <c r="J146" s="107">
        <f t="shared" si="38"/>
        <v>0</v>
      </c>
      <c r="K146" s="107">
        <f t="shared" si="38"/>
        <v>0</v>
      </c>
      <c r="L146" s="57">
        <f t="shared" si="38"/>
        <v>0</v>
      </c>
      <c r="M146" s="108">
        <f>+L146/F146</f>
        <v>0</v>
      </c>
      <c r="N146" s="109"/>
    </row>
    <row r="147" spans="2:14" hidden="1" outlineLevel="1" x14ac:dyDescent="0.25">
      <c r="B147" s="29"/>
      <c r="C147" s="105"/>
      <c r="D147" s="106"/>
      <c r="E147" s="59"/>
      <c r="F147" s="59"/>
      <c r="G147" s="107"/>
      <c r="H147" s="107"/>
      <c r="I147" s="107"/>
      <c r="J147" s="107"/>
      <c r="K147" s="107"/>
      <c r="L147" s="57"/>
      <c r="M147" s="108"/>
      <c r="N147" s="109"/>
    </row>
    <row r="148" spans="2:14" ht="18.75" hidden="1" outlineLevel="1" x14ac:dyDescent="0.3">
      <c r="B148" s="17" t="s">
        <v>127</v>
      </c>
      <c r="C148" s="133"/>
      <c r="D148" s="134"/>
      <c r="E148" s="19"/>
      <c r="F148" s="19"/>
      <c r="G148" s="135"/>
      <c r="H148" s="135"/>
      <c r="I148" s="135"/>
      <c r="J148" s="135"/>
      <c r="K148" s="135"/>
      <c r="L148" s="20"/>
      <c r="M148" s="21"/>
      <c r="N148" s="109"/>
    </row>
    <row r="149" spans="2:14" hidden="1" outlineLevel="1" x14ac:dyDescent="0.25">
      <c r="B149" s="136" t="s">
        <v>128</v>
      </c>
      <c r="C149" s="137"/>
      <c r="D149" s="138"/>
      <c r="E149" s="139"/>
      <c r="F149" s="139">
        <v>1470000</v>
      </c>
      <c r="G149" s="140"/>
      <c r="H149" s="140"/>
      <c r="I149" s="140"/>
      <c r="J149" s="140"/>
      <c r="K149" s="140"/>
      <c r="L149" s="141">
        <f t="shared" ref="L149:L154" si="39">+H149-G149</f>
        <v>0</v>
      </c>
      <c r="M149" s="148">
        <f>+L149/F149</f>
        <v>0</v>
      </c>
      <c r="N149" s="109"/>
    </row>
    <row r="150" spans="2:14" hidden="1" outlineLevel="1" x14ac:dyDescent="0.25">
      <c r="B150" s="136" t="s">
        <v>129</v>
      </c>
      <c r="C150" s="137"/>
      <c r="D150" s="138"/>
      <c r="E150" s="139"/>
      <c r="F150" s="139">
        <v>2220603</v>
      </c>
      <c r="G150" s="140"/>
      <c r="H150" s="140"/>
      <c r="I150" s="140"/>
      <c r="J150" s="140"/>
      <c r="K150" s="140"/>
      <c r="L150" s="141">
        <f t="shared" si="39"/>
        <v>0</v>
      </c>
      <c r="M150" s="148">
        <f>+L150/F150</f>
        <v>0</v>
      </c>
      <c r="N150" s="109"/>
    </row>
    <row r="151" spans="2:14" hidden="1" outlineLevel="1" x14ac:dyDescent="0.25">
      <c r="B151" s="144" t="s">
        <v>130</v>
      </c>
      <c r="C151" s="137">
        <v>0</v>
      </c>
      <c r="D151" s="138"/>
      <c r="E151" s="139"/>
      <c r="F151" s="139">
        <v>740813</v>
      </c>
      <c r="G151" s="149"/>
      <c r="H151" s="149"/>
      <c r="I151" s="149"/>
      <c r="J151" s="149"/>
      <c r="K151" s="149"/>
      <c r="L151" s="141">
        <f t="shared" si="39"/>
        <v>0</v>
      </c>
      <c r="M151" s="148">
        <f>+L151/F151</f>
        <v>0</v>
      </c>
      <c r="N151" s="109"/>
    </row>
    <row r="152" spans="2:14" hidden="1" outlineLevel="2" x14ac:dyDescent="0.25">
      <c r="B152" s="136" t="s">
        <v>131</v>
      </c>
      <c r="C152" s="137"/>
      <c r="D152" s="138"/>
      <c r="E152" s="139"/>
      <c r="F152" s="139"/>
      <c r="G152" s="140"/>
      <c r="H152" s="140"/>
      <c r="I152" s="140"/>
      <c r="J152" s="140"/>
      <c r="K152" s="140"/>
      <c r="L152" s="141">
        <f t="shared" si="39"/>
        <v>0</v>
      </c>
      <c r="M152" s="148" t="e">
        <f>+L152/E152</f>
        <v>#DIV/0!</v>
      </c>
      <c r="N152" s="109"/>
    </row>
    <row r="153" spans="2:14" hidden="1" outlineLevel="1" x14ac:dyDescent="0.25">
      <c r="B153" s="136" t="s">
        <v>132</v>
      </c>
      <c r="C153" s="137"/>
      <c r="D153" s="138"/>
      <c r="E153" s="139"/>
      <c r="F153" s="139">
        <v>1874460</v>
      </c>
      <c r="G153" s="149"/>
      <c r="H153" s="149"/>
      <c r="I153" s="149"/>
      <c r="J153" s="149"/>
      <c r="K153" s="149"/>
      <c r="L153" s="141">
        <f t="shared" si="39"/>
        <v>0</v>
      </c>
      <c r="M153" s="148">
        <f>+L153/F153</f>
        <v>0</v>
      </c>
      <c r="N153" s="109"/>
    </row>
    <row r="154" spans="2:14" hidden="1" outlineLevel="1" x14ac:dyDescent="0.25">
      <c r="B154" s="136" t="s">
        <v>133</v>
      </c>
      <c r="C154" s="137"/>
      <c r="D154" s="138"/>
      <c r="E154" s="139"/>
      <c r="F154" s="139">
        <v>88110.660000000105</v>
      </c>
      <c r="G154" s="140"/>
      <c r="H154" s="140"/>
      <c r="I154" s="140"/>
      <c r="J154" s="140"/>
      <c r="K154" s="140"/>
      <c r="L154" s="141">
        <f t="shared" si="39"/>
        <v>0</v>
      </c>
      <c r="M154" s="148">
        <f>+L154/F154</f>
        <v>0</v>
      </c>
      <c r="N154" s="109"/>
    </row>
    <row r="155" spans="2:14" hidden="1" outlineLevel="1" x14ac:dyDescent="0.25">
      <c r="B155" s="29" t="s">
        <v>134</v>
      </c>
      <c r="C155" s="105" t="e">
        <f>SUM(#REF!)</f>
        <v>#REF!</v>
      </c>
      <c r="D155" s="106" t="e">
        <f>SUM(#REF!)</f>
        <v>#REF!</v>
      </c>
      <c r="E155" s="139">
        <f t="shared" ref="E155:L155" si="40">SUM(E149:E154)</f>
        <v>0</v>
      </c>
      <c r="F155" s="59">
        <f t="shared" si="40"/>
        <v>6393986.6600000001</v>
      </c>
      <c r="G155" s="107">
        <f t="shared" si="40"/>
        <v>0</v>
      </c>
      <c r="H155" s="107">
        <f t="shared" si="40"/>
        <v>0</v>
      </c>
      <c r="I155" s="107">
        <f t="shared" si="40"/>
        <v>0</v>
      </c>
      <c r="J155" s="107">
        <f t="shared" si="40"/>
        <v>0</v>
      </c>
      <c r="K155" s="107">
        <f t="shared" si="40"/>
        <v>0</v>
      </c>
      <c r="L155" s="57">
        <f t="shared" si="40"/>
        <v>0</v>
      </c>
      <c r="M155" s="108">
        <f>+L155/F155</f>
        <v>0</v>
      </c>
      <c r="N155" s="109"/>
    </row>
    <row r="156" spans="2:14" hidden="1" outlineLevel="1" x14ac:dyDescent="0.25">
      <c r="B156" s="29"/>
      <c r="C156" s="105"/>
      <c r="D156" s="106"/>
      <c r="E156" s="139"/>
      <c r="F156" s="59"/>
      <c r="G156" s="107"/>
      <c r="H156" s="107"/>
      <c r="I156" s="107"/>
      <c r="J156" s="107"/>
      <c r="K156" s="107"/>
      <c r="L156" s="57"/>
      <c r="M156" s="108"/>
      <c r="N156" s="109"/>
    </row>
    <row r="157" spans="2:14" ht="15.6" customHeight="1" collapsed="1" x14ac:dyDescent="0.25">
      <c r="B157" s="120" t="s">
        <v>135</v>
      </c>
      <c r="C157" s="150"/>
      <c r="D157" s="151"/>
      <c r="E157" s="152">
        <v>3156000</v>
      </c>
      <c r="F157" s="152">
        <v>3208000</v>
      </c>
      <c r="G157" s="153">
        <v>3515000</v>
      </c>
      <c r="H157" s="153">
        <v>3515000</v>
      </c>
      <c r="I157" s="153">
        <v>3515000</v>
      </c>
      <c r="J157" s="153">
        <v>3515000</v>
      </c>
      <c r="K157" s="153">
        <v>3515000</v>
      </c>
      <c r="L157" s="125">
        <f>+K157-J157</f>
        <v>0</v>
      </c>
      <c r="M157" s="126">
        <f>+L157/J157</f>
        <v>0</v>
      </c>
      <c r="N157" s="47"/>
    </row>
    <row r="158" spans="2:14" ht="15.6" customHeight="1" x14ac:dyDescent="0.25">
      <c r="B158" s="136"/>
      <c r="C158" s="137"/>
      <c r="D158" s="138"/>
      <c r="E158" s="139"/>
      <c r="F158" s="139"/>
      <c r="G158" s="140"/>
      <c r="H158" s="140"/>
      <c r="I158" s="140"/>
      <c r="J158" s="140"/>
      <c r="K158" s="140"/>
      <c r="L158" s="141"/>
      <c r="M158" s="142"/>
      <c r="N158" s="47"/>
    </row>
    <row r="159" spans="2:14" x14ac:dyDescent="0.25">
      <c r="B159" s="120" t="s">
        <v>136</v>
      </c>
      <c r="C159" s="150" t="e">
        <f>SUM(C138:C145)</f>
        <v>#REF!</v>
      </c>
      <c r="D159" s="151" t="e">
        <f>+D146+#REF!</f>
        <v>#REF!</v>
      </c>
      <c r="E159" s="152">
        <v>10155149.09</v>
      </c>
      <c r="F159" s="152">
        <f>+F146+F155</f>
        <v>8183486.6600000001</v>
      </c>
      <c r="G159" s="153">
        <f>+G112-G131-G157</f>
        <v>8353844.0500000007</v>
      </c>
      <c r="H159" s="153">
        <f>+H112-H131-H157</f>
        <v>9177574.1300000008</v>
      </c>
      <c r="I159" s="153">
        <f>+I112-I131-I157</f>
        <v>9375144.9800000004</v>
      </c>
      <c r="J159" s="153">
        <f>+J112-J131-J157</f>
        <v>10404643.721126761</v>
      </c>
      <c r="K159" s="153">
        <f>+K112-K131-K157</f>
        <v>8985482.0999999996</v>
      </c>
      <c r="L159" s="125">
        <f>+K159-J159</f>
        <v>-1419161.6211267617</v>
      </c>
      <c r="M159" s="126">
        <f>+L159/J159</f>
        <v>-0.13639694536057356</v>
      </c>
      <c r="N159" s="154"/>
    </row>
    <row r="160" spans="2:14" x14ac:dyDescent="0.25">
      <c r="B160" s="155"/>
      <c r="C160" s="156"/>
      <c r="D160" s="155"/>
      <c r="E160" s="157"/>
      <c r="F160" s="157"/>
      <c r="G160" s="158"/>
      <c r="H160" s="158"/>
      <c r="I160" s="158"/>
      <c r="J160" s="158"/>
      <c r="K160" s="158"/>
      <c r="L160" s="159"/>
      <c r="M160" s="118"/>
      <c r="N160" s="154"/>
    </row>
    <row r="161" spans="2:14" ht="16.5" thickBot="1" x14ac:dyDescent="0.3">
      <c r="B161" s="73" t="s">
        <v>137</v>
      </c>
      <c r="C161" s="74" t="e">
        <f>+C131+C159</f>
        <v>#REF!</v>
      </c>
      <c r="D161" s="74" t="e">
        <f>+D131+D159</f>
        <v>#REF!</v>
      </c>
      <c r="E161" s="74">
        <f>+E131+E159</f>
        <v>12622753.08</v>
      </c>
      <c r="F161" s="74">
        <f t="shared" ref="F161:K161" si="41">+F131+F159+F157</f>
        <v>13870906.75</v>
      </c>
      <c r="G161" s="160">
        <f t="shared" si="41"/>
        <v>14386343.560000001</v>
      </c>
      <c r="H161" s="160">
        <f t="shared" si="41"/>
        <v>15410910.460000001</v>
      </c>
      <c r="I161" s="160">
        <f t="shared" si="41"/>
        <v>15480905.5</v>
      </c>
      <c r="J161" s="160">
        <f t="shared" si="41"/>
        <v>16673994.041126762</v>
      </c>
      <c r="K161" s="160">
        <f t="shared" si="41"/>
        <v>15350941.66</v>
      </c>
      <c r="L161" s="161">
        <f>+K161-J161</f>
        <v>-1323052.3811267614</v>
      </c>
      <c r="M161" s="162">
        <f>+L161/J161</f>
        <v>-7.9348258003656746E-2</v>
      </c>
      <c r="N161" s="154"/>
    </row>
    <row r="162" spans="2:14" ht="16.5" thickTop="1" x14ac:dyDescent="0.25">
      <c r="B162" s="146"/>
    </row>
  </sheetData>
  <mergeCells count="4">
    <mergeCell ref="B5:M5"/>
    <mergeCell ref="B7:M7"/>
    <mergeCell ref="B116:M116"/>
    <mergeCell ref="B118:M11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1" manualBreakCount="1">
    <brk id="84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671DA0BFC7C648ABECC1FF189449F0" ma:contentTypeVersion="12" ma:contentTypeDescription="Crear nuevo documento." ma:contentTypeScope="" ma:versionID="7beb4c5d2c9240e817df27f2b5a02f87">
  <xsd:schema xmlns:xsd="http://www.w3.org/2001/XMLSchema" xmlns:xs="http://www.w3.org/2001/XMLSchema" xmlns:p="http://schemas.microsoft.com/office/2006/metadata/properties" xmlns:ns2="cb4efc23-cbea-429c-95ad-f66483036327" xmlns:ns3="d0d1bc6d-f048-4684-a59c-1a2d756c80be" targetNamespace="http://schemas.microsoft.com/office/2006/metadata/properties" ma:root="true" ma:fieldsID="afb5ad23552bcb31afc653fc75a33441" ns2:_="" ns3:_="">
    <xsd:import namespace="cb4efc23-cbea-429c-95ad-f66483036327"/>
    <xsd:import namespace="d0d1bc6d-f048-4684-a59c-1a2d756c80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efc23-cbea-429c-95ad-f66483036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1bc6d-f048-4684-a59c-1a2d756c80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64621B-E545-4567-A827-E65AFF49B2BA}"/>
</file>

<file path=customXml/itemProps2.xml><?xml version="1.0" encoding="utf-8"?>
<ds:datastoreItem xmlns:ds="http://schemas.openxmlformats.org/officeDocument/2006/customXml" ds:itemID="{42644636-C2D6-4665-821F-C4A1626C5481}"/>
</file>

<file path=customXml/itemProps3.xml><?xml version="1.0" encoding="utf-8"?>
<ds:datastoreItem xmlns:ds="http://schemas.openxmlformats.org/officeDocument/2006/customXml" ds:itemID="{A20E28F5-1977-429F-AC05-A49E46ECCE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2021</vt:lpstr>
      <vt:lpstr>'Presupuesto 2021'!Área_de_impresión</vt:lpstr>
      <vt:lpstr>'Presupuesto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Miguel Matz Falero</dc:creator>
  <cp:lastModifiedBy>Manuela Rabaneda Cárdenas</cp:lastModifiedBy>
  <cp:lastPrinted>2022-06-10T08:52:48Z</cp:lastPrinted>
  <dcterms:created xsi:type="dcterms:W3CDTF">2022-06-10T08:25:15Z</dcterms:created>
  <dcterms:modified xsi:type="dcterms:W3CDTF">2022-06-10T08:52:57Z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0x010100F3671DA0BFC7C648ABECC1FF189449F0</vt:lpwstr>
  </property>
</Properties>
</file>